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6 BGS\3 RSCP Rates\1 July Filing\2 Received from EDCs\to post\"/>
    </mc:Choice>
  </mc:AlternateContent>
  <xr:revisionPtr revIDLastSave="0" documentId="13_ncr:1_{1B356DB0-C899-4DBB-AA65-32D628878CA9}" xr6:coauthVersionLast="47" xr6:coauthVersionMax="47" xr10:uidLastSave="{00000000-0000-0000-0000-000000000000}"/>
  <bookViews>
    <workbookView xWindow="28380" yWindow="-16320" windowWidth="29040" windowHeight="15720" xr2:uid="{D1F26FC7-3A4E-4347-90CD-BE10F061786E}"/>
  </bookViews>
  <sheets>
    <sheet name="Inputs" sheetId="1" r:id="rId1"/>
    <sheet name="Attach2 - BidFactors" sheetId="2" r:id="rId2"/>
    <sheet name="Attach3 - AuctionRateResult" sheetId="3" r:id="rId3"/>
    <sheet name="Attach 4 P1" sheetId="4" r:id="rId4"/>
    <sheet name="Attach 4 P2" sheetId="5" r:id="rId5"/>
    <sheet name="Attach 4 P3" sheetId="6" r:id="rId6"/>
    <sheet name="Attach 4 P4 " sheetId="7" r:id="rId7"/>
    <sheet name="Attach 4 P5" sheetId="8" r:id="rId8"/>
    <sheet name="Attach 4 P6 - CIEP" sheetId="9" r:id="rId9"/>
    <sheet name="Notes from review JT" sheetId="10" state="hidden" r:id="rId10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_1SUM_BANDS">#REF!</definedName>
    <definedName name="_xlnm._FilterDatabase" localSheetId="0" hidden="1">Inputs!$N$13:$W$141</definedName>
    <definedName name="ace_hs1">#REF!</definedName>
    <definedName name="ace_rhs1">#REF!</definedName>
    <definedName name="ace_rlm1">#REF!</definedName>
    <definedName name="ace_rs1">#REF!</definedName>
    <definedName name="bge_hs1">#REF!</definedName>
    <definedName name="bge_rhs1">#REF!</definedName>
    <definedName name="bge_rlm1">#REF!</definedName>
    <definedName name="bge_rs1">#REF!</definedName>
    <definedName name="Co_letter" localSheetId="3">#REF!</definedName>
    <definedName name="Co_letter" localSheetId="4">#REF!</definedName>
    <definedName name="Co_letter" localSheetId="5">#REF!</definedName>
    <definedName name="Co_letter" localSheetId="6">#REF!</definedName>
    <definedName name="Co_letter" localSheetId="7">#REF!</definedName>
    <definedName name="Co_letter" localSheetId="8">#REF!</definedName>
    <definedName name="Co_letter">#REF!</definedName>
    <definedName name="Co_List" localSheetId="3">#REF!</definedName>
    <definedName name="Co_List" localSheetId="4">#REF!</definedName>
    <definedName name="Co_List" localSheetId="5">#REF!</definedName>
    <definedName name="Co_List" localSheetId="6">#REF!</definedName>
    <definedName name="Co_List" localSheetId="7">#REF!</definedName>
    <definedName name="Co_List" localSheetId="8">#REF!</definedName>
    <definedName name="Co_List">#REF!</definedName>
    <definedName name="Co_Listc" localSheetId="3">#REF!</definedName>
    <definedName name="Co_Listc" localSheetId="4">#REF!</definedName>
    <definedName name="Co_Listc" localSheetId="5">#REF!</definedName>
    <definedName name="Co_Listc" localSheetId="6">#REF!</definedName>
    <definedName name="Co_Listc" localSheetId="7">#REF!</definedName>
    <definedName name="Co_Listc" localSheetId="8">#REF!</definedName>
    <definedName name="Co_Listc">#REF!</definedName>
    <definedName name="Co_Name" localSheetId="3">#REF!</definedName>
    <definedName name="Co_Name" localSheetId="4">#REF!</definedName>
    <definedName name="Co_Name" localSheetId="5">#REF!</definedName>
    <definedName name="Co_Name" localSheetId="6">#REF!</definedName>
    <definedName name="Co_Name" localSheetId="7">#REF!</definedName>
    <definedName name="Co_Name" localSheetId="8">#REF!</definedName>
    <definedName name="Co_Name">#REF!</definedName>
    <definedName name="Co_Picked" localSheetId="3">#REF!</definedName>
    <definedName name="Co_Picked" localSheetId="4">#REF!</definedName>
    <definedName name="Co_Picked" localSheetId="5">#REF!</definedName>
    <definedName name="Co_Picked" localSheetId="6">#REF!</definedName>
    <definedName name="Co_Picked" localSheetId="7">#REF!</definedName>
    <definedName name="Co_Picked" localSheetId="8">#REF!</definedName>
    <definedName name="Co_Picked">#REF!</definedName>
    <definedName name="cw_hs1">#REF!</definedName>
    <definedName name="cw_rhs1">#REF!</definedName>
    <definedName name="cw_rlm1">#REF!</definedName>
    <definedName name="cw_rs1">#REF!</definedName>
    <definedName name="dlm_hs1">#REF!</definedName>
    <definedName name="dlm_rhs1">#REF!</definedName>
    <definedName name="dlm_rlm1">#REF!</definedName>
    <definedName name="dlm_rs1">#REF!</definedName>
    <definedName name="duq_hs1">#REF!</definedName>
    <definedName name="duq_rhs1">#REF!</definedName>
    <definedName name="duq_rlm1">#REF!</definedName>
    <definedName name="duq_rs1">#REF!</definedName>
    <definedName name="Get_Co" localSheetId="3">#REF!</definedName>
    <definedName name="Get_Co" localSheetId="4">#REF!</definedName>
    <definedName name="Get_Co" localSheetId="5">#REF!</definedName>
    <definedName name="Get_Co" localSheetId="6">#REF!</definedName>
    <definedName name="Get_Co" localSheetId="7">#REF!</definedName>
    <definedName name="Get_Co" localSheetId="8">#REF!</definedName>
    <definedName name="Get_Co">#REF!</definedName>
    <definedName name="Get_Mo" localSheetId="3">#REF!</definedName>
    <definedName name="Get_Mo" localSheetId="4">#REF!</definedName>
    <definedName name="Get_Mo" localSheetId="5">#REF!</definedName>
    <definedName name="Get_Mo" localSheetId="6">#REF!</definedName>
    <definedName name="Get_Mo" localSheetId="7">#REF!</definedName>
    <definedName name="Get_Mo" localSheetId="8">#REF!</definedName>
    <definedName name="Get_Mo">#REF!</definedName>
    <definedName name="Get_moc" localSheetId="3">#REF!</definedName>
    <definedName name="Get_moc" localSheetId="4">#REF!</definedName>
    <definedName name="Get_moc" localSheetId="5">#REF!</definedName>
    <definedName name="Get_moc" localSheetId="6">#REF!</definedName>
    <definedName name="Get_moc" localSheetId="7">#REF!</definedName>
    <definedName name="Get_moc" localSheetId="8">#REF!</definedName>
    <definedName name="Get_moc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"CL06946"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44200.7174884259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o_List" localSheetId="3">#REF!</definedName>
    <definedName name="Mo_List" localSheetId="4">#REF!</definedName>
    <definedName name="Mo_List" localSheetId="5">#REF!</definedName>
    <definedName name="Mo_List" localSheetId="6">#REF!</definedName>
    <definedName name="Mo_List" localSheetId="7">#REF!</definedName>
    <definedName name="Mo_List" localSheetId="8">#REF!</definedName>
    <definedName name="Mo_List">#REF!</definedName>
    <definedName name="Mo_Picked" localSheetId="3">#REF!</definedName>
    <definedName name="Mo_Picked" localSheetId="4">#REF!</definedName>
    <definedName name="Mo_Picked" localSheetId="5">#REF!</definedName>
    <definedName name="Mo_Picked" localSheetId="6">#REF!</definedName>
    <definedName name="Mo_Picked" localSheetId="7">#REF!</definedName>
    <definedName name="Mo_Picked" localSheetId="8">#REF!</definedName>
    <definedName name="Mo_Picked">#REF!</definedName>
    <definedName name="pec_hs1">#REF!</definedName>
    <definedName name="pec_rhs1">#REF!</definedName>
    <definedName name="pec_rlm1">#REF!</definedName>
    <definedName name="pec_rs1">#REF!</definedName>
    <definedName name="pep_hs1">#REF!</definedName>
    <definedName name="pep_rhs1">#REF!</definedName>
    <definedName name="pep_rlm1">#REF!</definedName>
    <definedName name="pep_rs1">#REF!</definedName>
    <definedName name="ppl_hs1">#REF!</definedName>
    <definedName name="ppl_rhs1">#REF!</definedName>
    <definedName name="ppl_rlm1">#REF!</definedName>
    <definedName name="ppl_rs1">#REF!</definedName>
    <definedName name="_xlnm.Print_Area" localSheetId="3">'Attach 4 P1'!$A$1:$F$22</definedName>
    <definedName name="_xlnm.Print_Area" localSheetId="4">'Attach 4 P2'!$A$1:$E$22</definedName>
    <definedName name="_xlnm.Print_Area" localSheetId="5">'Attach 4 P3'!$A$1:$J$22</definedName>
    <definedName name="_xlnm.Print_Area" localSheetId="6">'Attach 4 P4 '!$A$1:$H$34</definedName>
    <definedName name="_xlnm.Print_Area" localSheetId="7">'Attach 4 P5'!$A$1:$H$34</definedName>
    <definedName name="_xlnm.Print_Area" localSheetId="8">'Attach 4 P6 - CIEP'!$A$1:$E$14</definedName>
    <definedName name="_xlnm.Print_Area" localSheetId="1">'Attach2 - BidFactors'!$A$1:$L$360</definedName>
    <definedName name="_xlnm.Print_Area" localSheetId="2">'Attach3 - AuctionRateResult'!$A$1:$L$213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6">'Attach 4 P4 '!$2:$4</definedName>
    <definedName name="_xlnm.Print_Titles" localSheetId="7">'Attach 4 P5'!$2:$4</definedName>
    <definedName name="_xlnm.Print_Titles" localSheetId="2">'Attach3 - AuctionRateResult'!$1:$4</definedName>
    <definedName name="_xlnm.Print_Titles">#N/A</definedName>
    <definedName name="Rpt_Mo" localSheetId="3">#REF!</definedName>
    <definedName name="Rpt_Mo" localSheetId="4">#REF!</definedName>
    <definedName name="Rpt_Mo" localSheetId="5">#REF!</definedName>
    <definedName name="Rpt_Mo" localSheetId="6">#REF!</definedName>
    <definedName name="Rpt_Mo" localSheetId="7">#REF!</definedName>
    <definedName name="Rpt_Mo" localSheetId="8">#REF!</definedName>
    <definedName name="Rpt_Mo">#REF!</definedName>
    <definedName name="SUM" localSheetId="3">#REF!</definedName>
    <definedName name="SUM" localSheetId="4">#REF!</definedName>
    <definedName name="SUM" localSheetId="5">#REF!</definedName>
    <definedName name="SUM" localSheetId="6">#REF!</definedName>
    <definedName name="SUM" localSheetId="7">#REF!</definedName>
    <definedName name="SUM" localSheetId="8">#REF!</definedName>
    <definedName name="trl_hs1">#REF!</definedName>
    <definedName name="trl_rhs1">#REF!</definedName>
    <definedName name="trl_rlm1">#REF!</definedName>
    <definedName name="trl_rs1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 localSheetId="7">#REF!</definedName>
    <definedName name="Year1" localSheetId="8">#REF!</definedName>
    <definedName name="Year1">#REF!</definedName>
    <definedName name="Z_279F1FAD_C428_4166_9FD0_7026629BA599_.wvu.PrintArea" localSheetId="3" hidden="1">'Attach 4 P1'!$A$1:$G$21</definedName>
    <definedName name="Z_279F1FAD_C428_4166_9FD0_7026629BA599_.wvu.PrintArea" localSheetId="4" hidden="1">'Attach 4 P2'!$A$1:$E$21</definedName>
    <definedName name="Z_279F1FAD_C428_4166_9FD0_7026629BA599_.wvu.PrintArea" localSheetId="5" hidden="1">'Attach 4 P3'!$A$1:$J$21</definedName>
    <definedName name="Z_279F1FAD_C428_4166_9FD0_7026629BA599_.wvu.PrintArea" localSheetId="6" hidden="1">'Attach 4 P4 '!$A$1:$J$33</definedName>
    <definedName name="Z_279F1FAD_C428_4166_9FD0_7026629BA599_.wvu.PrintArea" localSheetId="7" hidden="1">'Attach 4 P5'!$A$1:$J$33</definedName>
    <definedName name="Z_279F1FAD_C428_4166_9FD0_7026629BA599_.wvu.PrintTitles" localSheetId="6" hidden="1">'Attach 4 P4 '!$2:$4</definedName>
    <definedName name="Z_279F1FAD_C428_4166_9FD0_7026629BA599_.wvu.PrintTitles" localSheetId="7" hidden="1">'Attach 4 P5'!$2:$4</definedName>
    <definedName name="Z_782F5CFE_DE26_4D5A_B82E_30A424B0A39B_.wvu.PrintArea" localSheetId="1" hidden="1">'Attach2 - BidFactors'!$A$1:$L$360</definedName>
    <definedName name="Z_782F5CFE_DE26_4D5A_B82E_30A424B0A39B_.wvu.PrintArea" localSheetId="2" hidden="1">'Attach3 - AuctionRateResult'!$A$1:$L$213</definedName>
    <definedName name="Z_782F5CFE_DE26_4D5A_B82E_30A424B0A39B_.wvu.PrintTitles" localSheetId="2" hidden="1">'Attach3 - AuctionRateResult'!$1:$4</definedName>
    <definedName name="Z_782F5CFE_DE26_4D5A_B82E_30A424B0A39B_.wvu.Rows" localSheetId="2" hidden="1">'Attach3 - AuctionRateResult'!$214:$275</definedName>
    <definedName name="Z_782F5CFE_DE26_4D5A_B82E_30A424B0A39B_.wvu.Rows" localSheetId="0" hidden="1">Inputs!$310:$386</definedName>
    <definedName name="Z_88B031DE_0423_45A5_B384_E560A52FDD07_.wvu.PrintArea" localSheetId="1" hidden="1">'Attach2 - BidFactors'!$A$1:$L$360</definedName>
    <definedName name="Z_88B031DE_0423_45A5_B384_E560A52FDD07_.wvu.PrintArea" localSheetId="2" hidden="1">'Attach3 - AuctionRateResult'!$A$1:$L$213</definedName>
    <definedName name="Z_88B031DE_0423_45A5_B384_E560A52FDD07_.wvu.PrintTitles" localSheetId="2" hidden="1">'Attach3 - AuctionRateResult'!$1:$4</definedName>
    <definedName name="Z_88B031DE_0423_45A5_B384_E560A52FDD07_.wvu.Rows" localSheetId="2" hidden="1">'Attach3 - AuctionRateResult'!$214:$275</definedName>
    <definedName name="Z_88B031DE_0423_45A5_B384_E560A52FDD07_.wvu.Rows" localSheetId="0" hidden="1">Inputs!$310:$386</definedName>
    <definedName name="Z_9BF7FAF1_D686_4A6B_A2BE_0DAD43841920_.wvu.PrintArea" localSheetId="1" hidden="1">'Attach2 - BidFactors'!$A$1:$L$360</definedName>
    <definedName name="Z_9BF7FAF1_D686_4A6B_A2BE_0DAD43841920_.wvu.PrintArea" localSheetId="2" hidden="1">'Attach3 - AuctionRateResult'!$A$1:$L$213</definedName>
    <definedName name="Z_9BF7FAF1_D686_4A6B_A2BE_0DAD43841920_.wvu.PrintTitles" localSheetId="2" hidden="1">'Attach3 - AuctionRateResult'!$1:$4</definedName>
    <definedName name="Z_9BF7FAF1_D686_4A6B_A2BE_0DAD43841920_.wvu.Rows" localSheetId="2" hidden="1">'Attach3 - AuctionRateResult'!$214:$275</definedName>
    <definedName name="Z_9BF7FAF1_D686_4A6B_A2BE_0DAD43841920_.wvu.Rows" localSheetId="0" hidden="1">Inputs!$310:$386</definedName>
    <definedName name="Z_D5524E47_947F_4D9F_AE8B_3F0380261994_.wvu.PrintArea" localSheetId="1" hidden="1">'Attach2 - BidFactors'!$A$1:$L$360</definedName>
    <definedName name="Z_D5524E47_947F_4D9F_AE8B_3F0380261994_.wvu.PrintArea" localSheetId="2" hidden="1">'Attach3 - AuctionRateResult'!$A$1:$L$213</definedName>
    <definedName name="Z_D5524E47_947F_4D9F_AE8B_3F0380261994_.wvu.PrintTitles" localSheetId="2" hidden="1">'Attach3 - AuctionRateResult'!$1:$4</definedName>
    <definedName name="Z_D5524E47_947F_4D9F_AE8B_3F0380261994_.wvu.Rows" localSheetId="2" hidden="1">'Attach3 - AuctionRateResult'!$214:$275</definedName>
    <definedName name="Z_D5524E47_947F_4D9F_AE8B_3F0380261994_.wvu.Rows" localSheetId="0" hidden="1">Inputs!$310:$386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0" l="1"/>
  <c r="D91" i="10"/>
  <c r="B93" i="10"/>
  <c r="B92" i="10"/>
  <c r="B91" i="10"/>
  <c r="F100" i="2"/>
  <c r="G308" i="2"/>
  <c r="C33" i="10"/>
  <c r="D33" i="10"/>
  <c r="E33" i="10"/>
  <c r="F33" i="10"/>
  <c r="G33" i="10"/>
  <c r="H33" i="10"/>
  <c r="I33" i="10"/>
  <c r="J33" i="10"/>
  <c r="K33" i="10"/>
  <c r="C34" i="10"/>
  <c r="D34" i="10"/>
  <c r="E34" i="10"/>
  <c r="F34" i="10"/>
  <c r="G34" i="10"/>
  <c r="H34" i="10"/>
  <c r="I34" i="10"/>
  <c r="J34" i="10"/>
  <c r="K34" i="10"/>
  <c r="B34" i="10"/>
  <c r="B33" i="10"/>
  <c r="C28" i="10"/>
  <c r="D28" i="10"/>
  <c r="E28" i="10"/>
  <c r="F28" i="10"/>
  <c r="G28" i="10"/>
  <c r="H28" i="10"/>
  <c r="I28" i="10"/>
  <c r="J28" i="10"/>
  <c r="K28" i="10"/>
  <c r="C29" i="10"/>
  <c r="D29" i="10"/>
  <c r="E29" i="10"/>
  <c r="F29" i="10"/>
  <c r="G29" i="10"/>
  <c r="H29" i="10"/>
  <c r="I29" i="10"/>
  <c r="J29" i="10"/>
  <c r="K29" i="10"/>
  <c r="C30" i="10"/>
  <c r="D30" i="10"/>
  <c r="E30" i="10"/>
  <c r="F30" i="10"/>
  <c r="G30" i="10"/>
  <c r="H30" i="10"/>
  <c r="I30" i="10"/>
  <c r="J30" i="10"/>
  <c r="K30" i="10"/>
  <c r="B29" i="10"/>
  <c r="B30" i="10"/>
  <c r="B28" i="10"/>
  <c r="C7" i="9" l="1"/>
  <c r="C12" i="9" s="1"/>
  <c r="E13" i="8"/>
  <c r="C8" i="7"/>
  <c r="C14" i="6"/>
  <c r="C7" i="6"/>
  <c r="D14" i="5"/>
  <c r="C14" i="5"/>
  <c r="D7" i="5"/>
  <c r="C7" i="5"/>
  <c r="E14" i="4"/>
  <c r="D14" i="4"/>
  <c r="E7" i="4"/>
  <c r="D7" i="4"/>
  <c r="C7" i="4"/>
  <c r="J160" i="3"/>
  <c r="I160" i="3"/>
  <c r="H160" i="3"/>
  <c r="G160" i="3"/>
  <c r="F160" i="3"/>
  <c r="E160" i="3"/>
  <c r="D160" i="3"/>
  <c r="C160" i="3"/>
  <c r="E47" i="3"/>
  <c r="E88" i="3" s="1"/>
  <c r="D18" i="3"/>
  <c r="C18" i="3"/>
  <c r="D17" i="3"/>
  <c r="C17" i="3"/>
  <c r="E14" i="3"/>
  <c r="D12" i="7" s="1"/>
  <c r="D14" i="3"/>
  <c r="C12" i="7" s="1"/>
  <c r="C14" i="3"/>
  <c r="D8" i="3"/>
  <c r="C8" i="3"/>
  <c r="E6" i="3"/>
  <c r="E7" i="3" s="1"/>
  <c r="D6" i="3"/>
  <c r="D7" i="3" s="1"/>
  <c r="C6" i="3"/>
  <c r="C7" i="3" s="1"/>
  <c r="B1" i="3"/>
  <c r="C294" i="2"/>
  <c r="C291" i="2"/>
  <c r="C290" i="2"/>
  <c r="C289" i="2"/>
  <c r="E271" i="2"/>
  <c r="F271" i="2" s="1"/>
  <c r="F69" i="3" s="1"/>
  <c r="C271" i="2"/>
  <c r="C69" i="3" s="1"/>
  <c r="I69" i="3" s="1"/>
  <c r="J249" i="2"/>
  <c r="J47" i="3" s="1"/>
  <c r="J88" i="3" s="1"/>
  <c r="I249" i="2"/>
  <c r="I47" i="3" s="1"/>
  <c r="I88" i="3" s="1"/>
  <c r="H249" i="2"/>
  <c r="H47" i="3" s="1"/>
  <c r="H88" i="3" s="1"/>
  <c r="G249" i="2"/>
  <c r="G47" i="3" s="1"/>
  <c r="G88" i="3" s="1"/>
  <c r="F249" i="2"/>
  <c r="F47" i="3" s="1"/>
  <c r="F88" i="3" s="1"/>
  <c r="E249" i="2"/>
  <c r="D249" i="2"/>
  <c r="D47" i="3" s="1"/>
  <c r="D88" i="3" s="1"/>
  <c r="C249" i="2"/>
  <c r="C47" i="3" s="1"/>
  <c r="C88" i="3" s="1"/>
  <c r="J223" i="2"/>
  <c r="J279" i="2" s="1"/>
  <c r="J76" i="3" s="1"/>
  <c r="J113" i="3" s="1"/>
  <c r="J185" i="3" s="1"/>
  <c r="I223" i="2"/>
  <c r="I279" i="2" s="1"/>
  <c r="I76" i="3" s="1"/>
  <c r="I113" i="3" s="1"/>
  <c r="I185" i="3" s="1"/>
  <c r="J215" i="2"/>
  <c r="D215" i="2"/>
  <c r="C215" i="2"/>
  <c r="I215" i="2" s="1"/>
  <c r="J198" i="2"/>
  <c r="I198" i="2"/>
  <c r="H198" i="2"/>
  <c r="G198" i="2"/>
  <c r="F198" i="2"/>
  <c r="E198" i="2"/>
  <c r="D198" i="2"/>
  <c r="C198" i="2"/>
  <c r="J182" i="2"/>
  <c r="I182" i="2"/>
  <c r="H182" i="2"/>
  <c r="G182" i="2"/>
  <c r="F182" i="2"/>
  <c r="E182" i="2"/>
  <c r="D182" i="2"/>
  <c r="C182" i="2"/>
  <c r="R173" i="2"/>
  <c r="Q173" i="2"/>
  <c r="C169" i="2" s="1"/>
  <c r="C170" i="2" s="1"/>
  <c r="D172" i="2"/>
  <c r="C172" i="2"/>
  <c r="D169" i="2"/>
  <c r="D170" i="2" s="1"/>
  <c r="D167" i="2"/>
  <c r="C167" i="2"/>
  <c r="D164" i="2"/>
  <c r="F164" i="2" s="1"/>
  <c r="H160" i="2"/>
  <c r="E155" i="2"/>
  <c r="AM152" i="2"/>
  <c r="AL152" i="2"/>
  <c r="K155" i="2" s="1"/>
  <c r="AK152" i="2"/>
  <c r="J155" i="2" s="1"/>
  <c r="AM151" i="2"/>
  <c r="AL151" i="2"/>
  <c r="AK151" i="2"/>
  <c r="AJ151" i="2"/>
  <c r="AI151" i="2"/>
  <c r="AD151" i="2"/>
  <c r="L150" i="2"/>
  <c r="K150" i="2"/>
  <c r="J150" i="2"/>
  <c r="I150" i="2"/>
  <c r="H150" i="2"/>
  <c r="G150" i="2"/>
  <c r="F150" i="2"/>
  <c r="E150" i="2"/>
  <c r="D150" i="2"/>
  <c r="C150" i="2"/>
  <c r="B149" i="2"/>
  <c r="AC134" i="2"/>
  <c r="Z134" i="2"/>
  <c r="W134" i="2"/>
  <c r="T134" i="2"/>
  <c r="Q134" i="2"/>
  <c r="L134" i="2"/>
  <c r="K134" i="2"/>
  <c r="J134" i="2"/>
  <c r="I134" i="2"/>
  <c r="H134" i="2"/>
  <c r="G134" i="2"/>
  <c r="F134" i="2"/>
  <c r="E134" i="2"/>
  <c r="D134" i="2"/>
  <c r="C134" i="2"/>
  <c r="L116" i="2"/>
  <c r="K116" i="2"/>
  <c r="J116" i="2"/>
  <c r="I116" i="2"/>
  <c r="H116" i="2"/>
  <c r="G116" i="2"/>
  <c r="F116" i="2"/>
  <c r="E116" i="2"/>
  <c r="D116" i="2"/>
  <c r="C116" i="2"/>
  <c r="L98" i="2"/>
  <c r="K98" i="2"/>
  <c r="J98" i="2"/>
  <c r="I98" i="2"/>
  <c r="H98" i="2"/>
  <c r="G98" i="2"/>
  <c r="F98" i="2"/>
  <c r="E98" i="2"/>
  <c r="D98" i="2"/>
  <c r="C98" i="2"/>
  <c r="C91" i="2"/>
  <c r="C90" i="2"/>
  <c r="C89" i="2"/>
  <c r="Q80" i="2"/>
  <c r="Q79" i="2"/>
  <c r="Q78" i="2"/>
  <c r="L77" i="2"/>
  <c r="K77" i="2"/>
  <c r="J77" i="2"/>
  <c r="I77" i="2"/>
  <c r="H77" i="2"/>
  <c r="G77" i="2"/>
  <c r="F77" i="2"/>
  <c r="E77" i="2"/>
  <c r="D77" i="2"/>
  <c r="C77" i="2"/>
  <c r="C74" i="2"/>
  <c r="C70" i="2"/>
  <c r="C69" i="2"/>
  <c r="C67" i="2"/>
  <c r="C66" i="2"/>
  <c r="C64" i="2"/>
  <c r="I63" i="2"/>
  <c r="I73" i="2" s="1"/>
  <c r="H63" i="2"/>
  <c r="H67" i="2" s="1"/>
  <c r="C63" i="2"/>
  <c r="J56" i="2"/>
  <c r="G56" i="2"/>
  <c r="F56" i="2"/>
  <c r="E56" i="2"/>
  <c r="D56" i="2"/>
  <c r="C56" i="2"/>
  <c r="F55" i="2"/>
  <c r="E55" i="2"/>
  <c r="K54" i="2"/>
  <c r="J54" i="2"/>
  <c r="G54" i="2"/>
  <c r="D54" i="2"/>
  <c r="C54" i="2"/>
  <c r="H53" i="2"/>
  <c r="G53" i="2"/>
  <c r="G52" i="2"/>
  <c r="F52" i="2"/>
  <c r="E52" i="2"/>
  <c r="D52" i="2"/>
  <c r="C52" i="2"/>
  <c r="AB51" i="2"/>
  <c r="J50" i="2"/>
  <c r="G50" i="2"/>
  <c r="F50" i="2"/>
  <c r="E50" i="2"/>
  <c r="D50" i="2"/>
  <c r="C50" i="2"/>
  <c r="AB49" i="2"/>
  <c r="F49" i="2"/>
  <c r="E49" i="2"/>
  <c r="D49" i="2"/>
  <c r="C49" i="2"/>
  <c r="AB48" i="2"/>
  <c r="K48" i="2"/>
  <c r="G48" i="2"/>
  <c r="F48" i="2"/>
  <c r="E48" i="2"/>
  <c r="Q45" i="2" s="1"/>
  <c r="D48" i="2"/>
  <c r="H47" i="2"/>
  <c r="D47" i="2"/>
  <c r="C47" i="2"/>
  <c r="AB46" i="2"/>
  <c r="K46" i="2"/>
  <c r="G46" i="2"/>
  <c r="F46" i="2"/>
  <c r="E46" i="2"/>
  <c r="AE45" i="2"/>
  <c r="AF45" i="2" s="1"/>
  <c r="AD45" i="2"/>
  <c r="M45" i="2" s="1"/>
  <c r="D45" i="2"/>
  <c r="C45" i="2"/>
  <c r="X43" i="2"/>
  <c r="W43" i="2"/>
  <c r="V43" i="2"/>
  <c r="U43" i="2"/>
  <c r="T43" i="2"/>
  <c r="S43" i="2"/>
  <c r="R43" i="2"/>
  <c r="Q43" i="2"/>
  <c r="P43" i="2"/>
  <c r="O43" i="2"/>
  <c r="L43" i="2"/>
  <c r="K43" i="2"/>
  <c r="J43" i="2"/>
  <c r="I43" i="2"/>
  <c r="H43" i="2"/>
  <c r="G43" i="2"/>
  <c r="F43" i="2"/>
  <c r="E43" i="2"/>
  <c r="D43" i="2"/>
  <c r="C43" i="2"/>
  <c r="B42" i="2"/>
  <c r="L38" i="2"/>
  <c r="X38" i="2" s="1"/>
  <c r="E38" i="2"/>
  <c r="Q38" i="2" s="1"/>
  <c r="L36" i="2"/>
  <c r="X36" i="2" s="1"/>
  <c r="E36" i="2"/>
  <c r="L35" i="2"/>
  <c r="X35" i="2" s="1"/>
  <c r="Q32" i="2"/>
  <c r="Q31" i="2"/>
  <c r="Q30" i="2"/>
  <c r="L30" i="2"/>
  <c r="X30" i="2" s="1"/>
  <c r="L29" i="2"/>
  <c r="X29" i="2" s="1"/>
  <c r="E29" i="2"/>
  <c r="Q29" i="2" s="1"/>
  <c r="E27" i="2"/>
  <c r="Q27" i="2" s="1"/>
  <c r="X25" i="2"/>
  <c r="W25" i="2"/>
  <c r="V25" i="2"/>
  <c r="U25" i="2"/>
  <c r="T25" i="2"/>
  <c r="S25" i="2"/>
  <c r="R25" i="2"/>
  <c r="Q25" i="2"/>
  <c r="P25" i="2"/>
  <c r="O25" i="2"/>
  <c r="L25" i="2"/>
  <c r="K25" i="2"/>
  <c r="J25" i="2"/>
  <c r="I25" i="2"/>
  <c r="H25" i="2"/>
  <c r="G25" i="2"/>
  <c r="F25" i="2"/>
  <c r="E25" i="2"/>
  <c r="D25" i="2"/>
  <c r="C25" i="2"/>
  <c r="E23" i="2"/>
  <c r="E22" i="2"/>
  <c r="L20" i="2"/>
  <c r="X20" i="2" s="1"/>
  <c r="K20" i="2"/>
  <c r="W20" i="2" s="1"/>
  <c r="J20" i="2"/>
  <c r="V20" i="2" s="1"/>
  <c r="I20" i="2"/>
  <c r="U20" i="2" s="1"/>
  <c r="H20" i="2"/>
  <c r="T20" i="2" s="1"/>
  <c r="L19" i="2"/>
  <c r="X19" i="2" s="1"/>
  <c r="K19" i="2"/>
  <c r="W19" i="2" s="1"/>
  <c r="J19" i="2"/>
  <c r="V19" i="2" s="1"/>
  <c r="I19" i="2"/>
  <c r="U19" i="2" s="1"/>
  <c r="H19" i="2"/>
  <c r="T19" i="2" s="1"/>
  <c r="F19" i="2"/>
  <c r="R19" i="2" s="1"/>
  <c r="E19" i="2"/>
  <c r="Q19" i="2" s="1"/>
  <c r="D19" i="2"/>
  <c r="P19" i="2" s="1"/>
  <c r="C19" i="2"/>
  <c r="O19" i="2" s="1"/>
  <c r="L18" i="2"/>
  <c r="X18" i="2" s="1"/>
  <c r="K18" i="2"/>
  <c r="W18" i="2" s="1"/>
  <c r="J18" i="2"/>
  <c r="V18" i="2" s="1"/>
  <c r="I18" i="2"/>
  <c r="U18" i="2" s="1"/>
  <c r="H18" i="2"/>
  <c r="T18" i="2" s="1"/>
  <c r="C18" i="2"/>
  <c r="J17" i="2"/>
  <c r="V17" i="2" s="1"/>
  <c r="I17" i="2"/>
  <c r="U17" i="2" s="1"/>
  <c r="H17" i="2"/>
  <c r="T17" i="2" s="1"/>
  <c r="G17" i="2"/>
  <c r="S17" i="2" s="1"/>
  <c r="F17" i="2"/>
  <c r="R17" i="2" s="1"/>
  <c r="E17" i="2"/>
  <c r="Q17" i="2" s="1"/>
  <c r="D17" i="2"/>
  <c r="P17" i="2" s="1"/>
  <c r="C17" i="2"/>
  <c r="O17" i="2" s="1"/>
  <c r="L16" i="2"/>
  <c r="X16" i="2" s="1"/>
  <c r="K16" i="2"/>
  <c r="W16" i="2" s="1"/>
  <c r="Q15" i="2"/>
  <c r="L15" i="2"/>
  <c r="X15" i="2" s="1"/>
  <c r="K15" i="2"/>
  <c r="W15" i="2" s="1"/>
  <c r="J15" i="2"/>
  <c r="V15" i="2" s="1"/>
  <c r="I15" i="2"/>
  <c r="U15" i="2" s="1"/>
  <c r="D15" i="2"/>
  <c r="P15" i="2" s="1"/>
  <c r="C15" i="2"/>
  <c r="O15" i="2" s="1"/>
  <c r="L14" i="2"/>
  <c r="K14" i="2"/>
  <c r="J14" i="2"/>
  <c r="I14" i="2"/>
  <c r="U14" i="2" s="1"/>
  <c r="H14" i="2"/>
  <c r="T14" i="2" s="1"/>
  <c r="D14" i="2"/>
  <c r="C14" i="2"/>
  <c r="L13" i="2"/>
  <c r="X13" i="2" s="1"/>
  <c r="K13" i="2"/>
  <c r="W13" i="2" s="1"/>
  <c r="J13" i="2"/>
  <c r="V13" i="2" s="1"/>
  <c r="I13" i="2"/>
  <c r="U13" i="2" s="1"/>
  <c r="H13" i="2"/>
  <c r="T13" i="2" s="1"/>
  <c r="D13" i="2"/>
  <c r="P13" i="2" s="1"/>
  <c r="C13" i="2"/>
  <c r="O13" i="2" s="1"/>
  <c r="L12" i="2"/>
  <c r="X12" i="2" s="1"/>
  <c r="K12" i="2"/>
  <c r="W12" i="2" s="1"/>
  <c r="J12" i="2"/>
  <c r="V12" i="2" s="1"/>
  <c r="I12" i="2"/>
  <c r="U12" i="2" s="1"/>
  <c r="H12" i="2"/>
  <c r="T12" i="2" s="1"/>
  <c r="D12" i="2"/>
  <c r="P12" i="2" s="1"/>
  <c r="C12" i="2"/>
  <c r="O12" i="2" s="1"/>
  <c r="V11" i="2"/>
  <c r="L11" i="2"/>
  <c r="X11" i="2" s="1"/>
  <c r="K11" i="2"/>
  <c r="W11" i="2" s="1"/>
  <c r="J11" i="2"/>
  <c r="I11" i="2"/>
  <c r="U11" i="2" s="1"/>
  <c r="H11" i="2"/>
  <c r="T11" i="2" s="1"/>
  <c r="D11" i="2"/>
  <c r="P11" i="2" s="1"/>
  <c r="C11" i="2"/>
  <c r="O11" i="2" s="1"/>
  <c r="L10" i="2"/>
  <c r="X10" i="2" s="1"/>
  <c r="K10" i="2"/>
  <c r="W10" i="2" s="1"/>
  <c r="W9" i="2"/>
  <c r="V9" i="2"/>
  <c r="U9" i="2"/>
  <c r="L9" i="2"/>
  <c r="X9" i="2" s="1"/>
  <c r="K9" i="2"/>
  <c r="J9" i="2"/>
  <c r="I9" i="2"/>
  <c r="H9" i="2"/>
  <c r="T9" i="2" s="1"/>
  <c r="G9" i="2"/>
  <c r="D9" i="2"/>
  <c r="P9" i="2" s="1"/>
  <c r="C9" i="2"/>
  <c r="O9" i="2" s="1"/>
  <c r="X7" i="2"/>
  <c r="W7" i="2"/>
  <c r="V7" i="2"/>
  <c r="U7" i="2"/>
  <c r="T7" i="2"/>
  <c r="S7" i="2"/>
  <c r="R7" i="2"/>
  <c r="Q7" i="2"/>
  <c r="P7" i="2"/>
  <c r="O7" i="2"/>
  <c r="E4" i="2"/>
  <c r="B2" i="2"/>
  <c r="O139" i="1"/>
  <c r="N139" i="1"/>
  <c r="D176" i="2"/>
  <c r="D175" i="2"/>
  <c r="D165" i="2"/>
  <c r="F165" i="2" s="1"/>
  <c r="C287" i="2" s="1"/>
  <c r="AD155" i="2"/>
  <c r="B105" i="1"/>
  <c r="X155" i="2" s="1"/>
  <c r="AD154" i="2"/>
  <c r="AJ152" i="2"/>
  <c r="I155" i="2" s="1"/>
  <c r="AI152" i="2"/>
  <c r="H155" i="2" s="1"/>
  <c r="AH152" i="2"/>
  <c r="G155" i="2" s="1"/>
  <c r="AG152" i="2"/>
  <c r="F155" i="2" s="1"/>
  <c r="AF152" i="2"/>
  <c r="AE152" i="2"/>
  <c r="D155" i="2" s="1"/>
  <c r="AH151" i="2"/>
  <c r="AF151" i="2"/>
  <c r="AE151" i="2"/>
  <c r="C73" i="2"/>
  <c r="C72" i="2"/>
  <c r="C71" i="2"/>
  <c r="I68" i="2"/>
  <c r="I71" i="2" s="1"/>
  <c r="H68" i="2"/>
  <c r="C68" i="2"/>
  <c r="C65" i="2"/>
  <c r="D63" i="2"/>
  <c r="D68" i="2"/>
  <c r="D69" i="2" s="1"/>
  <c r="AB56" i="2"/>
  <c r="K56" i="2"/>
  <c r="I56" i="2"/>
  <c r="H56" i="2"/>
  <c r="AB55" i="2"/>
  <c r="K55" i="2"/>
  <c r="J55" i="2"/>
  <c r="I55" i="2"/>
  <c r="H55" i="2"/>
  <c r="G55" i="2"/>
  <c r="D55" i="2"/>
  <c r="C55" i="2"/>
  <c r="AB54" i="2"/>
  <c r="I54" i="2"/>
  <c r="H54" i="2"/>
  <c r="F54" i="2"/>
  <c r="E54" i="2"/>
  <c r="AB53" i="2"/>
  <c r="K53" i="2"/>
  <c r="J53" i="2"/>
  <c r="I53" i="2"/>
  <c r="F53" i="2"/>
  <c r="E53" i="2"/>
  <c r="D53" i="2"/>
  <c r="C53" i="2"/>
  <c r="AB52" i="2"/>
  <c r="K52" i="2"/>
  <c r="J52" i="2"/>
  <c r="I52" i="2"/>
  <c r="H52" i="2"/>
  <c r="K51" i="2"/>
  <c r="J51" i="2"/>
  <c r="I51" i="2"/>
  <c r="H51" i="2"/>
  <c r="G51" i="2"/>
  <c r="F51" i="2"/>
  <c r="E51" i="2"/>
  <c r="D51" i="2"/>
  <c r="C51" i="2"/>
  <c r="AB50" i="2"/>
  <c r="K50" i="2"/>
  <c r="I50" i="2"/>
  <c r="H50" i="2"/>
  <c r="K49" i="2"/>
  <c r="J49" i="2"/>
  <c r="I49" i="2"/>
  <c r="H49" i="2"/>
  <c r="G49" i="2"/>
  <c r="J48" i="2"/>
  <c r="I48" i="2"/>
  <c r="H48" i="2"/>
  <c r="C48" i="2"/>
  <c r="AB47" i="2"/>
  <c r="L47" i="2" s="1"/>
  <c r="K47" i="2"/>
  <c r="J47" i="2"/>
  <c r="I47" i="2"/>
  <c r="G47" i="2"/>
  <c r="F47" i="2"/>
  <c r="E47" i="2"/>
  <c r="J46" i="2"/>
  <c r="I46" i="2"/>
  <c r="H46" i="2"/>
  <c r="D46" i="2"/>
  <c r="C46" i="2"/>
  <c r="AB45" i="2"/>
  <c r="K45" i="2"/>
  <c r="F45" i="2"/>
  <c r="E45" i="2"/>
  <c r="B47" i="1"/>
  <c r="L37" i="2"/>
  <c r="X37" i="2" s="1"/>
  <c r="E37" i="2"/>
  <c r="Q37" i="2" s="1"/>
  <c r="E35" i="2"/>
  <c r="Q35" i="2" s="1"/>
  <c r="L34" i="2"/>
  <c r="X34" i="2" s="1"/>
  <c r="E34" i="2"/>
  <c r="Q34" i="2" s="1"/>
  <c r="L33" i="2"/>
  <c r="X33" i="2" s="1"/>
  <c r="E33" i="2"/>
  <c r="Q33" i="2" s="1"/>
  <c r="L32" i="2"/>
  <c r="E32" i="2"/>
  <c r="L31" i="2"/>
  <c r="X31" i="2" s="1"/>
  <c r="E31" i="2"/>
  <c r="E30" i="2"/>
  <c r="L28" i="2"/>
  <c r="X28" i="2" s="1"/>
  <c r="E28" i="2"/>
  <c r="Q28" i="2" s="1"/>
  <c r="L27" i="2"/>
  <c r="E28" i="1"/>
  <c r="G20" i="2"/>
  <c r="S20" i="2" s="1"/>
  <c r="F20" i="2"/>
  <c r="R20" i="2" s="1"/>
  <c r="E20" i="2"/>
  <c r="Q20" i="2" s="1"/>
  <c r="D20" i="2"/>
  <c r="P20" i="2" s="1"/>
  <c r="C20" i="2"/>
  <c r="O20" i="2" s="1"/>
  <c r="G19" i="2"/>
  <c r="S19" i="2" s="1"/>
  <c r="G18" i="2"/>
  <c r="S18" i="2" s="1"/>
  <c r="F18" i="2"/>
  <c r="R18" i="2" s="1"/>
  <c r="E18" i="2"/>
  <c r="Q18" i="2" s="1"/>
  <c r="D18" i="2"/>
  <c r="L17" i="2"/>
  <c r="X17" i="2" s="1"/>
  <c r="K17" i="2"/>
  <c r="W17" i="2" s="1"/>
  <c r="J16" i="2"/>
  <c r="V16" i="2" s="1"/>
  <c r="I16" i="2"/>
  <c r="U16" i="2" s="1"/>
  <c r="H16" i="2"/>
  <c r="T16" i="2" s="1"/>
  <c r="G16" i="2"/>
  <c r="S16" i="2" s="1"/>
  <c r="F16" i="2"/>
  <c r="R16" i="2" s="1"/>
  <c r="E16" i="2"/>
  <c r="Q16" i="2" s="1"/>
  <c r="D16" i="2"/>
  <c r="P16" i="2" s="1"/>
  <c r="C16" i="2"/>
  <c r="O16" i="2" s="1"/>
  <c r="H15" i="2"/>
  <c r="T15" i="2" s="1"/>
  <c r="G15" i="2"/>
  <c r="S15" i="2" s="1"/>
  <c r="F15" i="2"/>
  <c r="R15" i="2" s="1"/>
  <c r="E15" i="2"/>
  <c r="G14" i="2"/>
  <c r="F14" i="2"/>
  <c r="E14" i="2"/>
  <c r="G13" i="2"/>
  <c r="S13" i="2" s="1"/>
  <c r="F13" i="2"/>
  <c r="R13" i="2" s="1"/>
  <c r="E13" i="2"/>
  <c r="Q13" i="2" s="1"/>
  <c r="G12" i="2"/>
  <c r="S12" i="2" s="1"/>
  <c r="F12" i="2"/>
  <c r="R12" i="2" s="1"/>
  <c r="E12" i="2"/>
  <c r="Q12" i="2" s="1"/>
  <c r="G11" i="2"/>
  <c r="S11" i="2" s="1"/>
  <c r="F11" i="2"/>
  <c r="R11" i="2" s="1"/>
  <c r="E11" i="2"/>
  <c r="Q11" i="2" s="1"/>
  <c r="J10" i="2"/>
  <c r="V10" i="2" s="1"/>
  <c r="I10" i="2"/>
  <c r="U10" i="2" s="1"/>
  <c r="H10" i="2"/>
  <c r="T10" i="2" s="1"/>
  <c r="G10" i="2"/>
  <c r="S10" i="2" s="1"/>
  <c r="F10" i="2"/>
  <c r="R10" i="2" s="1"/>
  <c r="E10" i="2"/>
  <c r="Q10" i="2" s="1"/>
  <c r="D10" i="2"/>
  <c r="P10" i="2" s="1"/>
  <c r="C10" i="2"/>
  <c r="O10" i="2" s="1"/>
  <c r="F9" i="2"/>
  <c r="E9" i="2"/>
  <c r="E9" i="1"/>
  <c r="E27" i="1" s="1"/>
  <c r="B7" i="1"/>
  <c r="D271" i="2" l="1"/>
  <c r="D69" i="3" s="1"/>
  <c r="R45" i="2"/>
  <c r="C92" i="2"/>
  <c r="L45" i="2"/>
  <c r="H73" i="2"/>
  <c r="E57" i="2"/>
  <c r="F57" i="2"/>
  <c r="Q81" i="2"/>
  <c r="E69" i="3"/>
  <c r="E106" i="3" s="1"/>
  <c r="E68" i="2"/>
  <c r="D177" i="2"/>
  <c r="C292" i="2" s="1"/>
  <c r="L53" i="2"/>
  <c r="J219" i="2"/>
  <c r="J275" i="2" s="1"/>
  <c r="I219" i="2"/>
  <c r="I275" i="2" s="1"/>
  <c r="J153" i="2"/>
  <c r="J188" i="2" s="1"/>
  <c r="AD157" i="2"/>
  <c r="AE157" i="2"/>
  <c r="C84" i="2"/>
  <c r="C85" i="2" s="1"/>
  <c r="K85" i="2" s="1"/>
  <c r="K86" i="2" s="1"/>
  <c r="H66" i="2"/>
  <c r="E69" i="2"/>
  <c r="L49" i="2"/>
  <c r="L153" i="2"/>
  <c r="O49" i="2"/>
  <c r="W49" i="2"/>
  <c r="Q166" i="2"/>
  <c r="C286" i="2"/>
  <c r="J220" i="2"/>
  <c r="J276" i="2" s="1"/>
  <c r="I220" i="2"/>
  <c r="I276" i="2" s="1"/>
  <c r="J218" i="2"/>
  <c r="J274" i="2" s="1"/>
  <c r="I218" i="2"/>
  <c r="I274" i="2" s="1"/>
  <c r="X32" i="2"/>
  <c r="E67" i="2"/>
  <c r="T49" i="2"/>
  <c r="T65" i="2"/>
  <c r="U49" i="2"/>
  <c r="U65" i="2"/>
  <c r="S14" i="2"/>
  <c r="S65" i="2"/>
  <c r="R14" i="2"/>
  <c r="R65" i="2"/>
  <c r="K57" i="2"/>
  <c r="D65" i="2"/>
  <c r="E65" i="2" s="1"/>
  <c r="D74" i="2"/>
  <c r="D72" i="2"/>
  <c r="E72" i="2" s="1"/>
  <c r="G153" i="2"/>
  <c r="AH157" i="2"/>
  <c r="Q138" i="2"/>
  <c r="Q49" i="2"/>
  <c r="Q137" i="2"/>
  <c r="D67" i="2"/>
  <c r="AJ157" i="2"/>
  <c r="I153" i="2"/>
  <c r="R47" i="2"/>
  <c r="E63" i="2"/>
  <c r="V49" i="2"/>
  <c r="V66" i="2" s="1"/>
  <c r="E74" i="2"/>
  <c r="O65" i="2"/>
  <c r="O14" i="2"/>
  <c r="O18" i="2"/>
  <c r="O61" i="2"/>
  <c r="I66" i="2"/>
  <c r="I74" i="2"/>
  <c r="I65" i="2"/>
  <c r="I64" i="2"/>
  <c r="I67" i="2"/>
  <c r="I72" i="2"/>
  <c r="V65" i="2"/>
  <c r="V14" i="2"/>
  <c r="Q14" i="2"/>
  <c r="T137" i="2"/>
  <c r="W137" i="2" s="1"/>
  <c r="Q65" i="2"/>
  <c r="I45" i="2"/>
  <c r="J45" i="2"/>
  <c r="V61" i="2" s="1"/>
  <c r="C106" i="3"/>
  <c r="AG151" i="2"/>
  <c r="M101" i="1"/>
  <c r="E178" i="3"/>
  <c r="J178" i="3" s="1"/>
  <c r="J106" i="3"/>
  <c r="S9" i="2"/>
  <c r="O53" i="2"/>
  <c r="O54" i="2" s="1"/>
  <c r="AA134" i="2"/>
  <c r="AD134" i="2"/>
  <c r="X134" i="2"/>
  <c r="P49" i="2"/>
  <c r="W61" i="2"/>
  <c r="D184" i="2"/>
  <c r="R134" i="2"/>
  <c r="E184" i="2"/>
  <c r="R49" i="2"/>
  <c r="D73" i="2"/>
  <c r="E73" i="2" s="1"/>
  <c r="H153" i="2"/>
  <c r="AI157" i="2"/>
  <c r="F184" i="2"/>
  <c r="S49" i="2"/>
  <c r="U134" i="2"/>
  <c r="Q9" i="2"/>
  <c r="Q61" i="2"/>
  <c r="X27" i="2"/>
  <c r="W45" i="2"/>
  <c r="AK157" i="2"/>
  <c r="AL157" i="2"/>
  <c r="H74" i="2"/>
  <c r="H65" i="2"/>
  <c r="H64" i="2"/>
  <c r="H72" i="2"/>
  <c r="L54" i="2"/>
  <c r="L51" i="2"/>
  <c r="L46" i="2"/>
  <c r="P14" i="2"/>
  <c r="P65" i="2"/>
  <c r="L48" i="2"/>
  <c r="Q36" i="2"/>
  <c r="Q142" i="2" s="1"/>
  <c r="Q141" i="2"/>
  <c r="Q46" i="2"/>
  <c r="Q47" i="2" s="1"/>
  <c r="AB57" i="2"/>
  <c r="L155" i="2"/>
  <c r="D64" i="2"/>
  <c r="E64" i="2" s="1"/>
  <c r="C153" i="2"/>
  <c r="D153" i="2"/>
  <c r="G45" i="2"/>
  <c r="S61" i="2" s="1"/>
  <c r="P18" i="2"/>
  <c r="P61" i="2"/>
  <c r="Q50" i="2"/>
  <c r="H45" i="2"/>
  <c r="W65" i="2"/>
  <c r="W66" i="2" s="1"/>
  <c r="W14" i="2"/>
  <c r="L52" i="2"/>
  <c r="D66" i="2"/>
  <c r="E66" i="2" s="1"/>
  <c r="K153" i="2"/>
  <c r="X14" i="2"/>
  <c r="C12" i="8"/>
  <c r="C15" i="3"/>
  <c r="D15" i="3" s="1"/>
  <c r="E15" i="3" s="1"/>
  <c r="C13" i="4" s="1"/>
  <c r="C14" i="4" s="1"/>
  <c r="L56" i="2"/>
  <c r="D13" i="8"/>
  <c r="H69" i="2"/>
  <c r="H70" i="2"/>
  <c r="H71" i="2"/>
  <c r="C79" i="2"/>
  <c r="AD152" i="2"/>
  <c r="C155" i="2" s="1"/>
  <c r="M102" i="1"/>
  <c r="R9" i="2"/>
  <c r="R61" i="2"/>
  <c r="I69" i="2"/>
  <c r="I70" i="2"/>
  <c r="AM157" i="2"/>
  <c r="L55" i="2"/>
  <c r="D71" i="2"/>
  <c r="E71" i="2" s="1"/>
  <c r="D70" i="2"/>
  <c r="E70" i="2" s="1"/>
  <c r="E153" i="2"/>
  <c r="AF157" i="2"/>
  <c r="L50" i="2"/>
  <c r="O45" i="2"/>
  <c r="P45" i="2"/>
  <c r="C57" i="2"/>
  <c r="T141" i="2"/>
  <c r="D57" i="2"/>
  <c r="S66" i="2" l="1"/>
  <c r="J69" i="3"/>
  <c r="I84" i="2"/>
  <c r="E85" i="2"/>
  <c r="E86" i="2" s="1"/>
  <c r="C86" i="2"/>
  <c r="H84" i="2"/>
  <c r="D84" i="2"/>
  <c r="E84" i="2"/>
  <c r="F84" i="2"/>
  <c r="G84" i="2"/>
  <c r="L84" i="2"/>
  <c r="H85" i="2"/>
  <c r="H86" i="2" s="1"/>
  <c r="I85" i="2"/>
  <c r="I86" i="2" s="1"/>
  <c r="L85" i="2"/>
  <c r="L86" i="2" s="1"/>
  <c r="J85" i="2"/>
  <c r="J86" i="2" s="1"/>
  <c r="K84" i="2"/>
  <c r="J84" i="2"/>
  <c r="D85" i="2"/>
  <c r="D86" i="2" s="1"/>
  <c r="G85" i="2"/>
  <c r="G86" i="2" s="1"/>
  <c r="F85" i="2"/>
  <c r="F86" i="2" s="1"/>
  <c r="U141" i="2"/>
  <c r="X61" i="2"/>
  <c r="J189" i="2"/>
  <c r="X45" i="2"/>
  <c r="X47" i="2" s="1"/>
  <c r="X46" i="2"/>
  <c r="X50" i="2"/>
  <c r="R142" i="2"/>
  <c r="R68" i="2"/>
  <c r="R66" i="2"/>
  <c r="P68" i="2"/>
  <c r="U66" i="2"/>
  <c r="W62" i="2"/>
  <c r="W69" i="2" s="1"/>
  <c r="S68" i="2"/>
  <c r="U61" i="2"/>
  <c r="U68" i="2" s="1"/>
  <c r="I57" i="2"/>
  <c r="I184" i="2" s="1"/>
  <c r="U45" i="2"/>
  <c r="U62" i="2" s="1"/>
  <c r="F106" i="2"/>
  <c r="F124" i="2" s="1"/>
  <c r="T61" i="2"/>
  <c r="T68" i="2" s="1"/>
  <c r="H105" i="2"/>
  <c r="H123" i="2" s="1"/>
  <c r="H104" i="2"/>
  <c r="H122" i="2" s="1"/>
  <c r="H140" i="2" s="1"/>
  <c r="T45" i="2"/>
  <c r="H57" i="2"/>
  <c r="H184" i="2" s="1"/>
  <c r="Q68" i="2"/>
  <c r="W68" i="2"/>
  <c r="L57" i="2"/>
  <c r="E106" i="2"/>
  <c r="E124" i="2" s="1"/>
  <c r="T142" i="2"/>
  <c r="W142" i="2" s="1"/>
  <c r="I188" i="2"/>
  <c r="I189" i="2"/>
  <c r="S45" i="2"/>
  <c r="S62" i="2" s="1"/>
  <c r="G57" i="2"/>
  <c r="G184" i="2" s="1"/>
  <c r="U142" i="2"/>
  <c r="D188" i="2"/>
  <c r="D189" i="2"/>
  <c r="Q62" i="2"/>
  <c r="E189" i="2"/>
  <c r="E188" i="2"/>
  <c r="V68" i="2"/>
  <c r="Q66" i="2"/>
  <c r="Q51" i="2"/>
  <c r="C178" i="3"/>
  <c r="I178" i="3" s="1"/>
  <c r="I106" i="3"/>
  <c r="G102" i="2"/>
  <c r="G120" i="2" s="1"/>
  <c r="O68" i="2"/>
  <c r="J73" i="3"/>
  <c r="J110" i="3" s="1"/>
  <c r="J72" i="3"/>
  <c r="J109" i="3" s="1"/>
  <c r="C188" i="2"/>
  <c r="C189" i="2"/>
  <c r="H189" i="2"/>
  <c r="H188" i="2"/>
  <c r="O66" i="2"/>
  <c r="G189" i="2"/>
  <c r="G188" i="2"/>
  <c r="H106" i="2"/>
  <c r="H124" i="2" s="1"/>
  <c r="T66" i="2"/>
  <c r="F153" i="2"/>
  <c r="M153" i="2" s="1"/>
  <c r="AG157" i="2"/>
  <c r="AN157" i="2" s="1"/>
  <c r="AN151" i="2"/>
  <c r="R62" i="2"/>
  <c r="R69" i="2" s="1"/>
  <c r="P62" i="2"/>
  <c r="P47" i="2"/>
  <c r="O62" i="2"/>
  <c r="O47" i="2"/>
  <c r="P66" i="2"/>
  <c r="P53" i="2"/>
  <c r="P54" i="2" s="1"/>
  <c r="U138" i="2"/>
  <c r="R138" i="2"/>
  <c r="R137" i="2"/>
  <c r="X65" i="2"/>
  <c r="Y65" i="2" s="1"/>
  <c r="U137" i="2"/>
  <c r="X49" i="2"/>
  <c r="C184" i="2"/>
  <c r="R141" i="2"/>
  <c r="X141" i="2" s="1"/>
  <c r="C80" i="2"/>
  <c r="L79" i="2"/>
  <c r="L80" i="2" s="1"/>
  <c r="K79" i="2"/>
  <c r="K80" i="2" s="1"/>
  <c r="J79" i="2"/>
  <c r="J80" i="2" s="1"/>
  <c r="J104" i="2" s="1"/>
  <c r="J122" i="2" s="1"/>
  <c r="J140" i="2" s="1"/>
  <c r="I79" i="2"/>
  <c r="I80" i="2" s="1"/>
  <c r="I105" i="2" s="1"/>
  <c r="I123" i="2" s="1"/>
  <c r="F79" i="2"/>
  <c r="F80" i="2" s="1"/>
  <c r="E79" i="2"/>
  <c r="E80" i="2" s="1"/>
  <c r="D79" i="2"/>
  <c r="D80" i="2" s="1"/>
  <c r="H79" i="2"/>
  <c r="H80" i="2" s="1"/>
  <c r="G79" i="2"/>
  <c r="G80" i="2" s="1"/>
  <c r="G106" i="2" s="1"/>
  <c r="G124" i="2" s="1"/>
  <c r="T138" i="2"/>
  <c r="W138" i="2" s="1"/>
  <c r="I72" i="3"/>
  <c r="I109" i="3" s="1"/>
  <c r="I73" i="3"/>
  <c r="I110" i="3" s="1"/>
  <c r="J57" i="2"/>
  <c r="J184" i="2" s="1"/>
  <c r="V45" i="2"/>
  <c r="V62" i="2" s="1"/>
  <c r="V69" i="2" s="1"/>
  <c r="W141" i="2"/>
  <c r="D187" i="2"/>
  <c r="C187" i="2"/>
  <c r="I187" i="2"/>
  <c r="E187" i="2"/>
  <c r="I106" i="2" l="1"/>
  <c r="I124" i="2" s="1"/>
  <c r="I104" i="2"/>
  <c r="I122" i="2" s="1"/>
  <c r="I140" i="2" s="1"/>
  <c r="X62" i="2"/>
  <c r="E8" i="4"/>
  <c r="C8" i="6" s="1"/>
  <c r="C10" i="6" s="1"/>
  <c r="C16" i="6" s="1"/>
  <c r="C8" i="4"/>
  <c r="C10" i="4" s="1"/>
  <c r="C16" i="4" s="1"/>
  <c r="D8" i="4"/>
  <c r="D10" i="4" s="1"/>
  <c r="D16" i="4" s="1"/>
  <c r="S69" i="2"/>
  <c r="Y45" i="2"/>
  <c r="J187" i="2"/>
  <c r="J206" i="2" s="1"/>
  <c r="J309" i="2" s="1"/>
  <c r="C358" i="2"/>
  <c r="C21" i="3" s="1"/>
  <c r="C20" i="8" s="1"/>
  <c r="X137" i="2"/>
  <c r="C359" i="2"/>
  <c r="C360" i="2" s="1"/>
  <c r="H187" i="2"/>
  <c r="H206" i="2"/>
  <c r="H309" i="2" s="1"/>
  <c r="U69" i="2"/>
  <c r="X142" i="2"/>
  <c r="Q69" i="2"/>
  <c r="P69" i="2"/>
  <c r="C20" i="7"/>
  <c r="K81" i="2"/>
  <c r="K100" i="2"/>
  <c r="K104" i="2"/>
  <c r="K122" i="2" s="1"/>
  <c r="K140" i="2" s="1"/>
  <c r="C221" i="2" s="1"/>
  <c r="K105" i="2"/>
  <c r="K123" i="2" s="1"/>
  <c r="K101" i="2"/>
  <c r="K119" i="2" s="1"/>
  <c r="L81" i="2"/>
  <c r="L106" i="2"/>
  <c r="L124" i="2" s="1"/>
  <c r="L105" i="2"/>
  <c r="L123" i="2" s="1"/>
  <c r="L101" i="2"/>
  <c r="L119" i="2" s="1"/>
  <c r="L104" i="2"/>
  <c r="L122" i="2" s="1"/>
  <c r="E10" i="4"/>
  <c r="E16" i="4" s="1"/>
  <c r="C81" i="2"/>
  <c r="C101" i="2"/>
  <c r="C119" i="2" s="1"/>
  <c r="C102" i="2"/>
  <c r="C120" i="2" s="1"/>
  <c r="C104" i="2"/>
  <c r="C122" i="2" s="1"/>
  <c r="C140" i="2" s="1"/>
  <c r="C206" i="2" s="1"/>
  <c r="C105" i="2"/>
  <c r="C123" i="2" s="1"/>
  <c r="C100" i="2"/>
  <c r="C106" i="2"/>
  <c r="C124" i="2" s="1"/>
  <c r="L102" i="2"/>
  <c r="L120" i="2" s="1"/>
  <c r="G130" i="3"/>
  <c r="J181" i="3"/>
  <c r="F188" i="2"/>
  <c r="F189" i="2"/>
  <c r="Y68" i="2"/>
  <c r="L100" i="2"/>
  <c r="Y61" i="2"/>
  <c r="D130" i="3"/>
  <c r="I181" i="3"/>
  <c r="I206" i="2"/>
  <c r="H81" i="2"/>
  <c r="H101" i="2"/>
  <c r="H119" i="2" s="1"/>
  <c r="H100" i="2"/>
  <c r="H102" i="2"/>
  <c r="H120" i="2" s="1"/>
  <c r="D81" i="2"/>
  <c r="D101" i="2"/>
  <c r="D119" i="2" s="1"/>
  <c r="D104" i="2"/>
  <c r="D122" i="2" s="1"/>
  <c r="D140" i="2" s="1"/>
  <c r="D206" i="2" s="1"/>
  <c r="D102" i="2"/>
  <c r="D120" i="2" s="1"/>
  <c r="D100" i="2"/>
  <c r="D105" i="2"/>
  <c r="D123" i="2" s="1"/>
  <c r="D106" i="2"/>
  <c r="D124" i="2" s="1"/>
  <c r="X68" i="2"/>
  <c r="E81" i="2"/>
  <c r="E102" i="2"/>
  <c r="E120" i="2" s="1"/>
  <c r="E101" i="2"/>
  <c r="E119" i="2" s="1"/>
  <c r="E137" i="2" s="1"/>
  <c r="E105" i="2"/>
  <c r="E123" i="2" s="1"/>
  <c r="E141" i="2" s="1"/>
  <c r="E104" i="2"/>
  <c r="E122" i="2" s="1"/>
  <c r="E100" i="2"/>
  <c r="F187" i="2"/>
  <c r="F81" i="2"/>
  <c r="F102" i="2"/>
  <c r="F120" i="2" s="1"/>
  <c r="F101" i="2"/>
  <c r="F119" i="2" s="1"/>
  <c r="F104" i="2"/>
  <c r="F122" i="2" s="1"/>
  <c r="F140" i="2" s="1"/>
  <c r="F105" i="2"/>
  <c r="F123" i="2" s="1"/>
  <c r="J81" i="2"/>
  <c r="J101" i="2"/>
  <c r="J119" i="2" s="1"/>
  <c r="J100" i="2"/>
  <c r="O69" i="2"/>
  <c r="X51" i="2"/>
  <c r="X66" i="2"/>
  <c r="Y66" i="2" s="1"/>
  <c r="Z65" i="2" s="1"/>
  <c r="Z66" i="2" s="1"/>
  <c r="J105" i="2"/>
  <c r="J123" i="2" s="1"/>
  <c r="K102" i="2"/>
  <c r="K120" i="2" s="1"/>
  <c r="G131" i="3"/>
  <c r="J182" i="3"/>
  <c r="D131" i="3"/>
  <c r="I182" i="3"/>
  <c r="J106" i="2"/>
  <c r="J124" i="2" s="1"/>
  <c r="G81" i="2"/>
  <c r="G105" i="2"/>
  <c r="G123" i="2" s="1"/>
  <c r="G101" i="2"/>
  <c r="G119" i="2" s="1"/>
  <c r="G100" i="2"/>
  <c r="G104" i="2"/>
  <c r="G122" i="2" s="1"/>
  <c r="G140" i="2" s="1"/>
  <c r="K106" i="2"/>
  <c r="K124" i="2" s="1"/>
  <c r="X138" i="2"/>
  <c r="Y49" i="2"/>
  <c r="Z45" i="2" s="1"/>
  <c r="Z49" i="2" s="1"/>
  <c r="J102" i="2"/>
  <c r="J120" i="2" s="1"/>
  <c r="G187" i="2"/>
  <c r="I81" i="2"/>
  <c r="I101" i="2"/>
  <c r="I119" i="2" s="1"/>
  <c r="I102" i="2"/>
  <c r="I120" i="2" s="1"/>
  <c r="I100" i="2"/>
  <c r="T62" i="2"/>
  <c r="T69" i="2" s="1"/>
  <c r="D8" i="5" l="1"/>
  <c r="D10" i="5" s="1"/>
  <c r="D16" i="5" s="1"/>
  <c r="L137" i="2"/>
  <c r="C8" i="5"/>
  <c r="C10" i="5" s="1"/>
  <c r="C16" i="5" s="1"/>
  <c r="F206" i="2"/>
  <c r="F309" i="2" s="1"/>
  <c r="C22" i="3"/>
  <c r="C21" i="8" s="1"/>
  <c r="L141" i="2"/>
  <c r="AA141" i="2" s="1"/>
  <c r="Y62" i="2"/>
  <c r="Z61" i="2"/>
  <c r="Z62" i="2" s="1"/>
  <c r="E140" i="2"/>
  <c r="AC143" i="2"/>
  <c r="E207" i="2"/>
  <c r="Z141" i="2"/>
  <c r="L108" i="2"/>
  <c r="L118" i="2"/>
  <c r="Z137" i="2"/>
  <c r="E201" i="2"/>
  <c r="E138" i="2"/>
  <c r="L142" i="2"/>
  <c r="X69" i="2"/>
  <c r="Y69" i="2"/>
  <c r="Z68" i="2" s="1"/>
  <c r="Z69" i="2" s="1"/>
  <c r="L138" i="2"/>
  <c r="G206" i="2"/>
  <c r="D118" i="2"/>
  <c r="D108" i="2"/>
  <c r="G108" i="2"/>
  <c r="G118" i="2"/>
  <c r="K108" i="2"/>
  <c r="K118" i="2"/>
  <c r="C108" i="2"/>
  <c r="C118" i="2"/>
  <c r="F108" i="2"/>
  <c r="F118" i="2"/>
  <c r="H108" i="2"/>
  <c r="H118" i="2"/>
  <c r="C309" i="2"/>
  <c r="D137" i="3"/>
  <c r="D132" i="3"/>
  <c r="E142" i="2"/>
  <c r="I309" i="2"/>
  <c r="I108" i="2"/>
  <c r="I118" i="2"/>
  <c r="G132" i="3"/>
  <c r="L140" i="2"/>
  <c r="D221" i="2" s="1"/>
  <c r="AD143" i="2"/>
  <c r="AA137" i="2"/>
  <c r="D218" i="2"/>
  <c r="C21" i="7"/>
  <c r="D222" i="2"/>
  <c r="C18" i="6"/>
  <c r="C19" i="6" s="1"/>
  <c r="C21" i="6" s="1"/>
  <c r="C9" i="8" s="1"/>
  <c r="E18" i="4"/>
  <c r="E19" i="4" s="1"/>
  <c r="E21" i="4" s="1"/>
  <c r="E9" i="3" s="1"/>
  <c r="D18" i="4"/>
  <c r="D19" i="4" s="1"/>
  <c r="D21" i="4" s="1"/>
  <c r="D9" i="3" s="1"/>
  <c r="D11" i="3" s="1"/>
  <c r="C18" i="4"/>
  <c r="C19" i="4" s="1"/>
  <c r="C21" i="4" s="1"/>
  <c r="C9" i="3" s="1"/>
  <c r="C11" i="3" s="1"/>
  <c r="D18" i="5"/>
  <c r="D19" i="5" s="1"/>
  <c r="D21" i="5" s="1"/>
  <c r="D9" i="7" s="1"/>
  <c r="C18" i="5"/>
  <c r="C19" i="5" s="1"/>
  <c r="C21" i="5" s="1"/>
  <c r="C9" i="7" s="1"/>
  <c r="C10" i="7" s="1"/>
  <c r="J108" i="2"/>
  <c r="J118" i="2"/>
  <c r="C232" i="2"/>
  <c r="K309" i="2"/>
  <c r="D309" i="2"/>
  <c r="E118" i="2"/>
  <c r="E108" i="2"/>
  <c r="D136" i="3"/>
  <c r="D138" i="3" l="1"/>
  <c r="D26" i="3"/>
  <c r="E8" i="3"/>
  <c r="D25" i="3"/>
  <c r="D136" i="2"/>
  <c r="D126" i="2"/>
  <c r="AA138" i="2"/>
  <c r="AA139" i="2" s="1"/>
  <c r="D219" i="2"/>
  <c r="D229" i="2"/>
  <c r="F274" i="2" s="1"/>
  <c r="F72" i="3" s="1"/>
  <c r="H126" i="2"/>
  <c r="H136" i="2"/>
  <c r="E136" i="2"/>
  <c r="E144" i="2" s="1"/>
  <c r="E126" i="2"/>
  <c r="AC139" i="2"/>
  <c r="F126" i="2"/>
  <c r="F136" i="2"/>
  <c r="L309" i="2"/>
  <c r="D232" i="2"/>
  <c r="E202" i="2"/>
  <c r="Z138" i="2"/>
  <c r="Z139" i="2" s="1"/>
  <c r="I126" i="2"/>
  <c r="I136" i="2"/>
  <c r="L126" i="2"/>
  <c r="L136" i="2"/>
  <c r="AD139" i="2"/>
  <c r="K126" i="2"/>
  <c r="K136" i="2"/>
  <c r="C25" i="7"/>
  <c r="C24" i="7"/>
  <c r="D233" i="2"/>
  <c r="F278" i="2" s="1"/>
  <c r="F76" i="3" s="1"/>
  <c r="G309" i="2"/>
  <c r="D223" i="2"/>
  <c r="AA142" i="2"/>
  <c r="AA143" i="2" s="1"/>
  <c r="D277" i="2"/>
  <c r="D75" i="3" s="1"/>
  <c r="J126" i="2"/>
  <c r="J136" i="2"/>
  <c r="C136" i="2"/>
  <c r="C126" i="2"/>
  <c r="C110" i="2"/>
  <c r="C26" i="3"/>
  <c r="C25" i="3"/>
  <c r="Z142" i="2"/>
  <c r="Z143" i="2" s="1"/>
  <c r="E208" i="2"/>
  <c r="E309" i="2" s="1"/>
  <c r="G126" i="2"/>
  <c r="G136" i="2"/>
  <c r="E210" i="2" l="1"/>
  <c r="C318" i="2"/>
  <c r="E323" i="2" s="1"/>
  <c r="E308" i="2"/>
  <c r="E310" i="2" s="1"/>
  <c r="E313" i="2" s="1"/>
  <c r="C27" i="3"/>
  <c r="F200" i="2"/>
  <c r="F144" i="2"/>
  <c r="F210" i="2" s="1"/>
  <c r="C200" i="2"/>
  <c r="C144" i="2"/>
  <c r="C210" i="2" s="1"/>
  <c r="C128" i="2"/>
  <c r="C145" i="2" s="1"/>
  <c r="J144" i="2"/>
  <c r="J210" i="2" s="1"/>
  <c r="J200" i="2"/>
  <c r="H144" i="2"/>
  <c r="H210" i="2" s="1"/>
  <c r="H200" i="2"/>
  <c r="C26" i="7"/>
  <c r="K144" i="2"/>
  <c r="C225" i="2" s="1"/>
  <c r="C236" i="2" s="1"/>
  <c r="C217" i="2"/>
  <c r="D230" i="2"/>
  <c r="F275" i="2" s="1"/>
  <c r="F73" i="3" s="1"/>
  <c r="G200" i="2"/>
  <c r="G144" i="2"/>
  <c r="G210" i="2" s="1"/>
  <c r="L144" i="2"/>
  <c r="D225" i="2" s="1"/>
  <c r="D236" i="2" s="1"/>
  <c r="D217" i="2"/>
  <c r="I200" i="2"/>
  <c r="I144" i="2"/>
  <c r="I210" i="2" s="1"/>
  <c r="D200" i="2"/>
  <c r="D144" i="2"/>
  <c r="D210" i="2" s="1"/>
  <c r="E11" i="3"/>
  <c r="C8" i="8"/>
  <c r="C10" i="8" s="1"/>
  <c r="D8" i="7"/>
  <c r="D10" i="7" s="1"/>
  <c r="D234" i="2"/>
  <c r="F279" i="2" s="1"/>
  <c r="F77" i="3" s="1"/>
  <c r="D27" i="3"/>
  <c r="F308" i="2" l="1"/>
  <c r="C25" i="8"/>
  <c r="C24" i="8"/>
  <c r="I308" i="2"/>
  <c r="E314" i="2"/>
  <c r="L308" i="2"/>
  <c r="D228" i="2"/>
  <c r="C239" i="2"/>
  <c r="C203" i="2"/>
  <c r="K308" i="2"/>
  <c r="C228" i="2"/>
  <c r="E8" i="7"/>
  <c r="D25" i="7"/>
  <c r="D24" i="7"/>
  <c r="H308" i="2"/>
  <c r="J308" i="2"/>
  <c r="D203" i="2"/>
  <c r="C256" i="2" l="1"/>
  <c r="C54" i="3" s="1"/>
  <c r="C204" i="2"/>
  <c r="C257" i="2" s="1"/>
  <c r="C55" i="3" s="1"/>
  <c r="J310" i="2"/>
  <c r="J314" i="2" s="1"/>
  <c r="D241" i="2"/>
  <c r="C273" i="2" s="1"/>
  <c r="C71" i="3" s="1"/>
  <c r="D240" i="2"/>
  <c r="H310" i="2"/>
  <c r="H314" i="2" s="1"/>
  <c r="L310" i="2"/>
  <c r="L314" i="2" s="1"/>
  <c r="D26" i="7"/>
  <c r="I310" i="2"/>
  <c r="I314" i="2" s="1"/>
  <c r="D8" i="8"/>
  <c r="D10" i="8" s="1"/>
  <c r="E10" i="7"/>
  <c r="K310" i="2"/>
  <c r="K314" i="2" s="1"/>
  <c r="D273" i="2"/>
  <c r="D71" i="3" s="1"/>
  <c r="C26" i="8"/>
  <c r="G310" i="2"/>
  <c r="G314" i="2" s="1"/>
  <c r="F310" i="2"/>
  <c r="F314" i="2" s="1"/>
  <c r="D204" i="2"/>
  <c r="D257" i="2" s="1"/>
  <c r="D55" i="3" s="1"/>
  <c r="D256" i="2"/>
  <c r="D54" i="3" s="1"/>
  <c r="K313" i="2" l="1"/>
  <c r="D308" i="2"/>
  <c r="D310" i="2" s="1"/>
  <c r="D314" i="2" s="1"/>
  <c r="F313" i="2"/>
  <c r="G313" i="2"/>
  <c r="E25" i="7"/>
  <c r="E24" i="7"/>
  <c r="C29" i="7" s="1"/>
  <c r="E8" i="8"/>
  <c r="E10" i="8" s="1"/>
  <c r="D25" i="8"/>
  <c r="D24" i="8"/>
  <c r="I313" i="2"/>
  <c r="L313" i="2"/>
  <c r="H313" i="2"/>
  <c r="C328" i="2"/>
  <c r="J261" i="2"/>
  <c r="J59" i="3" s="1"/>
  <c r="H261" i="2"/>
  <c r="H59" i="3" s="1"/>
  <c r="I261" i="2"/>
  <c r="C261" i="2"/>
  <c r="C59" i="3" s="1"/>
  <c r="F261" i="2"/>
  <c r="F59" i="3" s="1"/>
  <c r="D261" i="2"/>
  <c r="D59" i="3" s="1"/>
  <c r="C277" i="2"/>
  <c r="C75" i="3" s="1"/>
  <c r="E252" i="2"/>
  <c r="E50" i="3" s="1"/>
  <c r="G261" i="2"/>
  <c r="G59" i="3" s="1"/>
  <c r="E262" i="2"/>
  <c r="E60" i="3" s="1"/>
  <c r="E274" i="2"/>
  <c r="E72" i="3" s="1"/>
  <c r="E265" i="2"/>
  <c r="E63" i="3" s="1"/>
  <c r="E253" i="2"/>
  <c r="E51" i="3" s="1"/>
  <c r="E263" i="2"/>
  <c r="E61" i="3" s="1"/>
  <c r="E278" i="2"/>
  <c r="E76" i="3" s="1"/>
  <c r="F251" i="2"/>
  <c r="F49" i="3" s="1"/>
  <c r="G251" i="2"/>
  <c r="G49" i="3" s="1"/>
  <c r="J265" i="2"/>
  <c r="J63" i="3" s="1"/>
  <c r="C281" i="2"/>
  <c r="C79" i="3" s="1"/>
  <c r="E275" i="2"/>
  <c r="E73" i="3" s="1"/>
  <c r="F265" i="2"/>
  <c r="F63" i="3" s="1"/>
  <c r="E279" i="2"/>
  <c r="E77" i="3" s="1"/>
  <c r="I265" i="2"/>
  <c r="I63" i="3" s="1"/>
  <c r="I251" i="2"/>
  <c r="H251" i="2"/>
  <c r="H49" i="3" s="1"/>
  <c r="E281" i="2"/>
  <c r="E79" i="3" s="1"/>
  <c r="C265" i="2"/>
  <c r="C63" i="3" s="1"/>
  <c r="H265" i="2"/>
  <c r="H63" i="3" s="1"/>
  <c r="C255" i="2"/>
  <c r="C53" i="3" s="1"/>
  <c r="D265" i="2"/>
  <c r="D63" i="3" s="1"/>
  <c r="G265" i="2"/>
  <c r="G63" i="3" s="1"/>
  <c r="J251" i="2"/>
  <c r="J49" i="3" s="1"/>
  <c r="D255" i="2"/>
  <c r="D53" i="3" s="1"/>
  <c r="J313" i="2"/>
  <c r="C308" i="2"/>
  <c r="K263" i="2" l="1"/>
  <c r="K61" i="3" s="1"/>
  <c r="I59" i="3"/>
  <c r="D313" i="2"/>
  <c r="E25" i="8"/>
  <c r="C30" i="8" s="1"/>
  <c r="E24" i="8"/>
  <c r="C29" i="8" s="1"/>
  <c r="I49" i="3"/>
  <c r="K253" i="2"/>
  <c r="K51" i="3" s="1"/>
  <c r="L334" i="2"/>
  <c r="K334" i="2"/>
  <c r="L335" i="2"/>
  <c r="F334" i="2"/>
  <c r="E334" i="2"/>
  <c r="D334" i="2"/>
  <c r="C334" i="2"/>
  <c r="C335" i="2"/>
  <c r="H334" i="2"/>
  <c r="G334" i="2"/>
  <c r="K335" i="2"/>
  <c r="H335" i="2"/>
  <c r="G335" i="2"/>
  <c r="F335" i="2"/>
  <c r="E335" i="2"/>
  <c r="D335" i="2"/>
  <c r="C317" i="2"/>
  <c r="C310" i="2"/>
  <c r="C314" i="2" s="1"/>
  <c r="D26" i="8"/>
  <c r="E26" i="7"/>
  <c r="C32" i="7" s="1"/>
  <c r="C30" i="7"/>
  <c r="I335" i="2" l="1"/>
  <c r="J335" i="2"/>
  <c r="I334" i="2"/>
  <c r="K336" i="2"/>
  <c r="L336" i="2"/>
  <c r="D336" i="2"/>
  <c r="E336" i="2"/>
  <c r="F336" i="2"/>
  <c r="G336" i="2"/>
  <c r="H336" i="2"/>
  <c r="C313" i="2"/>
  <c r="E322" i="2"/>
  <c r="C319" i="2"/>
  <c r="C323" i="2" s="1"/>
  <c r="J334" i="2"/>
  <c r="C336" i="2"/>
  <c r="E26" i="8"/>
  <c r="C32" i="8" s="1"/>
  <c r="I336" i="2" l="1"/>
  <c r="C339" i="2"/>
  <c r="C338" i="2"/>
  <c r="J336" i="2"/>
  <c r="C322" i="2"/>
  <c r="L323" i="2"/>
  <c r="L322" i="2"/>
  <c r="C340" i="2" l="1"/>
  <c r="C329" i="2"/>
  <c r="E17" i="3"/>
  <c r="E25" i="3" s="1"/>
  <c r="C330" i="2"/>
  <c r="E18" i="3"/>
  <c r="E26" i="3" s="1"/>
  <c r="E27" i="3" l="1"/>
  <c r="C205" i="3"/>
  <c r="C31" i="3"/>
  <c r="C143" i="3"/>
  <c r="K345" i="2"/>
  <c r="G345" i="2"/>
  <c r="J345" i="2"/>
  <c r="F345" i="2"/>
  <c r="E345" i="2"/>
  <c r="D345" i="2"/>
  <c r="I345" i="2"/>
  <c r="H345" i="2"/>
  <c r="C345" i="2"/>
  <c r="L345" i="2"/>
  <c r="C142" i="3"/>
  <c r="C30" i="3"/>
  <c r="C204" i="3"/>
  <c r="F344" i="2"/>
  <c r="L344" i="2"/>
  <c r="K344" i="2"/>
  <c r="J344" i="2"/>
  <c r="I344" i="2"/>
  <c r="E344" i="2"/>
  <c r="D344" i="2"/>
  <c r="H344" i="2"/>
  <c r="C344" i="2"/>
  <c r="G344" i="2"/>
  <c r="D346" i="2" l="1"/>
  <c r="H346" i="2"/>
  <c r="I346" i="2"/>
  <c r="E346" i="2"/>
  <c r="J346" i="2"/>
  <c r="L346" i="2"/>
  <c r="C349" i="2"/>
  <c r="C346" i="2"/>
  <c r="F346" i="2"/>
  <c r="C348" i="2"/>
  <c r="G346" i="2"/>
  <c r="K346" i="2"/>
  <c r="C144" i="3"/>
  <c r="C206" i="3"/>
  <c r="C38" i="3"/>
  <c r="C33" i="3"/>
  <c r="I97" i="3" l="1"/>
  <c r="E114" i="3"/>
  <c r="H97" i="3"/>
  <c r="E91" i="3"/>
  <c r="E109" i="3"/>
  <c r="I90" i="3"/>
  <c r="N66" i="3"/>
  <c r="G97" i="3"/>
  <c r="F97" i="3"/>
  <c r="D97" i="3"/>
  <c r="C97" i="3"/>
  <c r="D95" i="3"/>
  <c r="E110" i="3"/>
  <c r="C108" i="3"/>
  <c r="H90" i="3"/>
  <c r="G90" i="3"/>
  <c r="F90" i="3"/>
  <c r="C95" i="3"/>
  <c r="C94" i="3"/>
  <c r="E92" i="3"/>
  <c r="E113" i="3"/>
  <c r="C112" i="3"/>
  <c r="E99" i="3"/>
  <c r="E98" i="3"/>
  <c r="D94" i="3"/>
  <c r="C37" i="3"/>
  <c r="C39" i="3" s="1"/>
  <c r="C350" i="2"/>
  <c r="C352" i="2" s="1"/>
  <c r="C122" i="3" l="1"/>
  <c r="F122" i="3"/>
  <c r="G122" i="3"/>
  <c r="H122" i="3"/>
  <c r="C130" i="3"/>
  <c r="C123" i="3"/>
  <c r="D123" i="3"/>
  <c r="F123" i="3"/>
  <c r="G123" i="3"/>
  <c r="J90" i="3"/>
  <c r="I122" i="3"/>
  <c r="D122" i="3"/>
  <c r="F130" i="3"/>
  <c r="E123" i="3"/>
  <c r="E122" i="3"/>
  <c r="H123" i="3"/>
  <c r="C131" i="3"/>
  <c r="F131" i="3"/>
  <c r="J97" i="3"/>
  <c r="I123" i="3"/>
  <c r="F124" i="3" l="1"/>
  <c r="C124" i="3"/>
  <c r="I124" i="3"/>
  <c r="F132" i="3"/>
  <c r="H124" i="3"/>
  <c r="D124" i="3"/>
  <c r="C132" i="3"/>
  <c r="J123" i="3"/>
  <c r="E124" i="3"/>
  <c r="J122" i="3"/>
  <c r="C136" i="3" s="1"/>
  <c r="E136" i="3" s="1"/>
  <c r="C147" i="3" s="1"/>
  <c r="E147" i="3" s="1"/>
  <c r="G124" i="3"/>
  <c r="E164" i="3" l="1"/>
  <c r="C166" i="3"/>
  <c r="C167" i="3"/>
  <c r="I162" i="3"/>
  <c r="I194" i="3" s="1"/>
  <c r="F162" i="3"/>
  <c r="F194" i="3" s="1"/>
  <c r="G162" i="3"/>
  <c r="G194" i="3" s="1"/>
  <c r="H162" i="3"/>
  <c r="H194" i="3" s="1"/>
  <c r="C180" i="3"/>
  <c r="K194" i="3" s="1"/>
  <c r="E163" i="3"/>
  <c r="D167" i="3"/>
  <c r="D166" i="3"/>
  <c r="E181" i="3"/>
  <c r="E182" i="3"/>
  <c r="J162" i="3"/>
  <c r="J194" i="3" s="1"/>
  <c r="J124" i="3"/>
  <c r="C137" i="3"/>
  <c r="D194" i="3" l="1"/>
  <c r="E194" i="3"/>
  <c r="C138" i="3"/>
  <c r="E138" i="3" s="1"/>
  <c r="C149" i="3" s="1"/>
  <c r="E137" i="3"/>
  <c r="C148" i="3" s="1"/>
  <c r="E148" i="3" s="1"/>
  <c r="L194" i="3"/>
  <c r="C194" i="3"/>
  <c r="C198" i="3" l="1"/>
  <c r="C209" i="3" s="1"/>
  <c r="E209" i="3" s="1"/>
  <c r="E185" i="3"/>
  <c r="G169" i="3"/>
  <c r="G195" i="3" s="1"/>
  <c r="G196" i="3" s="1"/>
  <c r="I169" i="3"/>
  <c r="I195" i="3" s="1"/>
  <c r="I196" i="3" s="1"/>
  <c r="E170" i="3"/>
  <c r="E171" i="3"/>
  <c r="C169" i="3"/>
  <c r="C195" i="3" s="1"/>
  <c r="H169" i="3"/>
  <c r="H195" i="3" s="1"/>
  <c r="H196" i="3" s="1"/>
  <c r="D169" i="3"/>
  <c r="D195" i="3" s="1"/>
  <c r="D196" i="3" s="1"/>
  <c r="C184" i="3"/>
  <c r="K195" i="3" s="1"/>
  <c r="K196" i="3" s="1"/>
  <c r="E186" i="3"/>
  <c r="F169" i="3"/>
  <c r="F195" i="3" s="1"/>
  <c r="F196" i="3" s="1"/>
  <c r="J169" i="3"/>
  <c r="J195" i="3" s="1"/>
  <c r="J196" i="3" s="1"/>
  <c r="C196" i="3" l="1"/>
  <c r="E195" i="3"/>
  <c r="E196" i="3" s="1"/>
  <c r="L195" i="3"/>
  <c r="L196" i="3" s="1"/>
  <c r="C199" i="3" l="1"/>
  <c r="C210" i="3" l="1"/>
  <c r="E210" i="3" s="1"/>
  <c r="C200" i="3"/>
  <c r="C211" i="3" s="1"/>
  <c r="E2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Vogdes, Thomas C.</author>
    <author>Fee, George</author>
  </authors>
  <commentList>
    <comment ref="L102" authorId="0" shapeId="0" xr:uid="{B45FAA58-622D-4236-974C-319E133DDFA8}">
      <text>
        <r>
          <rPr>
            <b/>
            <sz val="9"/>
            <color indexed="81"/>
            <rFont val="Tahoma"/>
            <family val="2"/>
          </rPr>
          <t>Vogdes, Thomas C.:</t>
        </r>
        <r>
          <rPr>
            <sz val="9"/>
            <color indexed="81"/>
            <rFont val="Tahoma"/>
            <family val="2"/>
          </rPr>
          <t xml:space="preserve">
updated for completeness but transmission not used.</t>
        </r>
      </text>
    </comment>
    <comment ref="B138" authorId="1" shapeId="0" xr:uid="{BA1C18EA-3BC0-4E8F-A556-78DBF31A4B3E}">
      <text>
        <r>
          <rPr>
            <b/>
            <sz val="9"/>
            <color indexed="81"/>
            <rFont val="Tahoma"/>
            <family val="2"/>
          </rPr>
          <t>Fee, George:</t>
        </r>
        <r>
          <rPr>
            <sz val="9"/>
            <color indexed="81"/>
            <rFont val="Tahoma"/>
            <family val="2"/>
          </rPr>
          <t xml:space="preserve">
Only use "No" if analyzing estimated markup percentages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 Carruthers</author>
  </authors>
  <commentList>
    <comment ref="Q81" authorId="0" shapeId="0" xr:uid="{63673088-8F8D-4CD9-8DC0-A18F1BFF6BF3}">
      <text>
        <r>
          <rPr>
            <b/>
            <sz val="9"/>
            <color indexed="81"/>
            <rFont val="Tahoma"/>
            <family val="2"/>
          </rPr>
          <t>Jenn Carruthers:</t>
        </r>
        <r>
          <rPr>
            <sz val="9"/>
            <color indexed="81"/>
            <rFont val="Tahoma"/>
            <family val="2"/>
          </rPr>
          <t xml:space="preserve">
THIS IS THE LOSS FACTOR THAT GETS UPDATED AND ENTERED ON TARIFF SHEET 82</t>
        </r>
      </text>
    </comment>
  </commentList>
</comments>
</file>

<file path=xl/sharedStrings.xml><?xml version="1.0" encoding="utf-8"?>
<sst xmlns="http://schemas.openxmlformats.org/spreadsheetml/2006/main" count="1256" uniqueCount="465">
  <si>
    <t>Scenario Name</t>
  </si>
  <si>
    <t>Report year</t>
  </si>
  <si>
    <t xml:space="preserve"> </t>
  </si>
  <si>
    <t>Scenario Descr</t>
  </si>
  <si>
    <t>Adjusted to Billing Time Periods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</si>
  <si>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</si>
  <si>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</si>
  <si>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</si>
  <si>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</si>
  <si>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</si>
  <si>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>(data rounded to nearest .01%)</t>
  </si>
  <si>
    <t>RS</t>
  </si>
  <si>
    <t>RHS</t>
  </si>
  <si>
    <t>RLM</t>
  </si>
  <si>
    <t>WH</t>
  </si>
  <si>
    <t>WHS</t>
  </si>
  <si>
    <t>HS</t>
  </si>
  <si>
    <t>PSAL</t>
  </si>
  <si>
    <t>BPL</t>
  </si>
  <si>
    <t>GLP</t>
  </si>
  <si>
    <t>LPL-S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</si>
  <si>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</si>
  <si>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</si>
  <si>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</si>
  <si>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</si>
  <si>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</si>
  <si>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</si>
  <si>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</si>
  <si>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</si>
  <si>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</si>
  <si>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</si>
  <si>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</si>
  <si>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</si>
  <si>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</si>
  <si>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PSE&amp;G On-Peak Billing Period</t>
  </si>
  <si>
    <t>Table #3</t>
  </si>
  <si>
    <t>Class Usage @ customer</t>
  </si>
  <si>
    <t>in MWh</t>
  </si>
  <si>
    <t>LPL-S &gt; 500 kW PLS</t>
  </si>
  <si>
    <t>% of</t>
  </si>
  <si>
    <t>kWh</t>
  </si>
  <si>
    <t>Gen Obl</t>
  </si>
  <si>
    <t>Table #4</t>
  </si>
  <si>
    <t>Forwards Prices - Energy Only @ bulk system</t>
  </si>
  <si>
    <t>Table #5</t>
  </si>
  <si>
    <t>Zone to Western Hub Basis Differential</t>
  </si>
  <si>
    <t>in $/MWh, not including PJM losses</t>
  </si>
  <si>
    <t>Off/On Pk</t>
  </si>
  <si>
    <t>On-Peak</t>
  </si>
  <si>
    <t>LMP ratio</t>
  </si>
  <si>
    <t>Summer</t>
  </si>
  <si>
    <t>Winter</t>
  </si>
  <si>
    <t>Basis</t>
  </si>
  <si>
    <t>Off-Peak</t>
  </si>
  <si>
    <t>Table #6</t>
  </si>
  <si>
    <t>Loss Type</t>
  </si>
  <si>
    <t>Percentage</t>
  </si>
  <si>
    <t>Source</t>
  </si>
  <si>
    <t>Delivery Losses</t>
  </si>
  <si>
    <t>EHV Losses</t>
  </si>
  <si>
    <t>PJM - No update for 2025</t>
  </si>
  <si>
    <t>Marginal Loss Deration Factor</t>
  </si>
  <si>
    <t>Table #10</t>
  </si>
  <si>
    <t>Generation &amp; Transmission Obligations and Costs and Other Adjustments</t>
  </si>
  <si>
    <r>
      <t xml:space="preserve">Obligations - Peak Load shares eff 6/1/25, </t>
    </r>
    <r>
      <rPr>
        <i/>
        <sz val="10"/>
        <color rgb="FF143AF8"/>
        <rFont val="Arial"/>
        <family val="2"/>
      </rPr>
      <t>scaling factors eff 6/1/25</t>
    </r>
    <r>
      <rPr>
        <i/>
        <sz val="10"/>
        <color rgb="FF161BF6"/>
        <rFont val="Arial"/>
        <family val="2"/>
      </rPr>
      <t>, Transmission Loads eff 1/1/25; costs are market estimates</t>
    </r>
  </si>
  <si>
    <t>in MW</t>
  </si>
  <si>
    <t>Generation Peak Load Share</t>
  </si>
  <si>
    <t>Tranmsission Obligation</t>
  </si>
  <si>
    <t>Final Zonal RPM Scaling Factor</t>
  </si>
  <si>
    <t>Base Capacity</t>
  </si>
  <si>
    <t>Generation Capacity cost</t>
  </si>
  <si>
    <t>summer =</t>
  </si>
  <si>
    <t>$/MW/day</t>
  </si>
  <si>
    <t>winter =</t>
  </si>
  <si>
    <t>Required summer inversion =</t>
  </si>
  <si>
    <t>¢/kWh</t>
  </si>
  <si>
    <t>(same as 2003/2004 BGS blocking inversion)(generally not updated)</t>
  </si>
  <si>
    <t>Table #11</t>
  </si>
  <si>
    <t>Ancillary Services &amp; Renewable Power Cost</t>
  </si>
  <si>
    <t xml:space="preserve">Ancillary Services </t>
  </si>
  <si>
    <t>per MWh @  bulk system</t>
  </si>
  <si>
    <t>Renewable Power Cost</t>
  </si>
  <si>
    <t>BGS - CIEP BRA Clearing Price ($ per MW/Day)</t>
  </si>
  <si>
    <t>Annual Obligation Clearing Price</t>
  </si>
  <si>
    <t>per MWh</t>
  </si>
  <si>
    <t>Bill Impacts</t>
  </si>
  <si>
    <t>auction results and rates</t>
  </si>
  <si>
    <t>Specific BGS-RSCP Auction &gt;&gt;</t>
  </si>
  <si>
    <t>remaining portion of 36 month bid - 2024 auction</t>
  </si>
  <si>
    <t>remaining portion of 36 month bid - 2025 auction</t>
  </si>
  <si>
    <t>2026 auction</t>
  </si>
  <si>
    <t>remaining portion of 36 month bid - 2016 auction</t>
  </si>
  <si>
    <t>remaining portion of 36 month bid - 2017 auction</t>
  </si>
  <si>
    <t>remaining portion of 36 month bid - 2018 auction</t>
  </si>
  <si>
    <t>remaining portion of 36 month bid - 2019 auction</t>
  </si>
  <si>
    <t>remaining portion of 36 month bid - 2020 auction</t>
  </si>
  <si>
    <t>remaining portion of 36 month bid - 2021 auction</t>
  </si>
  <si>
    <t>remaining portion of 36 month bid - 2022 auction</t>
  </si>
  <si>
    <t>remaining portion of 36 month bid - 2023 auction</t>
  </si>
  <si>
    <t>Winning Bid - in $/MWh</t>
  </si>
  <si>
    <t># of Tranches for Bid</t>
  </si>
  <si>
    <t>Use Estimated amount in cell e136</t>
  </si>
  <si>
    <t>Yes</t>
  </si>
  <si>
    <t>Payment Factors</t>
  </si>
  <si>
    <t xml:space="preserve">                           Summer</t>
  </si>
  <si>
    <t xml:space="preserve">                           Winter</t>
  </si>
  <si>
    <t>NOTES:  Leap year (366 days )  was added for year 2023-2024 - this addition/ change occurs in tab</t>
  </si>
  <si>
    <t xml:space="preserve">In bid factors tab (attachment 3) on rows 152 &amp; 153 (approx).  </t>
  </si>
  <si>
    <t xml:space="preserve">Therefore we will not have another leap year until 27/28 bgs auction year </t>
  </si>
  <si>
    <t>as per screen shot here:</t>
  </si>
  <si>
    <t>% usage during Off-Peak period</t>
  </si>
  <si>
    <t xml:space="preserve"> -- Other Analysis --</t>
  </si>
  <si>
    <t>N/A</t>
  </si>
  <si>
    <t>Actual Billed Sales</t>
  </si>
  <si>
    <t>Usage by season - PSE&amp;G periods</t>
  </si>
  <si>
    <t>&lt; 500 kW</t>
  </si>
  <si>
    <t>Total</t>
  </si>
  <si>
    <t>%</t>
  </si>
  <si>
    <t>Trans Obl</t>
  </si>
  <si>
    <t>winter MWh =</t>
  </si>
  <si>
    <t>on-peak</t>
  </si>
  <si>
    <t>off-peak</t>
  </si>
  <si>
    <t>summer MWh =</t>
  </si>
  <si>
    <t>Block 1</t>
  </si>
  <si>
    <t>Block 2</t>
  </si>
  <si>
    <t>Usage by season/period - PJM periods</t>
  </si>
  <si>
    <t>in MWhs</t>
  </si>
  <si>
    <t>Resulting</t>
  </si>
  <si>
    <t>NYMEX Forwards -</t>
  </si>
  <si>
    <t>from NERA</t>
  </si>
  <si>
    <t xml:space="preserve">Congestion Factors &amp; On/Off Peak Ratios </t>
  </si>
  <si>
    <t>Summer Avg's from</t>
  </si>
  <si>
    <t xml:space="preserve">Winter Avg's from </t>
  </si>
  <si>
    <t>Total on-peak</t>
  </si>
  <si>
    <t>Total off-peak</t>
  </si>
  <si>
    <t>Losses</t>
  </si>
  <si>
    <t>from meter to bulk system (includes Delivery &amp; PJM EHV losses)</t>
  </si>
  <si>
    <t>Tariff (Result of 2018 Loss Study)</t>
  </si>
  <si>
    <t xml:space="preserve">     Loss Factors =</t>
  </si>
  <si>
    <t>PJM</t>
  </si>
  <si>
    <t xml:space="preserve">     Expansion Factor =</t>
  </si>
  <si>
    <t>NERA</t>
  </si>
  <si>
    <t xml:space="preserve">     1 / Expansion Factor =</t>
  </si>
  <si>
    <t>Marginal Loss Factor</t>
  </si>
  <si>
    <t>from meter to transmission node (includes Delivery less mean hourly PJM marginal losses)</t>
  </si>
  <si>
    <t xml:space="preserve">calc is :     = 1 - </t>
  </si>
  <si>
    <t>(1 - marginal loss (1.3154%)</t>
  </si>
  <si>
    <t>divided by:</t>
  </si>
  <si>
    <t>(1 - EHV losses (.456%)</t>
  </si>
  <si>
    <t xml:space="preserve">Therefore:  1 - </t>
  </si>
  <si>
    <t>1-0.013154</t>
  </si>
  <si>
    <t>1-0.00456</t>
  </si>
  <si>
    <t>Table #7</t>
  </si>
  <si>
    <t>Summary of Average BGS Energy Only Unit Costs @ customer - PJM Time Periods</t>
  </si>
  <si>
    <t>based on Forwards prices corrected for congestion &amp; all losses - PJM time periods</t>
  </si>
  <si>
    <t>in $/MWh</t>
  </si>
  <si>
    <t>Summer - all hrs</t>
  </si>
  <si>
    <t>PJM on pk</t>
  </si>
  <si>
    <t>PJM off pk</t>
  </si>
  <si>
    <t>Winter - all hrs</t>
  </si>
  <si>
    <t>Annual</t>
  </si>
  <si>
    <t>System Total</t>
  </si>
  <si>
    <t>Table #8</t>
  </si>
  <si>
    <t>Summary of Average BGS Energy Only Costs @ customer - PJM Time Periods</t>
  </si>
  <si>
    <t>based on Forwards prices corrected for congestion &amp; all losses</t>
  </si>
  <si>
    <t>in $1000</t>
  </si>
  <si>
    <t>Table #9</t>
  </si>
  <si>
    <t>Summary of Average BGS Energy Only Unit Costs @ customer - PSE&amp;G Time Periods</t>
  </si>
  <si>
    <t>MWhs in PSE&amp;G time periods</t>
  </si>
  <si>
    <t>MWhs in PJM time periods</t>
  </si>
  <si>
    <t>Difference in MWhs</t>
  </si>
  <si>
    <t>Check on total $ recovered</t>
  </si>
  <si>
    <t>based on Forwards prices corrected for congestion &amp; all losses - PSE&amp;G billing time periods</t>
  </si>
  <si>
    <t>(PJM - PSE&amp;G)</t>
  </si>
  <si>
    <t>PSE&amp;G time periods</t>
  </si>
  <si>
    <t>PJM time periods (Table #8)</t>
  </si>
  <si>
    <t>PSE&amp;G On pk</t>
  </si>
  <si>
    <t>PSE&amp;G Off pk</t>
  </si>
  <si>
    <t>Annual Average</t>
  </si>
  <si>
    <t>System Average</t>
  </si>
  <si>
    <t>Adj for PLS</t>
  </si>
  <si>
    <t>&gt; 500 kW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</si>
  <si>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</si>
  <si>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</si>
  <si>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</si>
  <si>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</si>
  <si>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</si>
  <si>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</si>
  <si>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</si>
  <si>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</si>
  <si>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</t>
  </si>
  <si>
    <t>year round =</t>
  </si>
  <si>
    <t>per MW-yr</t>
  </si>
  <si>
    <t>Base
Capacity</t>
  </si>
  <si>
    <t>Capacity Proxy True Up</t>
  </si>
  <si>
    <t>Total Capacity</t>
  </si>
  <si>
    <t xml:space="preserve">Resulting average generation capacity cost = </t>
  </si>
  <si>
    <t>annual  &gt;&gt;</t>
  </si>
  <si>
    <t>per kW/yr</t>
  </si>
  <si>
    <t>% usage in Summer Blocks</t>
  </si>
  <si>
    <t>Block 1 (0-600 kWh/m)</t>
  </si>
  <si>
    <t>(based on W/N actuals used in settlement and final rate design of 2018 Rate Case, rounded to .1%)</t>
  </si>
  <si>
    <t>Blocking Percentages based on Annualized W/N Usage Used in 2018 Electric Rate Case Settlement</t>
  </si>
  <si>
    <t>Block 2  (&gt;600 kWh/m)</t>
  </si>
  <si>
    <t>June - September (0-600)</t>
  </si>
  <si>
    <t>(same as 2003/2004 BGS blocking inversion)</t>
  </si>
  <si>
    <t>June - September (600+)</t>
  </si>
  <si>
    <t>Total Summer Usage</t>
  </si>
  <si>
    <t>Total Ancillary Services &amp; Renewable Power Costs</t>
  </si>
  <si>
    <t>Table #12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</si>
  <si>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</si>
  <si>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</si>
  <si>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</si>
  <si>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</si>
  <si>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recovery per summer MWh</t>
  </si>
  <si>
    <t>recovery per winter MWh</t>
  </si>
  <si>
    <t xml:space="preserve">For RLM, per </t>
  </si>
  <si>
    <t>on-peak kWh only</t>
  </si>
  <si>
    <t>Table #13</t>
  </si>
  <si>
    <t>Summary of BGS Unit Costs @ customer</t>
  </si>
  <si>
    <t>NON-DEMAND RATES</t>
  </si>
  <si>
    <t>includes energy, Generation obligations, Ancillary Services and Renewable Power Costs- adjusted to billing time periods</t>
  </si>
  <si>
    <t>Block 2 (&gt;600 kWh/m)</t>
  </si>
  <si>
    <t>Annual -all hrs</t>
  </si>
  <si>
    <t>DEMAND RATES</t>
  </si>
  <si>
    <t>includes energy and Ancillary Services, G&amp;T obligations charged separately - adjusted to billing time periods</t>
  </si>
  <si>
    <t>PLUS:</t>
  </si>
  <si>
    <t>Gen Cost</t>
  </si>
  <si>
    <t>summer</t>
  </si>
  <si>
    <t>per kW of G obl /month</t>
  </si>
  <si>
    <t>winter</t>
  </si>
  <si>
    <t>annual</t>
  </si>
  <si>
    <t>Trans cost</t>
  </si>
  <si>
    <t>all months</t>
  </si>
  <si>
    <t>per kW of T obl /month</t>
  </si>
  <si>
    <t>Annual - all hrs per MWh only</t>
  </si>
  <si>
    <t>Including Generation Obligation $</t>
  </si>
  <si>
    <t>Note: Obligation $ included in On pk costs</t>
  </si>
  <si>
    <t>Annual - including Gen Obl $</t>
  </si>
  <si>
    <t>ALL RATES</t>
  </si>
  <si>
    <t>Grand Total Cost in $1000 =</t>
  </si>
  <si>
    <t>All-In Average cost @ customer =</t>
  </si>
  <si>
    <t>per MWh at customer (per customer metered MWh)</t>
  </si>
  <si>
    <t>All-In Average costs @ transmission nodes =</t>
  </si>
  <si>
    <t>per MWh at transmission nodes (per metered MWh at transmission node)</t>
  </si>
  <si>
    <t>Table #14</t>
  </si>
  <si>
    <r>
      <t>Ratio of BGS Unit Costs @ customer to All-In Average Cost @ transmission nodes -</t>
    </r>
    <r>
      <rPr>
        <i/>
        <sz val="10"/>
        <rFont val="Arial"/>
        <family val="2"/>
      </rPr>
      <t xml:space="preserve"> rounded to 3 decimal places, unit obligation $ rounded to 4 decimal places</t>
    </r>
  </si>
  <si>
    <t>Use weighted average</t>
  </si>
  <si>
    <t>for all streetlighting =</t>
  </si>
  <si>
    <t>All usage Multiplier</t>
  </si>
  <si>
    <t>Constant (in $/MWh)</t>
  </si>
  <si>
    <t>for Block 1 (0-600 kWh/m) usage</t>
  </si>
  <si>
    <t>for Block 2 (&gt;600 kWh/m) usage</t>
  </si>
  <si>
    <t>Annual - all hrs</t>
  </si>
  <si>
    <t>Multiplier</t>
  </si>
  <si>
    <t>Assumptions:</t>
  </si>
  <si>
    <t>Gen Cost =</t>
  </si>
  <si>
    <t xml:space="preserve">/MW day </t>
  </si>
  <si>
    <t>Trans cost =</t>
  </si>
  <si>
    <t>Analysis time period =</t>
  </si>
  <si>
    <t>summer months</t>
  </si>
  <si>
    <t>winter months</t>
  </si>
  <si>
    <t>Ancillary Services &amp; RPS =</t>
  </si>
  <si>
    <t>Energy Costs =</t>
  </si>
  <si>
    <t xml:space="preserve"> based on Forwards @ PJM West - corrected for congestion</t>
  </si>
  <si>
    <t>Usage patterns =</t>
  </si>
  <si>
    <t>Obligations =</t>
  </si>
  <si>
    <t xml:space="preserve"> class totals in effect as of filing date</t>
  </si>
  <si>
    <t>Losses =</t>
  </si>
  <si>
    <t xml:space="preserve"> Delivery losses from tariff, PJM losses based on 3 year average %</t>
  </si>
  <si>
    <t>PJM Time Periods =</t>
  </si>
  <si>
    <t xml:space="preserve"> PJM trading time periods - 7 AM to 11 PM weekdays, local time, x NERC </t>
  </si>
  <si>
    <t xml:space="preserve">     holidays - New Year's, Memorial, 4th of July, Labor Day, Thanksgiving &amp; Christmas</t>
  </si>
  <si>
    <t>PSE&amp;G Billing time periods =</t>
  </si>
  <si>
    <t xml:space="preserve"> as per specific rate schedule</t>
  </si>
  <si>
    <t>NJ SUT (Sales &amp; Use Tax) =</t>
  </si>
  <si>
    <t>SUT excluded from all rates</t>
  </si>
  <si>
    <t>Table #15</t>
  </si>
  <si>
    <t>Summary of Total BGS Costs by Season</t>
  </si>
  <si>
    <t>Total Costs by Rate - in $1000</t>
  </si>
  <si>
    <t>% of Annual Total $ by Rate</t>
  </si>
  <si>
    <t>Total Costs - in $1000</t>
  </si>
  <si>
    <t>rounded to 4 decimal places</t>
  </si>
  <si>
    <t>% of Annual Total $</t>
  </si>
  <si>
    <t xml:space="preserve">         If total $ were split on a per MWh basis (on transmission node MWhs):</t>
  </si>
  <si>
    <t>per MWh @ trans nodes</t>
  </si>
  <si>
    <t>Ratio to All-In Cost &gt;&gt;&gt;</t>
  </si>
  <si>
    <t>Table #16</t>
  </si>
  <si>
    <r>
      <t xml:space="preserve">Spreadsheet Error Checking - </t>
    </r>
    <r>
      <rPr>
        <i/>
        <sz val="10"/>
        <rFont val="Arial"/>
        <family val="2"/>
      </rPr>
      <t>Reconciliation of Customer Revenue and Supplier Payments, based on above data only</t>
    </r>
  </si>
  <si>
    <t>Assumed Winning Bid Price =</t>
  </si>
  <si>
    <t>(bid includes payments for all losses)</t>
  </si>
  <si>
    <t>Payment Ratio - Summer =</t>
  </si>
  <si>
    <t>Payment Ratio - Winter =</t>
  </si>
  <si>
    <t>Total Rate Revenue - in $1000</t>
  </si>
  <si>
    <t>Total Summer</t>
  </si>
  <si>
    <t>Total Winter</t>
  </si>
  <si>
    <t>Grand Total</t>
  </si>
  <si>
    <t>Total Supplier Payment - in $1000</t>
  </si>
  <si>
    <t>Difference ( in $1000) =</t>
  </si>
  <si>
    <t>Note: Minor differences in totals are due to rounding of Bid Factors and Payment Factors</t>
  </si>
  <si>
    <t>Table #17</t>
  </si>
  <si>
    <t>Total Supplier Energy</t>
  </si>
  <si>
    <t>@ transmission nodes</t>
  </si>
  <si>
    <t>NJ Sales &amp; Use Tax (SUT) excluded</t>
  </si>
  <si>
    <t>Table A</t>
  </si>
  <si>
    <t>Auction Results</t>
  </si>
  <si>
    <t>line #</t>
  </si>
  <si>
    <t>Notes:</t>
  </si>
  <si>
    <t>1A</t>
  </si>
  <si>
    <t>Capacity Proxy Price True-Up - in $/MWh</t>
  </si>
  <si>
    <t>1B</t>
  </si>
  <si>
    <t>1C</t>
  </si>
  <si>
    <t>Total - in $/MWh</t>
  </si>
  <si>
    <t>= line 1 + line 1A - line 1B</t>
  </si>
  <si>
    <t xml:space="preserve">      (includes all payments, including impact of PJM marginal losses)</t>
  </si>
  <si>
    <t>from current Attach2 - BidFactors</t>
  </si>
  <si>
    <t>Total # of Tranches</t>
  </si>
  <si>
    <r>
      <t xml:space="preserve">Applicable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</si>
  <si>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t xml:space="preserve">                           Summer MWh</t>
  </si>
  <si>
    <t>from Table #17 of the current Attach2 - BidFactors</t>
  </si>
  <si>
    <t xml:space="preserve">                           Winter MWh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</si>
  <si>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</si>
  <si>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t xml:space="preserve">= ((1C * (2)/(3) * (4) * (6)) /1000 </t>
  </si>
  <si>
    <t>= ((1C * (2)/(3) * (5) * (7)) /1000</t>
  </si>
  <si>
    <t xml:space="preserve">                           Total</t>
  </si>
  <si>
    <t>Note: $ reflect total payment</t>
  </si>
  <si>
    <r>
      <t xml:space="preserve">Average Payment to Suppliers </t>
    </r>
    <r>
      <rPr>
        <i/>
        <sz val="10"/>
        <rFont val="Arial"/>
        <family val="2"/>
      </rPr>
      <t>- in $/MWh</t>
    </r>
  </si>
  <si>
    <t>= sum(line 8) / (6) - rounded to 3 decimal places</t>
  </si>
  <si>
    <t>= sum(line 9) / (7) - rounded to 3 decimal places</t>
  </si>
  <si>
    <t xml:space="preserve">                Total weighted average</t>
  </si>
  <si>
    <t xml:space="preserve">   &lt;&lt;&lt; used in calculation of</t>
  </si>
  <si>
    <t>= sum(line 10) / [ (6) + (7)]</t>
  </si>
  <si>
    <t xml:space="preserve">           Customer Rates</t>
  </si>
  <si>
    <t xml:space="preserve">   rounded to 3 decimal places</t>
  </si>
  <si>
    <r>
      <t>Reconciliation of amounts</t>
    </r>
    <r>
      <rPr>
        <i/>
        <sz val="10"/>
        <rFont val="Arial"/>
        <family val="2"/>
      </rPr>
      <t xml:space="preserve"> - in $1000</t>
    </r>
  </si>
  <si>
    <t>Weighted Average * Total MWh =</t>
  </si>
  <si>
    <t>= (13) * [(6)+(7)] / 1000</t>
  </si>
  <si>
    <t>Total Payment to Suppliers =</t>
  </si>
  <si>
    <t>= sum (line 10)</t>
  </si>
  <si>
    <t>Difference =</t>
  </si>
  <si>
    <t>= line (14) - line (15)</t>
  </si>
  <si>
    <t>Table B</t>
  </si>
  <si>
    <t>Ratio of BGS Unit Costs @ customer to All-In Average Cost @ transmission nodes</t>
  </si>
  <si>
    <t>from Table #14 of the bid factor spreadsheet (Attach2 - BidFactors)</t>
  </si>
  <si>
    <t>rounded to 3 decimal places, unit obligation $ rounded to 4 decimal places</t>
  </si>
  <si>
    <t>includes energy, G&amp;T obligations, and Ancillary Services - adjusted to billing time periods</t>
  </si>
  <si>
    <t>glp calc</t>
  </si>
  <si>
    <t>for csa document paragraph 14</t>
  </si>
  <si>
    <t>Annual - including T&amp;G Obl $</t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</si>
  <si>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</si>
  <si>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</si>
  <si>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 xml:space="preserve">   rounded to 4 decimal places</t>
  </si>
  <si>
    <t>NON-DEMAND RATES -----------------------------------------------------------------------------------------------------------------------------------------------------------------------</t>
  </si>
  <si>
    <t>DEMAND RATES --------------------------------------------------------------------------------------------------------------------------------------------------------------------------------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</si>
  <si>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</si>
  <si>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</si>
  <si>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Total Preliminary Rate Revenue - in $1000</t>
  </si>
  <si>
    <t>Energy $</t>
  </si>
  <si>
    <t>Obligation $</t>
  </si>
  <si>
    <t>Total $</t>
  </si>
  <si>
    <t>kWh Rate</t>
  </si>
  <si>
    <t>Adjustment</t>
  </si>
  <si>
    <t xml:space="preserve">   rounded to 5 decimal places</t>
  </si>
  <si>
    <t>Differences - in $1000</t>
  </si>
  <si>
    <t>Factors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</si>
  <si>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</si>
  <si>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</si>
  <si>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Table E</t>
  </si>
  <si>
    <r>
      <t xml:space="preserve">Final Resulting BGS Rates from Auctions (in cents per kWh) - </t>
    </r>
    <r>
      <rPr>
        <i/>
        <sz val="10"/>
        <rFont val="Arial"/>
        <family val="2"/>
      </rPr>
      <t>with preliminary kWh rates adjusted by the kWh Rate Adjustment Factor</t>
    </r>
  </si>
  <si>
    <t>includes energy, G&amp;T obligations, and Ancillary Services - adjusted to billing time periods &amp; adjustment to energy price</t>
  </si>
  <si>
    <t>includes energy and Ancillary Services, G&amp;T obligations charged separately - adjusted to billing time periods &amp; adjustment to energy price</t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</si>
  <si>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</si>
  <si>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</si>
  <si>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% difference</t>
  </si>
  <si>
    <t>Development of Capacity Proxy Price True-Up - $/MWh</t>
  </si>
  <si>
    <t>2026/2027 Delivery Year - Illustrative Data</t>
  </si>
  <si>
    <t>Capacity Proxy Price True-Up Development for Winning Suppliers from 2024 BGS-RSCP Auction</t>
  </si>
  <si>
    <t xml:space="preserve">Capacity Proxy Price True-Up Development for Winning Suppliers from 2025 BGS-RSCP Auction </t>
  </si>
  <si>
    <r>
      <t xml:space="preserve">Capacity Proxy Price True-Up Development for Winning Suppliers from 2026 BGS-RSCP Auction 
</t>
    </r>
    <r>
      <rPr>
        <sz val="10"/>
        <color rgb="FFC00000"/>
        <rFont val="Arial"/>
        <family val="2"/>
      </rPr>
      <t>(if needed)</t>
    </r>
  </si>
  <si>
    <t>2026/27
Delivery Year</t>
  </si>
  <si>
    <t>Zonal Capacity Price ($/MW-day)</t>
  </si>
  <si>
    <t>as may be determined by the RPM or its successor or otherwise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</si>
  <si>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</si>
  <si>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</si>
  <si>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</si>
  <si>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</si>
  <si>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</si>
  <si>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 xml:space="preserve">Capacity Proxy Price True-Up Annual Cost </t>
  </si>
  <si>
    <t>= line 3 * line 4 * line 5</t>
  </si>
  <si>
    <t>Eligible Tranches</t>
  </si>
  <si>
    <t>from Table A</t>
  </si>
  <si>
    <t>Total Tranches</t>
  </si>
  <si>
    <t>% of tranches eligible for payment</t>
  </si>
  <si>
    <t>= line 7 / line 8</t>
  </si>
  <si>
    <t xml:space="preserve">Capacity Proxy Price True-Up Cost </t>
  </si>
  <si>
    <t>= line 6 * line 9</t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</si>
  <si>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</si>
  <si>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</si>
  <si>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= line 9 * line 11</t>
  </si>
  <si>
    <t>Capacity Proxy Price True-Up - $/MWh</t>
  </si>
  <si>
    <t>= line 10/ line 12 - rounded to 2 decimal places</t>
  </si>
  <si>
    <t>2027/2028 Delivery Year - Illustrative Data</t>
  </si>
  <si>
    <t>Capacity Proxy Price True-Up Development for Winning Suppliers from 2025 BGS-RSCP Auction</t>
  </si>
  <si>
    <t>2027/28
Delivery Year</t>
  </si>
  <si>
    <t>2028/2029 Delivery Year - Illustrative Data</t>
  </si>
  <si>
    <t>2028/29
Delivery Year</t>
  </si>
  <si>
    <t>Table A With Additional Line Item</t>
  </si>
  <si>
    <t>Calculation of June 2027 to May 2028 BGS-RSCP Rates</t>
  </si>
  <si>
    <t>Illustrative Purposes Only</t>
  </si>
  <si>
    <t>remaining portion of 36 month bid - 2026 auction</t>
  </si>
  <si>
    <t>36 month bid - 2027 auction</t>
  </si>
  <si>
    <t>27/28 Capacity Proxy Price True-up - in $/MWh</t>
  </si>
  <si>
    <t>entered after 2027 BGS Auction</t>
  </si>
  <si>
    <t>= line 1 + line 1A</t>
  </si>
  <si>
    <t>Applicable Customer Usage @ bulk system - in MWh</t>
  </si>
  <si>
    <t>= (1B * (2)/(3) * (4) * (6)) / 1000</t>
  </si>
  <si>
    <t>= (1B * (2)/(3) * (5) * (7)) / 1000</t>
  </si>
  <si>
    <t>= sum(line 8) / (6) - rounded to 2 decimal places</t>
  </si>
  <si>
    <t>= sum(line 9) / (7) - rounded to 2 decimal places</t>
  </si>
  <si>
    <t xml:space="preserve">   rounded to 2 decimal places</t>
  </si>
  <si>
    <t>Calculation of June 2028 to May 2029 BGS-RSCP Rates</t>
  </si>
  <si>
    <t>remaining portion of 36 month bid - 2027 auction</t>
  </si>
  <si>
    <t>36 month bid - 2028 auction</t>
  </si>
  <si>
    <t>28/29 Capacity Proxy Price True-up - in $/MWh</t>
  </si>
  <si>
    <t>entered after 2028 BGS Auction</t>
  </si>
  <si>
    <t>Development of Capacity Proxy Price True-Up - $/MW-day</t>
  </si>
  <si>
    <t>Winning Bid - in $/MW-day</t>
  </si>
  <si>
    <t>Illustrative winning bid in 2026 BGS-CIEP Auction</t>
  </si>
  <si>
    <t>Payment to Suppliers - in $/MW-day</t>
  </si>
  <si>
    <t>= line 3 + line 4</t>
  </si>
  <si>
    <t xml:space="preserve">Tariff (Result of 2018 Rate Case Loss Study) </t>
  </si>
  <si>
    <t>Updated per NERA  June 6, 2025</t>
  </si>
  <si>
    <t>June 2, 2025</t>
  </si>
  <si>
    <t>June 2022 to Sept 2024</t>
  </si>
  <si>
    <t>March 2022 to Feb 2025</t>
  </si>
  <si>
    <t>temp questions:</t>
  </si>
  <si>
    <t xml:space="preserve">Issues On Attach2 - bid factors </t>
  </si>
  <si>
    <t>1. Table 15 - summary of total bGS costs by season:</t>
  </si>
  <si>
    <t>current model for 7/1 filing shows  each rate class share of the total pie/costs by summer and winter and they % match for most rate classes except WHS , here is the rate detail behidn that  for current filing and the comprable filing last year (7/1 last yera)</t>
  </si>
  <si>
    <t>PY</t>
  </si>
  <si>
    <t>CY</t>
  </si>
  <si>
    <t>change YOY</t>
  </si>
  <si>
    <t>% of Annual Total $ by Rate - PY</t>
  </si>
  <si>
    <t>% of Annual Total $ by Rate - CY</t>
  </si>
  <si>
    <t>I confirmed the inputs from Utkus group - the WHS class went from June, July, August Sept.  Showing 1 , 1, 1, 0  to this current year just 1, 0, 0, 0 =  therefore 3 out of 4 total to 1/out of 4 total</t>
  </si>
  <si>
    <t>Table 14:</t>
  </si>
  <si>
    <t>2.  Why is GLP ratio showign such a large negative value in curren tyear  cell: D273 &amp; D277 and LPLS in cells F273 and F 277 in yellow below</t>
  </si>
  <si>
    <t>Prior year had ratios/rates of:</t>
  </si>
  <si>
    <t>2026 Illustrative Only</t>
  </si>
  <si>
    <t>entered after 2026 auction</t>
  </si>
  <si>
    <t>attachment 3:</t>
  </si>
  <si>
    <t xml:space="preserve">3.   the total differences overall are minimal, but the difference by line are larger than usual:  </t>
  </si>
  <si>
    <t>table D</t>
  </si>
  <si>
    <t>curre year</t>
  </si>
  <si>
    <t>prio ryear</t>
  </si>
  <si>
    <t>YoY change</t>
  </si>
  <si>
    <t xml:space="preserve">kWh Adj </t>
  </si>
  <si>
    <r>
      <t>per Board Orders dated 11/17/2023 and 11/21/2024 and</t>
    </r>
    <r>
      <rPr>
        <sz val="10"/>
        <color rgb="FFC00000"/>
        <rFont val="Arial"/>
        <family val="2"/>
      </rPr>
      <t xml:space="preserve"> XX/XX/2025</t>
    </r>
  </si>
  <si>
    <r>
      <t>per Board Orders dated 11/21/2024 and</t>
    </r>
    <r>
      <rPr>
        <sz val="10"/>
        <color rgb="FFC00000"/>
        <rFont val="Arial"/>
        <family val="2"/>
      </rPr>
      <t xml:space="preserve"> XX/XX/2025</t>
    </r>
  </si>
  <si>
    <r>
      <t>per Board Order dated</t>
    </r>
    <r>
      <rPr>
        <sz val="10"/>
        <color rgb="FFC00000"/>
        <rFont val="Arial"/>
        <family val="2"/>
      </rPr>
      <t xml:space="preserve"> XX/XX/2025</t>
    </r>
  </si>
  <si>
    <r>
      <t xml:space="preserve">Capacity Proxy Price True-Up Development for Winning Suppliers from 2026 BGS-CIEP Auction
</t>
    </r>
    <r>
      <rPr>
        <sz val="10"/>
        <color rgb="FFC00000"/>
        <rFont val="Arial"/>
        <family val="2"/>
      </rPr>
      <t>(if needed)</t>
    </r>
  </si>
  <si>
    <t>2026 and 2027 Illustrative only</t>
  </si>
  <si>
    <t>2026, 2027, and 2028 Illustrative only</t>
  </si>
  <si>
    <t>Rates effective as of 6/1/2025</t>
  </si>
  <si>
    <t xml:space="preserve">Illustrative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</si>
</sst>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0.0%"/>
    <numFmt numFmtId="166" formatCode="_(* #,##0_);_(* \(#,##0\);_(* &quot;-&quot;??_);_(@_)"/>
    <numFmt numFmtId="167" formatCode="0.0000"/>
    <numFmt numFmtId="168" formatCode="#,##0.000"/>
    <numFmt numFmtId="169" formatCode="0.0000%"/>
    <numFmt numFmtId="170" formatCode="0.00000"/>
    <numFmt numFmtId="171" formatCode="0.000000"/>
    <numFmt numFmtId="172" formatCode="#,##0.0"/>
    <numFmt numFmtId="173" formatCode="0.00000000"/>
    <numFmt numFmtId="174" formatCode="#,##0.0_);[Red]\(#,##0.0\)"/>
    <numFmt numFmtId="175" formatCode="&quot;$&quot;#,##0.00"/>
    <numFmt numFmtId="176" formatCode="_(&quot;$&quot;* #,##0_);_(&quot;$&quot;* \(#,##0\);_(&quot;$&quot;* &quot;-&quot;??_);_(@_)"/>
    <numFmt numFmtId="177" formatCode="_(&quot;$&quot;* #,##0.0000_);_(&quot;$&quot;* \(#,##0.0000\);_(&quot;$&quot;* &quot;-&quot;??_);_(@_)"/>
    <numFmt numFmtId="178" formatCode="_(* #,##0.000_);_(* \(#,##0.000\);_(* &quot;-&quot;??_);_(@_)"/>
    <numFmt numFmtId="179" formatCode="_(&quot;$&quot;* #,##0.000_);_(&quot;$&quot;* \(#,##0.000\);_(&quot;$&quot;* &quot;-&quot;??_);_(@_)"/>
    <numFmt numFmtId="180" formatCode="_(* #,##0.0000_);_(* \(#,##0.0000\);_(* &quot;-&quot;??_);_(@_)"/>
    <numFmt numFmtId="181" formatCode="&quot;$&quot;#,##0"/>
    <numFmt numFmtId="182" formatCode="0.00000%"/>
    <numFmt numFmtId="183" formatCode="0.0"/>
    <numFmt numFmtId="184" formatCode="&quot;$&quot;#,##0.0000"/>
    <numFmt numFmtId="185" formatCode="_(&quot;$&quot;* #,##0.00000_);_(&quot;$&quot;* \(#,##0.00000\);_(&quot;$&quot;* &quot;-&quot;??_);_(@_)"/>
  </numFmts>
  <fonts count="68">
    <font>
      <sz val="10"/>
      <name val="Arial"/>
      <family val="2"/>
    </font>
    <font>
      <sz val="10"/>
      <color rgb="FF0000FF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color rgb="FF161BF6"/>
      <name val="Arial"/>
      <family val="2"/>
    </font>
    <font>
      <b/>
      <sz val="10"/>
      <color indexed="54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sz val="10"/>
      <color rgb="FF161BF6"/>
      <name val="Arial"/>
      <family val="2"/>
    </font>
    <font>
      <i/>
      <sz val="9"/>
      <color rgb="FF161BF6"/>
      <name val="Arial"/>
      <family val="2"/>
    </font>
    <font>
      <i/>
      <sz val="10"/>
      <color rgb="FF161BF6"/>
      <name val="Arial"/>
      <family val="2"/>
    </font>
    <font>
      <u/>
      <sz val="10"/>
      <color indexed="12"/>
      <name val="Arial"/>
      <family val="2"/>
    </font>
    <font>
      <i/>
      <sz val="9"/>
      <color theme="0" tint="-0.34998626667073579"/>
      <name val="Arial"/>
      <family val="2"/>
    </font>
    <font>
      <i/>
      <sz val="9"/>
      <color theme="0" tint="-0.249977111117893"/>
      <name val="Arial"/>
      <family val="2"/>
    </font>
    <font>
      <i/>
      <sz val="9"/>
      <color rgb="FF143AF8"/>
      <name val="Arial"/>
      <family val="2"/>
    </font>
    <font>
      <i/>
      <sz val="10"/>
      <color theme="0" tint="-0.249977111117893"/>
      <name val="Arial"/>
      <family val="2"/>
    </font>
    <font>
      <sz val="10"/>
      <name val="Times New Roman"/>
      <family val="1"/>
    </font>
    <font>
      <i/>
      <sz val="10"/>
      <color rgb="FF143AF8"/>
      <name val="Arial"/>
      <family val="2"/>
    </font>
    <font>
      <sz val="10"/>
      <color theme="0" tint="-0.499984740745262"/>
      <name val="Arial"/>
      <family val="2"/>
    </font>
    <font>
      <sz val="10"/>
      <color rgb="FF143AF8"/>
      <name val="Arial"/>
      <family val="2"/>
    </font>
    <font>
      <i/>
      <sz val="9"/>
      <color indexed="12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rgb="FF161BF6"/>
      <name val="Arial"/>
      <family val="2"/>
    </font>
    <font>
      <u val="singleAccounting"/>
      <sz val="10"/>
      <name val="Arial"/>
      <family val="2"/>
    </font>
    <font>
      <sz val="8"/>
      <color rgb="FFFF0000"/>
      <name val="Arial"/>
      <family val="2"/>
    </font>
    <font>
      <b/>
      <i/>
      <sz val="11"/>
      <color rgb="FFC00000"/>
      <name val="Arial"/>
      <family val="2"/>
    </font>
    <font>
      <b/>
      <sz val="10"/>
      <color rgb="FF143AF8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4A4A4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i/>
      <sz val="8"/>
      <color theme="0" tint="-0.249977111117893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 tint="0.249977111117893"/>
      <name val="Arial"/>
      <family val="2"/>
    </font>
    <font>
      <b/>
      <sz val="12"/>
      <color rgb="FFC00000"/>
      <name val="Arial"/>
      <family val="2"/>
    </font>
    <font>
      <b/>
      <i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sz val="9"/>
      <color rgb="FF4A4A49"/>
      <name val="Inherit"/>
    </font>
    <font>
      <sz val="8"/>
      <color rgb="FF4A4A49"/>
      <name val="Inheri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EC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52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1" xfId="0" quotePrefix="1" applyFont="1" applyFill="1" applyBorder="1" applyAlignment="1">
      <alignment horizontal="center"/>
    </xf>
    <xf numFmtId="0" fontId="0" fillId="2" borderId="1" xfId="0" applyFill="1" applyBorder="1"/>
    <xf numFmtId="0" fontId="5" fillId="2" borderId="1" xfId="1" applyNumberFormat="1" applyFont="1" applyFill="1" applyBorder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9" fillId="2" borderId="0" xfId="0" applyFont="1" applyFill="1"/>
    <xf numFmtId="0" fontId="6" fillId="2" borderId="0" xfId="0" quotePrefix="1" applyFont="1" applyFill="1"/>
    <xf numFmtId="39" fontId="2" fillId="2" borderId="0" xfId="0" quotePrefix="1" applyNumberFormat="1" applyFont="1" applyFill="1"/>
    <xf numFmtId="0" fontId="9" fillId="2" borderId="0" xfId="0" applyFont="1" applyFill="1" applyAlignment="1">
      <alignment horizontal="left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9" fillId="2" borderId="1" xfId="0" quotePrefix="1" applyFont="1" applyFill="1" applyBorder="1"/>
    <xf numFmtId="0" fontId="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7" fontId="0" fillId="2" borderId="1" xfId="0" applyNumberFormat="1" applyFill="1" applyBorder="1"/>
    <xf numFmtId="10" fontId="5" fillId="2" borderId="1" xfId="3" applyNumberFormat="1" applyFont="1" applyFill="1" applyBorder="1"/>
    <xf numFmtId="165" fontId="5" fillId="2" borderId="0" xfId="3" quotePrefix="1" applyNumberFormat="1" applyFont="1" applyFill="1" applyBorder="1"/>
    <xf numFmtId="9" fontId="2" fillId="2" borderId="0" xfId="3" quotePrefix="1" applyFont="1" applyFill="1" applyBorder="1"/>
    <xf numFmtId="9" fontId="13" fillId="2" borderId="0" xfId="3" quotePrefix="1" applyFont="1" applyFill="1" applyBorder="1"/>
    <xf numFmtId="9" fontId="5" fillId="2" borderId="0" xfId="3" quotePrefix="1" applyFont="1" applyFill="1" applyBorder="1"/>
    <xf numFmtId="17" fontId="0" fillId="2" borderId="0" xfId="0" applyNumberFormat="1" applyFill="1"/>
    <xf numFmtId="9" fontId="9" fillId="2" borderId="0" xfId="3" applyFont="1" applyFill="1" applyBorder="1"/>
    <xf numFmtId="9" fontId="5" fillId="2" borderId="0" xfId="3" applyFont="1" applyFill="1" applyBorder="1"/>
    <xf numFmtId="10" fontId="14" fillId="2" borderId="1" xfId="3" applyNumberFormat="1" applyFont="1" applyFill="1" applyBorder="1"/>
    <xf numFmtId="10" fontId="14" fillId="2" borderId="1" xfId="3" quotePrefix="1" applyNumberFormat="1" applyFont="1" applyFill="1" applyBorder="1"/>
    <xf numFmtId="1" fontId="5" fillId="2" borderId="0" xfId="3" quotePrefix="1" applyNumberFormat="1" applyFont="1" applyFill="1" applyBorder="1"/>
    <xf numFmtId="17" fontId="15" fillId="2" borderId="0" xfId="0" applyNumberFormat="1" applyFont="1" applyFill="1" applyAlignment="1">
      <alignment horizontal="left" wrapText="1"/>
    </xf>
    <xf numFmtId="17" fontId="6" fillId="2" borderId="0" xfId="0" applyNumberFormat="1" applyFont="1" applyFill="1"/>
    <xf numFmtId="0" fontId="17" fillId="2" borderId="0" xfId="4" applyFill="1" applyBorder="1" applyAlignment="1" applyProtection="1"/>
    <xf numFmtId="0" fontId="0" fillId="2" borderId="0" xfId="0" applyFill="1" applyAlignment="1">
      <alignment horizontal="center"/>
    </xf>
    <xf numFmtId="3" fontId="0" fillId="2" borderId="0" xfId="0" applyNumberFormat="1" applyFill="1"/>
    <xf numFmtId="38" fontId="5" fillId="2" borderId="1" xfId="0" applyNumberFormat="1" applyFont="1" applyFill="1" applyBorder="1" applyAlignment="1">
      <alignment horizontal="right"/>
    </xf>
    <xf numFmtId="9" fontId="0" fillId="2" borderId="0" xfId="3" applyFont="1" applyFill="1" applyBorder="1" applyAlignment="1"/>
    <xf numFmtId="166" fontId="5" fillId="2" borderId="0" xfId="1" applyNumberFormat="1" applyFont="1" applyFill="1" applyBorder="1" applyAlignment="1">
      <alignment horizontal="center"/>
    </xf>
    <xf numFmtId="165" fontId="2" fillId="2" borderId="0" xfId="0" applyNumberFormat="1" applyFont="1" applyFill="1"/>
    <xf numFmtId="0" fontId="2" fillId="2" borderId="0" xfId="0" quotePrefix="1" applyFont="1" applyFill="1"/>
    <xf numFmtId="3" fontId="5" fillId="2" borderId="0" xfId="0" applyNumberFormat="1" applyFont="1" applyFill="1"/>
    <xf numFmtId="9" fontId="0" fillId="2" borderId="0" xfId="0" applyNumberFormat="1" applyFill="1"/>
    <xf numFmtId="3" fontId="14" fillId="2" borderId="0" xfId="0" applyNumberFormat="1" applyFont="1" applyFill="1"/>
    <xf numFmtId="17" fontId="18" fillId="2" borderId="0" xfId="0" applyNumberFormat="1" applyFont="1" applyFill="1"/>
    <xf numFmtId="166" fontId="19" fillId="2" borderId="0" xfId="1" applyNumberFormat="1" applyFont="1" applyFill="1" applyBorder="1"/>
    <xf numFmtId="3" fontId="19" fillId="2" borderId="0" xfId="0" applyNumberFormat="1" applyFont="1" applyFill="1"/>
    <xf numFmtId="9" fontId="18" fillId="2" borderId="0" xfId="3" quotePrefix="1" applyFont="1" applyFill="1" applyBorder="1"/>
    <xf numFmtId="0" fontId="18" fillId="2" borderId="0" xfId="0" applyFont="1" applyFill="1"/>
    <xf numFmtId="10" fontId="18" fillId="2" borderId="0" xfId="0" applyNumberFormat="1" applyFont="1" applyFill="1"/>
    <xf numFmtId="0" fontId="2" fillId="2" borderId="1" xfId="0" applyFont="1" applyFill="1" applyBorder="1" applyAlignment="1">
      <alignment horizontal="center"/>
    </xf>
    <xf numFmtId="3" fontId="18" fillId="2" borderId="0" xfId="0" applyNumberFormat="1" applyFont="1" applyFill="1"/>
    <xf numFmtId="10" fontId="0" fillId="2" borderId="0" xfId="0" applyNumberFormat="1" applyFill="1"/>
    <xf numFmtId="17" fontId="20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44" fontId="2" fillId="2" borderId="0" xfId="2" quotePrefix="1" applyFont="1" applyFill="1" applyBorder="1"/>
    <xf numFmtId="10" fontId="5" fillId="2" borderId="1" xfId="0" applyNumberFormat="1" applyFont="1" applyFill="1" applyBorder="1"/>
    <xf numFmtId="0" fontId="10" fillId="2" borderId="0" xfId="0" applyFont="1" applyFill="1" applyAlignment="1">
      <alignment horizontal="center"/>
    </xf>
    <xf numFmtId="0" fontId="21" fillId="2" borderId="0" xfId="0" applyFont="1" applyFill="1"/>
    <xf numFmtId="0" fontId="16" fillId="2" borderId="0" xfId="0" applyFont="1" applyFill="1"/>
    <xf numFmtId="0" fontId="20" fillId="2" borderId="0" xfId="0" applyFont="1" applyFill="1"/>
    <xf numFmtId="3" fontId="0" fillId="2" borderId="0" xfId="0" quotePrefix="1" applyNumberFormat="1" applyFill="1"/>
    <xf numFmtId="40" fontId="14" fillId="2" borderId="1" xfId="0" applyNumberFormat="1" applyFont="1" applyFill="1" applyBorder="1" applyAlignment="1">
      <alignment horizontal="right"/>
    </xf>
    <xf numFmtId="0" fontId="22" fillId="2" borderId="1" xfId="5" applyFont="1" applyFill="1" applyBorder="1" applyAlignment="1">
      <alignment vertical="center"/>
    </xf>
    <xf numFmtId="167" fontId="14" fillId="2" borderId="1" xfId="0" applyNumberFormat="1" applyFont="1" applyFill="1" applyBorder="1"/>
    <xf numFmtId="44" fontId="0" fillId="2" borderId="0" xfId="2" applyFont="1" applyFill="1" applyBorder="1"/>
    <xf numFmtId="167" fontId="2" fillId="2" borderId="0" xfId="0" applyNumberFormat="1" applyFont="1" applyFill="1"/>
    <xf numFmtId="168" fontId="2" fillId="2" borderId="0" xfId="0" applyNumberFormat="1" applyFont="1" applyFill="1"/>
    <xf numFmtId="9" fontId="2" fillId="2" borderId="0" xfId="3" applyFont="1" applyFill="1" applyBorder="1"/>
    <xf numFmtId="44" fontId="2" fillId="2" borderId="0" xfId="2" applyFont="1" applyFill="1" applyBorder="1"/>
    <xf numFmtId="167" fontId="0" fillId="2" borderId="0" xfId="0" applyNumberFormat="1" applyFill="1"/>
    <xf numFmtId="9" fontId="0" fillId="2" borderId="0" xfId="3" applyFont="1" applyFill="1" applyBorder="1"/>
    <xf numFmtId="9" fontId="14" fillId="2" borderId="1" xfId="3" applyFont="1" applyFill="1" applyBorder="1"/>
    <xf numFmtId="4" fontId="5" fillId="2" borderId="0" xfId="0" applyNumberFormat="1" applyFont="1" applyFill="1"/>
    <xf numFmtId="169" fontId="5" fillId="2" borderId="0" xfId="0" applyNumberFormat="1" applyFont="1" applyFill="1"/>
    <xf numFmtId="170" fontId="0" fillId="2" borderId="0" xfId="0" applyNumberFormat="1" applyFill="1"/>
    <xf numFmtId="169" fontId="5" fillId="2" borderId="1" xfId="3" applyNumberFormat="1" applyFont="1" applyFill="1" applyBorder="1"/>
    <xf numFmtId="169" fontId="2" fillId="2" borderId="0" xfId="0" applyNumberFormat="1" applyFont="1" applyFill="1"/>
    <xf numFmtId="171" fontId="0" fillId="2" borderId="0" xfId="0" applyNumberFormat="1" applyFill="1"/>
    <xf numFmtId="169" fontId="14" fillId="2" borderId="1" xfId="3" applyNumberFormat="1" applyFont="1" applyFill="1" applyBorder="1"/>
    <xf numFmtId="170" fontId="0" fillId="2" borderId="0" xfId="0" quotePrefix="1" applyNumberFormat="1" applyFill="1"/>
    <xf numFmtId="172" fontId="6" fillId="2" borderId="0" xfId="0" applyNumberFormat="1" applyFont="1" applyFill="1"/>
    <xf numFmtId="0" fontId="0" fillId="2" borderId="1" xfId="0" applyFill="1" applyBorder="1" applyAlignment="1">
      <alignment horizontal="right"/>
    </xf>
    <xf numFmtId="172" fontId="5" fillId="2" borderId="1" xfId="0" applyNumberFormat="1" applyFont="1" applyFill="1" applyBorder="1"/>
    <xf numFmtId="4" fontId="0" fillId="2" borderId="0" xfId="0" applyNumberFormat="1" applyFill="1"/>
    <xf numFmtId="172" fontId="24" fillId="2" borderId="1" xfId="0" applyNumberFormat="1" applyFont="1" applyFill="1" applyBorder="1"/>
    <xf numFmtId="172" fontId="2" fillId="2" borderId="0" xfId="0" applyNumberFormat="1" applyFont="1" applyFill="1"/>
    <xf numFmtId="172" fontId="0" fillId="2" borderId="0" xfId="0" applyNumberFormat="1" applyFill="1"/>
    <xf numFmtId="173" fontId="25" fillId="2" borderId="1" xfId="0" applyNumberFormat="1" applyFont="1" applyFill="1" applyBorder="1"/>
    <xf numFmtId="172" fontId="26" fillId="2" borderId="0" xfId="0" applyNumberFormat="1" applyFont="1" applyFill="1"/>
    <xf numFmtId="172" fontId="5" fillId="2" borderId="0" xfId="0" applyNumberFormat="1" applyFont="1" applyFill="1"/>
    <xf numFmtId="173" fontId="5" fillId="2" borderId="1" xfId="0" applyNumberFormat="1" applyFont="1" applyFill="1" applyBorder="1"/>
    <xf numFmtId="0" fontId="0" fillId="2" borderId="0" xfId="0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74" fontId="28" fillId="2" borderId="0" xfId="0" applyNumberFormat="1" applyFont="1" applyFill="1" applyAlignment="1">
      <alignment horizontal="left"/>
    </xf>
    <xf numFmtId="0" fontId="5" fillId="2" borderId="0" xfId="0" applyFont="1" applyFill="1"/>
    <xf numFmtId="175" fontId="5" fillId="2" borderId="0" xfId="0" applyNumberFormat="1" applyFont="1" applyFill="1"/>
    <xf numFmtId="175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quotePrefix="1" applyFont="1" applyFill="1" applyAlignment="1">
      <alignment horizontal="right"/>
    </xf>
    <xf numFmtId="172" fontId="2" fillId="2" borderId="0" xfId="0" applyNumberFormat="1" applyFont="1" applyFill="1" applyAlignment="1">
      <alignment horizontal="right"/>
    </xf>
    <xf numFmtId="7" fontId="14" fillId="2" borderId="1" xfId="2" applyNumberFormat="1" applyFont="1" applyFill="1" applyBorder="1"/>
    <xf numFmtId="0" fontId="2" fillId="2" borderId="1" xfId="0" quotePrefix="1" applyFont="1" applyFill="1" applyBorder="1"/>
    <xf numFmtId="0" fontId="15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right"/>
    </xf>
    <xf numFmtId="0" fontId="9" fillId="2" borderId="0" xfId="0" quotePrefix="1" applyFont="1" applyFill="1"/>
    <xf numFmtId="175" fontId="14" fillId="2" borderId="1" xfId="1" applyNumberFormat="1" applyFont="1" applyFill="1" applyBorder="1" applyAlignment="1">
      <alignment horizontal="right"/>
    </xf>
    <xf numFmtId="0" fontId="0" fillId="2" borderId="0" xfId="0" quotePrefix="1" applyFill="1"/>
    <xf numFmtId="8" fontId="14" fillId="2" borderId="1" xfId="1" applyNumberFormat="1" applyFont="1" applyFill="1" applyBorder="1"/>
    <xf numFmtId="176" fontId="5" fillId="2" borderId="0" xfId="2" applyNumberFormat="1" applyFont="1" applyFill="1" applyBorder="1"/>
    <xf numFmtId="44" fontId="0" fillId="2" borderId="0" xfId="2" quotePrefix="1" applyFont="1" applyFill="1" applyBorder="1"/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4" fontId="2" fillId="2" borderId="1" xfId="2" applyFont="1" applyFill="1" applyBorder="1"/>
    <xf numFmtId="44" fontId="6" fillId="2" borderId="0" xfId="2" quotePrefix="1" applyFont="1" applyFill="1" applyBorder="1"/>
    <xf numFmtId="44" fontId="5" fillId="2" borderId="8" xfId="2" applyFont="1" applyFill="1" applyBorder="1"/>
    <xf numFmtId="44" fontId="0" fillId="2" borderId="0" xfId="2" quotePrefix="1" applyFont="1" applyFill="1" applyBorder="1" applyAlignment="1">
      <alignment horizontal="right"/>
    </xf>
    <xf numFmtId="44" fontId="5" fillId="2" borderId="1" xfId="2" applyFont="1" applyFill="1" applyBorder="1"/>
    <xf numFmtId="0" fontId="5" fillId="2" borderId="1" xfId="2" applyNumberFormat="1" applyFont="1" applyFill="1" applyBorder="1"/>
    <xf numFmtId="10" fontId="5" fillId="2" borderId="8" xfId="3" applyNumberFormat="1" applyFont="1" applyFill="1" applyBorder="1"/>
    <xf numFmtId="0" fontId="5" fillId="2" borderId="1" xfId="2" applyNumberFormat="1" applyFont="1" applyFill="1" applyBorder="1" applyAlignment="1">
      <alignment horizontal="right"/>
    </xf>
    <xf numFmtId="44" fontId="0" fillId="2" borderId="0" xfId="0" applyNumberFormat="1" applyFill="1"/>
    <xf numFmtId="9" fontId="0" fillId="2" borderId="1" xfId="3" applyFont="1" applyFill="1" applyBorder="1"/>
    <xf numFmtId="167" fontId="5" fillId="2" borderId="1" xfId="2" applyNumberFormat="1" applyFont="1" applyFill="1" applyBorder="1"/>
    <xf numFmtId="0" fontId="29" fillId="2" borderId="0" xfId="0" applyFont="1" applyFill="1"/>
    <xf numFmtId="44" fontId="30" fillId="2" borderId="0" xfId="2" quotePrefix="1" applyFont="1" applyFill="1" applyBorder="1" applyAlignment="1">
      <alignment horizontal="right"/>
    </xf>
    <xf numFmtId="44" fontId="30" fillId="2" borderId="0" xfId="2" applyFont="1" applyFill="1" applyBorder="1"/>
    <xf numFmtId="0" fontId="30" fillId="2" borderId="0" xfId="0" applyFont="1" applyFill="1"/>
    <xf numFmtId="0" fontId="30" fillId="2" borderId="0" xfId="0" applyFont="1" applyFill="1" applyAlignment="1">
      <alignment horizontal="right"/>
    </xf>
    <xf numFmtId="44" fontId="31" fillId="2" borderId="0" xfId="2" quotePrefix="1" applyFont="1" applyFill="1" applyBorder="1" applyAlignment="1">
      <alignment horizontal="right"/>
    </xf>
    <xf numFmtId="44" fontId="31" fillId="2" borderId="0" xfId="2" applyFont="1" applyFill="1" applyBorder="1"/>
    <xf numFmtId="0" fontId="31" fillId="2" borderId="0" xfId="0" applyFont="1" applyFill="1"/>
    <xf numFmtId="0" fontId="32" fillId="2" borderId="0" xfId="0" applyFont="1" applyFill="1"/>
    <xf numFmtId="44" fontId="33" fillId="2" borderId="0" xfId="2" quotePrefix="1" applyFont="1" applyFill="1" applyBorder="1" applyAlignment="1">
      <alignment horizontal="right"/>
    </xf>
    <xf numFmtId="44" fontId="33" fillId="2" borderId="0" xfId="2" applyFont="1" applyFill="1" applyBorder="1"/>
    <xf numFmtId="0" fontId="33" fillId="2" borderId="0" xfId="0" applyFont="1" applyFill="1"/>
    <xf numFmtId="17" fontId="30" fillId="2" borderId="0" xfId="0" applyNumberFormat="1" applyFont="1" applyFill="1"/>
    <xf numFmtId="166" fontId="33" fillId="2" borderId="0" xfId="1" applyNumberFormat="1" applyFont="1" applyFill="1" applyBorder="1"/>
    <xf numFmtId="44" fontId="2" fillId="2" borderId="0" xfId="2" quotePrefix="1" applyFont="1" applyFill="1" applyBorder="1" applyAlignment="1">
      <alignment horizontal="right"/>
    </xf>
    <xf numFmtId="17" fontId="30" fillId="2" borderId="0" xfId="0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6" fontId="33" fillId="2" borderId="0" xfId="1" quotePrefix="1" applyNumberFormat="1" applyFont="1" applyFill="1" applyBorder="1"/>
    <xf numFmtId="44" fontId="32" fillId="2" borderId="0" xfId="2" quotePrefix="1" applyFont="1" applyFill="1" applyBorder="1"/>
    <xf numFmtId="44" fontId="33" fillId="2" borderId="0" xfId="2" quotePrefix="1" applyFont="1" applyFill="1" applyBorder="1"/>
    <xf numFmtId="0" fontId="34" fillId="0" borderId="0" xfId="0" applyFont="1"/>
    <xf numFmtId="0" fontId="33" fillId="0" borderId="0" xfId="0" applyFont="1" applyAlignment="1">
      <alignment horizontal="right"/>
    </xf>
    <xf numFmtId="44" fontId="33" fillId="0" borderId="0" xfId="2" quotePrefix="1" applyFont="1" applyFill="1" applyBorder="1"/>
    <xf numFmtId="166" fontId="33" fillId="0" borderId="0" xfId="1" quotePrefix="1" applyNumberFormat="1" applyFont="1" applyFill="1" applyBorder="1"/>
    <xf numFmtId="44" fontId="32" fillId="0" borderId="0" xfId="2" quotePrefix="1" applyFont="1" applyFill="1" applyBorder="1"/>
    <xf numFmtId="44" fontId="2" fillId="0" borderId="0" xfId="2" quotePrefix="1" applyFont="1" applyFill="1" applyBorder="1"/>
    <xf numFmtId="0" fontId="29" fillId="0" borderId="0" xfId="0" applyFont="1"/>
    <xf numFmtId="44" fontId="33" fillId="0" borderId="0" xfId="2" quotePrefix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3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44" fontId="33" fillId="0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177" fontId="2" fillId="0" borderId="0" xfId="2" applyNumberFormat="1" applyFont="1" applyFill="1" applyBorder="1"/>
    <xf numFmtId="0" fontId="0" fillId="0" borderId="0" xfId="0" quotePrefix="1"/>
    <xf numFmtId="43" fontId="0" fillId="0" borderId="0" xfId="0" applyNumberFormat="1"/>
    <xf numFmtId="17" fontId="0" fillId="0" borderId="0" xfId="0" applyNumberFormat="1"/>
    <xf numFmtId="0" fontId="2" fillId="0" borderId="0" xfId="0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17" fontId="0" fillId="0" borderId="0" xfId="0" applyNumberFormat="1" applyAlignment="1">
      <alignment horizontal="right"/>
    </xf>
    <xf numFmtId="166" fontId="6" fillId="0" borderId="0" xfId="1" applyNumberFormat="1" applyFont="1" applyFill="1" applyBorder="1"/>
    <xf numFmtId="44" fontId="6" fillId="0" borderId="0" xfId="2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32" fillId="0" borderId="0" xfId="0" applyFont="1"/>
    <xf numFmtId="0" fontId="36" fillId="0" borderId="0" xfId="0" applyFont="1"/>
    <xf numFmtId="177" fontId="0" fillId="0" borderId="0" xfId="0" applyNumberFormat="1"/>
    <xf numFmtId="44" fontId="2" fillId="0" borderId="0" xfId="2" quotePrefix="1" applyFont="1" applyFill="1" applyBorder="1" applyAlignment="1">
      <alignment horizontal="left"/>
    </xf>
    <xf numFmtId="17" fontId="35" fillId="0" borderId="0" xfId="0" applyNumberFormat="1" applyFont="1" applyAlignment="1">
      <alignment horizontal="left"/>
    </xf>
    <xf numFmtId="176" fontId="2" fillId="0" borderId="0" xfId="2" quotePrefix="1" applyNumberFormat="1" applyFont="1" applyFill="1" applyBorder="1"/>
    <xf numFmtId="176" fontId="0" fillId="0" borderId="0" xfId="0" applyNumberFormat="1"/>
    <xf numFmtId="176" fontId="0" fillId="0" borderId="0" xfId="2" applyNumberFormat="1" applyFont="1" applyFill="1" applyBorder="1"/>
    <xf numFmtId="44" fontId="0" fillId="0" borderId="0" xfId="2" quotePrefix="1" applyFont="1" applyFill="1" applyBorder="1"/>
    <xf numFmtId="178" fontId="6" fillId="0" borderId="0" xfId="1" quotePrefix="1" applyNumberFormat="1" applyFont="1" applyFill="1" applyBorder="1"/>
    <xf numFmtId="178" fontId="2" fillId="0" borderId="0" xfId="1" quotePrefix="1" applyNumberFormat="1" applyFont="1" applyFill="1" applyBorder="1"/>
    <xf numFmtId="43" fontId="2" fillId="0" borderId="0" xfId="1" quotePrefix="1" applyFont="1" applyFill="1" applyBorder="1"/>
    <xf numFmtId="0" fontId="2" fillId="0" borderId="0" xfId="0" applyFont="1"/>
    <xf numFmtId="43" fontId="2" fillId="0" borderId="0" xfId="1" applyFont="1" applyFill="1" applyBorder="1" applyAlignment="1">
      <alignment horizontal="right"/>
    </xf>
    <xf numFmtId="178" fontId="0" fillId="0" borderId="0" xfId="0" applyNumberFormat="1"/>
    <xf numFmtId="178" fontId="6" fillId="0" borderId="0" xfId="0" applyNumberFormat="1" applyFont="1"/>
    <xf numFmtId="0" fontId="6" fillId="0" borderId="0" xfId="0" applyFont="1" applyAlignment="1">
      <alignment horizontal="right"/>
    </xf>
    <xf numFmtId="43" fontId="6" fillId="0" borderId="0" xfId="1" quotePrefix="1" applyFont="1" applyFill="1" applyBorder="1"/>
    <xf numFmtId="179" fontId="6" fillId="0" borderId="0" xfId="2" quotePrefix="1" applyNumberFormat="1" applyFont="1" applyFill="1" applyBorder="1"/>
    <xf numFmtId="177" fontId="2" fillId="0" borderId="0" xfId="2" quotePrefix="1" applyNumberFormat="1" applyFont="1" applyFill="1" applyBorder="1"/>
    <xf numFmtId="0" fontId="6" fillId="0" borderId="0" xfId="0" applyFont="1" applyAlignment="1">
      <alignment horizontal="center" wrapText="1"/>
    </xf>
    <xf numFmtId="44" fontId="0" fillId="0" borderId="0" xfId="0" applyNumberFormat="1"/>
    <xf numFmtId="0" fontId="0" fillId="0" borderId="0" xfId="0" applyAlignment="1">
      <alignment horizontal="left"/>
    </xf>
    <xf numFmtId="176" fontId="5" fillId="0" borderId="0" xfId="2" applyNumberFormat="1" applyFont="1" applyFill="1" applyBorder="1"/>
    <xf numFmtId="44" fontId="2" fillId="0" borderId="0" xfId="0" applyNumberFormat="1" applyFont="1"/>
    <xf numFmtId="0" fontId="0" fillId="0" borderId="0" xfId="0" applyAlignment="1">
      <alignment horizontal="center"/>
    </xf>
    <xf numFmtId="9" fontId="0" fillId="0" borderId="0" xfId="3" applyFont="1" applyFill="1" applyBorder="1"/>
    <xf numFmtId="176" fontId="2" fillId="0" borderId="0" xfId="2" applyNumberFormat="1" applyFont="1" applyFill="1" applyBorder="1"/>
    <xf numFmtId="0" fontId="9" fillId="0" borderId="0" xfId="0" applyFont="1" applyAlignment="1">
      <alignment horizontal="right"/>
    </xf>
    <xf numFmtId="167" fontId="0" fillId="0" borderId="0" xfId="0" applyNumberFormat="1"/>
    <xf numFmtId="180" fontId="6" fillId="0" borderId="0" xfId="1" applyNumberFormat="1" applyFont="1" applyFill="1" applyBorder="1"/>
    <xf numFmtId="176" fontId="0" fillId="0" borderId="0" xfId="3" applyNumberFormat="1" applyFont="1" applyFill="1" applyBorder="1"/>
    <xf numFmtId="43" fontId="9" fillId="0" borderId="0" xfId="1" applyFont="1" applyFill="1" applyBorder="1"/>
    <xf numFmtId="176" fontId="0" fillId="0" borderId="0" xfId="2" quotePrefix="1" applyNumberFormat="1" applyFont="1" applyFill="1" applyBorder="1"/>
    <xf numFmtId="180" fontId="2" fillId="0" borderId="0" xfId="1" quotePrefix="1" applyNumberFormat="1" applyFont="1" applyFill="1" applyBorder="1"/>
    <xf numFmtId="176" fontId="0" fillId="2" borderId="0" xfId="0" applyNumberFormat="1" applyFill="1"/>
    <xf numFmtId="43" fontId="2" fillId="2" borderId="0" xfId="1" quotePrefix="1" applyFont="1" applyFill="1" applyBorder="1"/>
    <xf numFmtId="0" fontId="6" fillId="2" borderId="0" xfId="0" applyFont="1" applyFill="1" applyAlignment="1">
      <alignment horizontal="left"/>
    </xf>
    <xf numFmtId="3" fontId="35" fillId="2" borderId="0" xfId="0" applyNumberFormat="1" applyFont="1" applyFill="1"/>
    <xf numFmtId="0" fontId="0" fillId="2" borderId="0" xfId="0" applyFill="1" applyAlignment="1">
      <alignment horizontal="center" wrapText="1"/>
    </xf>
    <xf numFmtId="44" fontId="2" fillId="2" borderId="0" xfId="0" applyNumberFormat="1" applyFont="1" applyFill="1"/>
    <xf numFmtId="172" fontId="0" fillId="2" borderId="0" xfId="0" applyNumberFormat="1" applyFill="1" applyAlignment="1">
      <alignment horizontal="right"/>
    </xf>
    <xf numFmtId="177" fontId="0" fillId="2" borderId="0" xfId="0" applyNumberFormat="1" applyFill="1"/>
    <xf numFmtId="43" fontId="0" fillId="2" borderId="0" xfId="0" applyNumberFormat="1" applyFill="1"/>
    <xf numFmtId="0" fontId="37" fillId="2" borderId="0" xfId="0" applyFont="1" applyFill="1"/>
    <xf numFmtId="181" fontId="5" fillId="2" borderId="0" xfId="0" applyNumberFormat="1" applyFont="1" applyFill="1"/>
    <xf numFmtId="6" fontId="5" fillId="2" borderId="0" xfId="0" applyNumberFormat="1" applyFont="1" applyFill="1"/>
    <xf numFmtId="6" fontId="0" fillId="2" borderId="0" xfId="0" applyNumberFormat="1" applyFill="1"/>
    <xf numFmtId="8" fontId="0" fillId="2" borderId="0" xfId="0" applyNumberFormat="1" applyFill="1"/>
    <xf numFmtId="181" fontId="0" fillId="2" borderId="0" xfId="0" applyNumberFormat="1" applyFill="1"/>
    <xf numFmtId="175" fontId="0" fillId="2" borderId="0" xfId="0" applyNumberFormat="1" applyFill="1"/>
    <xf numFmtId="10" fontId="5" fillId="2" borderId="0" xfId="3" applyNumberFormat="1" applyFont="1" applyFill="1"/>
    <xf numFmtId="165" fontId="5" fillId="2" borderId="0" xfId="3" quotePrefix="1" applyNumberFormat="1" applyFont="1" applyFill="1"/>
    <xf numFmtId="9" fontId="5" fillId="2" borderId="0" xfId="3" quotePrefix="1" applyFont="1" applyFill="1"/>
    <xf numFmtId="9" fontId="2" fillId="2" borderId="0" xfId="3" quotePrefix="1" applyFont="1" applyFill="1"/>
    <xf numFmtId="9" fontId="9" fillId="2" borderId="0" xfId="3" applyFont="1" applyFill="1"/>
    <xf numFmtId="9" fontId="5" fillId="2" borderId="0" xfId="3" applyFont="1" applyFill="1"/>
    <xf numFmtId="9" fontId="5" fillId="2" borderId="0" xfId="3" quotePrefix="1" applyFont="1" applyFill="1" applyAlignment="1">
      <alignment horizontal="center"/>
    </xf>
    <xf numFmtId="1" fontId="5" fillId="2" borderId="0" xfId="3" quotePrefix="1" applyNumberFormat="1" applyFont="1" applyFill="1"/>
    <xf numFmtId="17" fontId="9" fillId="2" borderId="0" xfId="0" applyNumberFormat="1" applyFont="1" applyFill="1"/>
    <xf numFmtId="0" fontId="17" fillId="2" borderId="0" xfId="4" applyFill="1" applyAlignment="1" applyProtection="1"/>
    <xf numFmtId="0" fontId="2" fillId="2" borderId="0" xfId="0" applyFont="1" applyFill="1" applyAlignment="1">
      <alignment horizontal="center"/>
    </xf>
    <xf numFmtId="38" fontId="5" fillId="2" borderId="0" xfId="0" applyNumberFormat="1" applyFont="1" applyFill="1" applyAlignment="1">
      <alignment horizontal="right"/>
    </xf>
    <xf numFmtId="166" fontId="2" fillId="2" borderId="0" xfId="1" applyNumberFormat="1" applyFont="1" applyFill="1"/>
    <xf numFmtId="165" fontId="0" fillId="2" borderId="0" xfId="0" applyNumberFormat="1" applyFill="1"/>
    <xf numFmtId="9" fontId="0" fillId="2" borderId="0" xfId="3" applyFont="1" applyFill="1" applyAlignment="1"/>
    <xf numFmtId="166" fontId="5" fillId="2" borderId="0" xfId="1" applyNumberFormat="1" applyFont="1" applyFill="1" applyAlignment="1">
      <alignment horizontal="center"/>
    </xf>
    <xf numFmtId="165" fontId="5" fillId="2" borderId="0" xfId="3" applyNumberFormat="1" applyFont="1" applyFill="1"/>
    <xf numFmtId="165" fontId="5" fillId="2" borderId="0" xfId="0" applyNumberFormat="1" applyFont="1" applyFill="1"/>
    <xf numFmtId="17" fontId="0" fillId="2" borderId="0" xfId="0" applyNumberFormat="1" applyFill="1" applyAlignment="1">
      <alignment horizontal="center"/>
    </xf>
    <xf numFmtId="9" fontId="0" fillId="2" borderId="0" xfId="3" applyFont="1" applyFill="1"/>
    <xf numFmtId="0" fontId="3" fillId="2" borderId="0" xfId="0" applyFont="1" applyFill="1" applyAlignment="1">
      <alignment horizontal="center"/>
    </xf>
    <xf numFmtId="40" fontId="5" fillId="2" borderId="0" xfId="0" applyNumberFormat="1" applyFont="1" applyFill="1" applyAlignment="1">
      <alignment horizontal="right"/>
    </xf>
    <xf numFmtId="167" fontId="5" fillId="2" borderId="0" xfId="0" applyNumberFormat="1" applyFont="1" applyFill="1"/>
    <xf numFmtId="9" fontId="2" fillId="2" borderId="0" xfId="3" applyFont="1" applyFill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40" fillId="2" borderId="0" xfId="0" applyFont="1" applyFill="1" applyAlignment="1">
      <alignment wrapText="1"/>
    </xf>
    <xf numFmtId="0" fontId="22" fillId="0" borderId="0" xfId="0" applyFont="1" applyAlignment="1">
      <alignment vertical="center"/>
    </xf>
    <xf numFmtId="167" fontId="5" fillId="2" borderId="9" xfId="0" applyNumberFormat="1" applyFont="1" applyFill="1" applyBorder="1"/>
    <xf numFmtId="9" fontId="5" fillId="2" borderId="9" xfId="3" applyFont="1" applyFill="1" applyBorder="1"/>
    <xf numFmtId="167" fontId="0" fillId="2" borderId="10" xfId="0" applyNumberFormat="1" applyFill="1" applyBorder="1"/>
    <xf numFmtId="9" fontId="0" fillId="2" borderId="10" xfId="3" applyFont="1" applyFill="1" applyBorder="1"/>
    <xf numFmtId="167" fontId="0" fillId="2" borderId="11" xfId="0" applyNumberFormat="1" applyFill="1" applyBorder="1"/>
    <xf numFmtId="9" fontId="0" fillId="2" borderId="11" xfId="3" applyFont="1" applyFill="1" applyBorder="1"/>
    <xf numFmtId="0" fontId="0" fillId="2" borderId="7" xfId="0" applyFill="1" applyBorder="1"/>
    <xf numFmtId="10" fontId="0" fillId="2" borderId="0" xfId="0" applyNumberFormat="1" applyFill="1" applyAlignment="1">
      <alignment horizontal="center"/>
    </xf>
    <xf numFmtId="169" fontId="5" fillId="2" borderId="12" xfId="3" applyNumberFormat="1" applyFont="1" applyFill="1" applyBorder="1"/>
    <xf numFmtId="182" fontId="2" fillId="2" borderId="0" xfId="3" applyNumberFormat="1" applyFont="1" applyFill="1"/>
    <xf numFmtId="171" fontId="37" fillId="2" borderId="0" xfId="0" applyNumberFormat="1" applyFont="1" applyFill="1"/>
    <xf numFmtId="169" fontId="14" fillId="2" borderId="0" xfId="3" applyNumberFormat="1" applyFont="1" applyFill="1"/>
    <xf numFmtId="44" fontId="2" fillId="2" borderId="0" xfId="2" quotePrefix="1" applyFont="1" applyFill="1"/>
    <xf numFmtId="17" fontId="0" fillId="2" borderId="0" xfId="0" applyNumberFormat="1" applyFill="1" applyAlignment="1">
      <alignment horizontal="right"/>
    </xf>
    <xf numFmtId="44" fontId="0" fillId="2" borderId="0" xfId="2" applyFont="1" applyFill="1"/>
    <xf numFmtId="44" fontId="2" fillId="2" borderId="0" xfId="2" applyFont="1" applyFill="1"/>
    <xf numFmtId="176" fontId="2" fillId="2" borderId="0" xfId="2" quotePrefix="1" applyNumberFormat="1" applyFont="1" applyFill="1"/>
    <xf numFmtId="176" fontId="2" fillId="2" borderId="0" xfId="2" applyNumberFormat="1" applyFont="1" applyFill="1"/>
    <xf numFmtId="39" fontId="0" fillId="2" borderId="0" xfId="0" applyNumberFormat="1" applyFill="1"/>
    <xf numFmtId="165" fontId="6" fillId="2" borderId="0" xfId="0" applyNumberFormat="1" applyFont="1" applyFill="1" applyAlignment="1">
      <alignment horizontal="center"/>
    </xf>
    <xf numFmtId="176" fontId="0" fillId="2" borderId="0" xfId="2" applyNumberFormat="1" applyFont="1" applyFill="1"/>
    <xf numFmtId="176" fontId="41" fillId="2" borderId="0" xfId="2" applyNumberFormat="1" applyFont="1" applyFill="1"/>
    <xf numFmtId="1" fontId="2" fillId="2" borderId="0" xfId="0" applyNumberFormat="1" applyFont="1" applyFill="1"/>
    <xf numFmtId="173" fontId="5" fillId="2" borderId="0" xfId="0" applyNumberFormat="1" applyFont="1" applyFill="1"/>
    <xf numFmtId="175" fontId="0" fillId="2" borderId="7" xfId="0" applyNumberFormat="1" applyFill="1" applyBorder="1"/>
    <xf numFmtId="0" fontId="0" fillId="2" borderId="0" xfId="0" quotePrefix="1" applyFill="1" applyAlignment="1">
      <alignment horizontal="right"/>
    </xf>
    <xf numFmtId="44" fontId="5" fillId="2" borderId="0" xfId="2" applyFont="1" applyFill="1"/>
    <xf numFmtId="175" fontId="2" fillId="2" borderId="0" xfId="2" applyNumberFormat="1" applyFont="1" applyFill="1"/>
    <xf numFmtId="0" fontId="2" fillId="2" borderId="0" xfId="0" quotePrefix="1" applyFont="1" applyFill="1" applyAlignment="1">
      <alignment horizontal="center"/>
    </xf>
    <xf numFmtId="172" fontId="2" fillId="2" borderId="0" xfId="0" quotePrefix="1" applyNumberFormat="1" applyFont="1" applyFill="1" applyAlignment="1">
      <alignment horizontal="center"/>
    </xf>
    <xf numFmtId="175" fontId="2" fillId="2" borderId="0" xfId="2" applyNumberFormat="1" applyFont="1" applyFill="1" applyAlignment="1">
      <alignment horizontal="center" wrapText="1"/>
    </xf>
    <xf numFmtId="183" fontId="0" fillId="2" borderId="0" xfId="0" applyNumberFormat="1" applyFill="1"/>
    <xf numFmtId="44" fontId="0" fillId="2" borderId="0" xfId="2" quotePrefix="1" applyFont="1" applyFill="1"/>
    <xf numFmtId="0" fontId="3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3" fontId="0" fillId="2" borderId="0" xfId="0" applyNumberFormat="1" applyFill="1" applyAlignment="1">
      <alignment horizontal="center"/>
    </xf>
    <xf numFmtId="176" fontId="5" fillId="2" borderId="0" xfId="2" applyNumberFormat="1" applyFont="1" applyFill="1"/>
    <xf numFmtId="44" fontId="0" fillId="2" borderId="0" xfId="2" quotePrefix="1" applyFont="1" applyFill="1" applyAlignment="1">
      <alignment horizontal="right"/>
    </xf>
    <xf numFmtId="44" fontId="0" fillId="2" borderId="0" xfId="2" applyFont="1" applyFill="1" applyAlignment="1">
      <alignment horizontal="center"/>
    </xf>
    <xf numFmtId="10" fontId="0" fillId="2" borderId="0" xfId="3" applyNumberFormat="1" applyFont="1" applyFill="1"/>
    <xf numFmtId="0" fontId="35" fillId="2" borderId="0" xfId="0" applyFont="1" applyFill="1" applyAlignment="1">
      <alignment horizontal="left"/>
    </xf>
    <xf numFmtId="177" fontId="2" fillId="2" borderId="0" xfId="2" applyNumberFormat="1" applyFont="1" applyFill="1"/>
    <xf numFmtId="17" fontId="35" fillId="2" borderId="0" xfId="0" applyNumberFormat="1" applyFont="1" applyFill="1" applyAlignment="1">
      <alignment horizontal="left"/>
    </xf>
    <xf numFmtId="178" fontId="2" fillId="2" borderId="0" xfId="1" quotePrefix="1" applyNumberFormat="1" applyFont="1" applyFill="1" applyBorder="1"/>
    <xf numFmtId="178" fontId="6" fillId="2" borderId="0" xfId="1" quotePrefix="1" applyNumberFormat="1" applyFont="1" applyFill="1" applyBorder="1"/>
    <xf numFmtId="43" fontId="2" fillId="2" borderId="0" xfId="1" quotePrefix="1" applyFont="1" applyFill="1"/>
    <xf numFmtId="43" fontId="6" fillId="2" borderId="0" xfId="1" quotePrefix="1" applyFont="1" applyFill="1" applyBorder="1"/>
    <xf numFmtId="43" fontId="2" fillId="2" borderId="0" xfId="1" applyFont="1" applyFill="1" applyBorder="1" applyAlignment="1">
      <alignment horizontal="right"/>
    </xf>
    <xf numFmtId="178" fontId="0" fillId="2" borderId="0" xfId="0" applyNumberFormat="1" applyFill="1"/>
    <xf numFmtId="178" fontId="6" fillId="2" borderId="0" xfId="0" applyNumberFormat="1" applyFont="1" applyFill="1"/>
    <xf numFmtId="0" fontId="6" fillId="2" borderId="0" xfId="0" applyFont="1" applyFill="1" applyAlignment="1">
      <alignment horizontal="right"/>
    </xf>
    <xf numFmtId="179" fontId="6" fillId="2" borderId="0" xfId="2" quotePrefix="1" applyNumberFormat="1" applyFont="1" applyFill="1" applyBorder="1"/>
    <xf numFmtId="178" fontId="2" fillId="2" borderId="0" xfId="1" quotePrefix="1" applyNumberFormat="1" applyFont="1" applyFill="1"/>
    <xf numFmtId="0" fontId="6" fillId="2" borderId="0" xfId="0" applyFont="1" applyFill="1" applyAlignment="1">
      <alignment horizontal="center" wrapText="1"/>
    </xf>
    <xf numFmtId="177" fontId="2" fillId="2" borderId="0" xfId="2" quotePrefix="1" applyNumberFormat="1" applyFont="1" applyFill="1"/>
    <xf numFmtId="166" fontId="0" fillId="2" borderId="0" xfId="1" applyNumberFormat="1" applyFont="1" applyFill="1"/>
    <xf numFmtId="176" fontId="0" fillId="2" borderId="0" xfId="3" applyNumberFormat="1" applyFont="1" applyFill="1"/>
    <xf numFmtId="0" fontId="9" fillId="2" borderId="0" xfId="0" applyFont="1" applyFill="1" applyAlignment="1">
      <alignment horizontal="right"/>
    </xf>
    <xf numFmtId="180" fontId="6" fillId="2" borderId="0" xfId="1" applyNumberFormat="1" applyFont="1" applyFill="1"/>
    <xf numFmtId="43" fontId="9" fillId="2" borderId="0" xfId="1" applyFont="1" applyFill="1"/>
    <xf numFmtId="180" fontId="2" fillId="2" borderId="0" xfId="1" quotePrefix="1" applyNumberFormat="1" applyFont="1" applyFill="1"/>
    <xf numFmtId="176" fontId="0" fillId="2" borderId="0" xfId="2" quotePrefix="1" applyNumberFormat="1" applyFont="1" applyFill="1"/>
    <xf numFmtId="0" fontId="43" fillId="2" borderId="0" xfId="5" applyFont="1" applyFill="1" applyAlignment="1">
      <alignment horizontal="left"/>
    </xf>
    <xf numFmtId="0" fontId="9" fillId="2" borderId="0" xfId="5" applyFont="1" applyFill="1"/>
    <xf numFmtId="0" fontId="44" fillId="2" borderId="0" xfId="0" applyFont="1" applyFill="1" applyAlignment="1">
      <alignment horizontal="center"/>
    </xf>
    <xf numFmtId="0" fontId="9" fillId="2" borderId="0" xfId="6" applyFont="1" applyFill="1"/>
    <xf numFmtId="44" fontId="46" fillId="2" borderId="13" xfId="2" applyFont="1" applyFill="1" applyBorder="1"/>
    <xf numFmtId="44" fontId="46" fillId="2" borderId="0" xfId="2" applyFont="1" applyFill="1"/>
    <xf numFmtId="0" fontId="2" fillId="2" borderId="0" xfId="6" applyFill="1"/>
    <xf numFmtId="3" fontId="2" fillId="2" borderId="0" xfId="0" applyNumberFormat="1" applyFont="1" applyFill="1"/>
    <xf numFmtId="176" fontId="46" fillId="2" borderId="0" xfId="2" applyNumberFormat="1" applyFont="1" applyFill="1"/>
    <xf numFmtId="0" fontId="46" fillId="2" borderId="0" xfId="0" applyFont="1" applyFill="1"/>
    <xf numFmtId="176" fontId="46" fillId="2" borderId="7" xfId="2" applyNumberFormat="1" applyFont="1" applyFill="1" applyBorder="1"/>
    <xf numFmtId="179" fontId="0" fillId="2" borderId="0" xfId="2" applyNumberFormat="1" applyFont="1" applyFill="1"/>
    <xf numFmtId="179" fontId="2" fillId="2" borderId="0" xfId="2" applyNumberFormat="1" applyFont="1" applyFill="1"/>
    <xf numFmtId="179" fontId="6" fillId="2" borderId="0" xfId="2" quotePrefix="1" applyNumberFormat="1" applyFont="1" applyFill="1"/>
    <xf numFmtId="176" fontId="41" fillId="2" borderId="0" xfId="0" applyNumberFormat="1" applyFont="1" applyFill="1"/>
    <xf numFmtId="179" fontId="0" fillId="2" borderId="0" xfId="0" applyNumberFormat="1" applyFill="1"/>
    <xf numFmtId="0" fontId="3" fillId="2" borderId="0" xfId="0" applyFont="1" applyFill="1"/>
    <xf numFmtId="167" fontId="3" fillId="2" borderId="0" xfId="0" applyNumberFormat="1" applyFont="1" applyFill="1"/>
    <xf numFmtId="177" fontId="6" fillId="2" borderId="0" xfId="2" quotePrefix="1" applyNumberFormat="1" applyFont="1" applyFill="1"/>
    <xf numFmtId="176" fontId="41" fillId="2" borderId="0" xfId="2" quotePrefix="1" applyNumberFormat="1" applyFont="1" applyFill="1"/>
    <xf numFmtId="176" fontId="6" fillId="2" borderId="0" xfId="0" applyNumberFormat="1" applyFont="1" applyFill="1"/>
    <xf numFmtId="0" fontId="0" fillId="2" borderId="14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8" xfId="0" applyFill="1" applyBorder="1" applyAlignment="1">
      <alignment horizontal="center"/>
    </xf>
    <xf numFmtId="0" fontId="0" fillId="2" borderId="16" xfId="0" applyFill="1" applyBorder="1"/>
    <xf numFmtId="0" fontId="35" fillId="2" borderId="8" xfId="0" applyFont="1" applyFill="1" applyBorder="1" applyAlignment="1">
      <alignment horizontal="center"/>
    </xf>
    <xf numFmtId="169" fontId="0" fillId="2" borderId="0" xfId="3" applyNumberFormat="1" applyFont="1" applyFill="1"/>
    <xf numFmtId="170" fontId="0" fillId="2" borderId="8" xfId="0" applyNumberFormat="1" applyFill="1" applyBorder="1"/>
    <xf numFmtId="0" fontId="0" fillId="2" borderId="17" xfId="0" applyFill="1" applyBorder="1"/>
    <xf numFmtId="0" fontId="0" fillId="2" borderId="18" xfId="0" applyFill="1" applyBorder="1"/>
    <xf numFmtId="184" fontId="6" fillId="2" borderId="0" xfId="2" quotePrefix="1" applyNumberFormat="1" applyFont="1" applyFill="1"/>
    <xf numFmtId="169" fontId="35" fillId="2" borderId="0" xfId="3" applyNumberFormat="1" applyFont="1" applyFill="1"/>
    <xf numFmtId="0" fontId="2" fillId="2" borderId="0" xfId="5" applyFill="1"/>
    <xf numFmtId="0" fontId="7" fillId="2" borderId="0" xfId="5" applyFont="1" applyFill="1" applyAlignment="1">
      <alignment horizontal="center"/>
    </xf>
    <xf numFmtId="0" fontId="2" fillId="2" borderId="0" xfId="5" applyFill="1" applyAlignment="1">
      <alignment horizontal="center" wrapText="1"/>
    </xf>
    <xf numFmtId="0" fontId="6" fillId="2" borderId="0" xfId="5" applyFont="1" applyFill="1"/>
    <xf numFmtId="175" fontId="2" fillId="2" borderId="0" xfId="5" applyNumberFormat="1" applyFill="1"/>
    <xf numFmtId="0" fontId="2" fillId="2" borderId="0" xfId="5" quotePrefix="1" applyFill="1"/>
    <xf numFmtId="175" fontId="2" fillId="2" borderId="7" xfId="5" quotePrefix="1" applyNumberFormat="1" applyFill="1" applyBorder="1" applyAlignment="1">
      <alignment horizontal="right"/>
    </xf>
    <xf numFmtId="175" fontId="2" fillId="2" borderId="7" xfId="5" applyNumberFormat="1" applyFill="1" applyBorder="1"/>
    <xf numFmtId="0" fontId="9" fillId="2" borderId="0" xfId="5" applyFont="1" applyFill="1" applyAlignment="1">
      <alignment horizontal="center" wrapText="1"/>
    </xf>
    <xf numFmtId="175" fontId="2" fillId="2" borderId="0" xfId="5" quotePrefix="1" applyNumberFormat="1" applyFill="1" applyAlignment="1">
      <alignment horizontal="right"/>
    </xf>
    <xf numFmtId="172" fontId="2" fillId="2" borderId="0" xfId="5" applyNumberFormat="1" applyFill="1"/>
    <xf numFmtId="3" fontId="2" fillId="2" borderId="7" xfId="5" applyNumberFormat="1" applyFill="1" applyBorder="1"/>
    <xf numFmtId="181" fontId="2" fillId="2" borderId="0" xfId="5" quotePrefix="1" applyNumberFormat="1" applyFill="1" applyAlignment="1">
      <alignment horizontal="right"/>
    </xf>
    <xf numFmtId="181" fontId="2" fillId="2" borderId="0" xfId="5" applyNumberFormat="1" applyFill="1"/>
    <xf numFmtId="0" fontId="6" fillId="2" borderId="0" xfId="5" applyFont="1" applyFill="1" applyAlignment="1">
      <alignment wrapText="1"/>
    </xf>
    <xf numFmtId="166" fontId="2" fillId="2" borderId="7" xfId="1" applyNumberFormat="1" applyFont="1" applyFill="1" applyBorder="1"/>
    <xf numFmtId="10" fontId="2" fillId="2" borderId="0" xfId="3" applyNumberFormat="1" applyFont="1" applyFill="1"/>
    <xf numFmtId="0" fontId="6" fillId="2" borderId="0" xfId="6" applyFont="1" applyFill="1"/>
    <xf numFmtId="3" fontId="2" fillId="2" borderId="0" xfId="5" applyNumberFormat="1" applyFill="1"/>
    <xf numFmtId="175" fontId="6" fillId="2" borderId="19" xfId="5" applyNumberFormat="1" applyFont="1" applyFill="1" applyBorder="1"/>
    <xf numFmtId="0" fontId="6" fillId="2" borderId="0" xfId="5" quotePrefix="1" applyFont="1" applyFill="1"/>
    <xf numFmtId="0" fontId="2" fillId="3" borderId="0" xfId="5" applyFill="1"/>
    <xf numFmtId="0" fontId="2" fillId="2" borderId="16" xfId="5" applyFill="1" applyBorder="1"/>
    <xf numFmtId="0" fontId="2" fillId="2" borderId="0" xfId="5" applyFill="1" applyAlignment="1">
      <alignment horizontal="center" vertical="center" wrapText="1"/>
    </xf>
    <xf numFmtId="0" fontId="2" fillId="2" borderId="0" xfId="5" quotePrefix="1" applyFill="1" applyAlignment="1">
      <alignment horizontal="center"/>
    </xf>
    <xf numFmtId="0" fontId="2" fillId="5" borderId="16" xfId="5" applyFill="1" applyBorder="1"/>
    <xf numFmtId="3" fontId="2" fillId="0" borderId="7" xfId="5" applyNumberFormat="1" applyBorder="1"/>
    <xf numFmtId="0" fontId="51" fillId="2" borderId="0" xfId="5" applyFont="1" applyFill="1"/>
    <xf numFmtId="0" fontId="7" fillId="2" borderId="0" xfId="5" applyFont="1" applyFill="1"/>
    <xf numFmtId="0" fontId="3" fillId="2" borderId="0" xfId="5" applyFont="1" applyFill="1" applyAlignment="1">
      <alignment horizontal="center"/>
    </xf>
    <xf numFmtId="0" fontId="2" fillId="2" borderId="0" xfId="5" applyFill="1" applyAlignment="1">
      <alignment horizontal="center"/>
    </xf>
    <xf numFmtId="167" fontId="2" fillId="6" borderId="0" xfId="5" applyNumberFormat="1" applyFill="1"/>
    <xf numFmtId="44" fontId="2" fillId="2" borderId="0" xfId="7" applyFont="1" applyFill="1"/>
    <xf numFmtId="0" fontId="2" fillId="2" borderId="0" xfId="6" quotePrefix="1" applyFill="1"/>
    <xf numFmtId="167" fontId="2" fillId="2" borderId="0" xfId="6" applyNumberFormat="1" applyFill="1"/>
    <xf numFmtId="167" fontId="5" fillId="2" borderId="0" xfId="5" applyNumberFormat="1" applyFont="1" applyFill="1"/>
    <xf numFmtId="176" fontId="2" fillId="2" borderId="0" xfId="7" applyNumberFormat="1" applyFont="1" applyFill="1"/>
    <xf numFmtId="0" fontId="46" fillId="2" borderId="0" xfId="5" applyFont="1" applyFill="1"/>
    <xf numFmtId="176" fontId="2" fillId="2" borderId="0" xfId="5" applyNumberFormat="1" applyFill="1"/>
    <xf numFmtId="176" fontId="41" fillId="2" borderId="0" xfId="7" applyNumberFormat="1" applyFont="1" applyFill="1"/>
    <xf numFmtId="44" fontId="0" fillId="2" borderId="0" xfId="7" applyFont="1" applyFill="1"/>
    <xf numFmtId="177" fontId="2" fillId="2" borderId="0" xfId="5" applyNumberFormat="1" applyFill="1"/>
    <xf numFmtId="177" fontId="2" fillId="2" borderId="0" xfId="7" applyNumberFormat="1" applyFont="1" applyFill="1"/>
    <xf numFmtId="44" fontId="6" fillId="2" borderId="0" xfId="7" quotePrefix="1" applyFont="1" applyFill="1"/>
    <xf numFmtId="0" fontId="6" fillId="2" borderId="0" xfId="5" applyFont="1" applyFill="1" applyAlignment="1">
      <alignment horizontal="left"/>
    </xf>
    <xf numFmtId="0" fontId="2" fillId="2" borderId="0" xfId="5" applyFill="1" applyAlignment="1">
      <alignment horizontal="right"/>
    </xf>
    <xf numFmtId="176" fontId="41" fillId="2" borderId="0" xfId="5" applyNumberFormat="1" applyFont="1" applyFill="1"/>
    <xf numFmtId="176" fontId="0" fillId="2" borderId="0" xfId="7" applyNumberFormat="1" applyFont="1" applyFill="1"/>
    <xf numFmtId="0" fontId="3" fillId="2" borderId="0" xfId="5" applyFont="1" applyFill="1" applyAlignment="1">
      <alignment horizontal="left"/>
    </xf>
    <xf numFmtId="0" fontId="6" fillId="2" borderId="0" xfId="5" applyFont="1" applyFill="1" applyAlignment="1">
      <alignment horizontal="center"/>
    </xf>
    <xf numFmtId="0" fontId="6" fillId="2" borderId="16" xfId="5" applyFont="1" applyFill="1" applyBorder="1" applyAlignment="1">
      <alignment horizontal="center"/>
    </xf>
    <xf numFmtId="17" fontId="2" fillId="2" borderId="0" xfId="5" applyNumberFormat="1" applyFill="1"/>
    <xf numFmtId="178" fontId="6" fillId="2" borderId="16" xfId="1" quotePrefix="1" applyNumberFormat="1" applyFont="1" applyFill="1" applyBorder="1"/>
    <xf numFmtId="17" fontId="2" fillId="2" borderId="0" xfId="5" applyNumberFormat="1" applyFill="1" applyAlignment="1">
      <alignment horizontal="right"/>
    </xf>
    <xf numFmtId="178" fontId="2" fillId="2" borderId="16" xfId="1" quotePrefix="1" applyNumberFormat="1" applyFont="1" applyFill="1" applyBorder="1"/>
    <xf numFmtId="178" fontId="2" fillId="2" borderId="16" xfId="5" applyNumberFormat="1" applyFill="1" applyBorder="1"/>
    <xf numFmtId="178" fontId="6" fillId="2" borderId="0" xfId="5" applyNumberFormat="1" applyFont="1" applyFill="1"/>
    <xf numFmtId="0" fontId="6" fillId="2" borderId="0" xfId="5" applyFont="1" applyFill="1" applyAlignment="1">
      <alignment horizontal="right"/>
    </xf>
    <xf numFmtId="43" fontId="2" fillId="2" borderId="16" xfId="1" quotePrefix="1" applyFont="1" applyFill="1" applyBorder="1"/>
    <xf numFmtId="179" fontId="6" fillId="2" borderId="0" xfId="7" quotePrefix="1" applyNumberFormat="1" applyFont="1" applyFill="1" applyBorder="1"/>
    <xf numFmtId="0" fontId="2" fillId="2" borderId="0" xfId="5" applyFill="1" applyAlignment="1">
      <alignment horizontal="left"/>
    </xf>
    <xf numFmtId="0" fontId="6" fillId="2" borderId="16" xfId="5" applyFont="1" applyFill="1" applyBorder="1"/>
    <xf numFmtId="0" fontId="6" fillId="2" borderId="0" xfId="5" applyFont="1" applyFill="1" applyAlignment="1">
      <alignment horizontal="center" wrapText="1"/>
    </xf>
    <xf numFmtId="178" fontId="2" fillId="2" borderId="0" xfId="5" applyNumberFormat="1" applyFill="1"/>
    <xf numFmtId="0" fontId="35" fillId="2" borderId="16" xfId="5" applyFont="1" applyFill="1" applyBorder="1" applyAlignment="1">
      <alignment horizontal="left"/>
    </xf>
    <xf numFmtId="0" fontId="2" fillId="2" borderId="16" xfId="5" applyFill="1" applyBorder="1" applyAlignment="1">
      <alignment horizontal="right"/>
    </xf>
    <xf numFmtId="177" fontId="2" fillId="2" borderId="0" xfId="7" quotePrefix="1" applyNumberFormat="1" applyFont="1" applyFill="1"/>
    <xf numFmtId="0" fontId="3" fillId="2" borderId="0" xfId="5" applyFont="1" applyFill="1"/>
    <xf numFmtId="167" fontId="3" fillId="2" borderId="0" xfId="5" applyNumberFormat="1" applyFont="1" applyFill="1"/>
    <xf numFmtId="167" fontId="3" fillId="2" borderId="16" xfId="5" applyNumberFormat="1" applyFont="1" applyFill="1" applyBorder="1"/>
    <xf numFmtId="0" fontId="3" fillId="2" borderId="16" xfId="5" applyFont="1" applyFill="1" applyBorder="1"/>
    <xf numFmtId="177" fontId="6" fillId="2" borderId="0" xfId="7" quotePrefix="1" applyNumberFormat="1" applyFont="1" applyFill="1"/>
    <xf numFmtId="176" fontId="0" fillId="2" borderId="0" xfId="7" quotePrefix="1" applyNumberFormat="1" applyFont="1" applyFill="1"/>
    <xf numFmtId="176" fontId="0" fillId="2" borderId="16" xfId="7" applyNumberFormat="1" applyFont="1" applyFill="1" applyBorder="1"/>
    <xf numFmtId="176" fontId="41" fillId="2" borderId="16" xfId="7" applyNumberFormat="1" applyFont="1" applyFill="1" applyBorder="1"/>
    <xf numFmtId="176" fontId="2" fillId="2" borderId="16" xfId="5" applyNumberFormat="1" applyFill="1" applyBorder="1"/>
    <xf numFmtId="176" fontId="2" fillId="2" borderId="0" xfId="7" quotePrefix="1" applyNumberFormat="1" applyFont="1" applyFill="1"/>
    <xf numFmtId="176" fontId="41" fillId="2" borderId="0" xfId="7" quotePrefix="1" applyNumberFormat="1" applyFont="1" applyFill="1"/>
    <xf numFmtId="176" fontId="2" fillId="3" borderId="0" xfId="5" applyNumberFormat="1" applyFill="1"/>
    <xf numFmtId="176" fontId="6" fillId="2" borderId="0" xfId="5" applyNumberFormat="1" applyFont="1" applyFill="1"/>
    <xf numFmtId="184" fontId="6" fillId="2" borderId="0" xfId="7" quotePrefix="1" applyNumberFormat="1" applyFont="1" applyFill="1"/>
    <xf numFmtId="0" fontId="35" fillId="2" borderId="0" xfId="5" applyFont="1" applyFill="1" applyAlignment="1">
      <alignment horizontal="center"/>
    </xf>
    <xf numFmtId="44" fontId="2" fillId="2" borderId="0" xfId="5" applyNumberFormat="1" applyFill="1"/>
    <xf numFmtId="176" fontId="41" fillId="2" borderId="0" xfId="7" applyNumberFormat="1" applyFont="1" applyFill="1" applyBorder="1"/>
    <xf numFmtId="176" fontId="2" fillId="2" borderId="7" xfId="5" applyNumberFormat="1" applyFill="1" applyBorder="1"/>
    <xf numFmtId="44" fontId="2" fillId="2" borderId="7" xfId="5" applyNumberFormat="1" applyFill="1" applyBorder="1"/>
    <xf numFmtId="0" fontId="50" fillId="2" borderId="0" xfId="5" applyFont="1" applyFill="1"/>
    <xf numFmtId="0" fontId="50" fillId="4" borderId="0" xfId="5" applyFont="1" applyFill="1"/>
    <xf numFmtId="0" fontId="50" fillId="0" borderId="0" xfId="5" applyFont="1" applyAlignment="1">
      <alignment wrapText="1"/>
    </xf>
    <xf numFmtId="44" fontId="2" fillId="0" borderId="0" xfId="2" applyFont="1" applyFill="1"/>
    <xf numFmtId="0" fontId="6" fillId="0" borderId="0" xfId="5" applyFont="1"/>
    <xf numFmtId="0" fontId="27" fillId="2" borderId="16" xfId="5" applyFont="1" applyFill="1" applyBorder="1"/>
    <xf numFmtId="175" fontId="2" fillId="0" borderId="0" xfId="5" applyNumberFormat="1"/>
    <xf numFmtId="0" fontId="2" fillId="2" borderId="0" xfId="5" quotePrefix="1" applyFill="1" applyAlignment="1">
      <alignment wrapText="1"/>
    </xf>
    <xf numFmtId="0" fontId="2" fillId="2" borderId="16" xfId="5" quotePrefix="1" applyFill="1" applyBorder="1"/>
    <xf numFmtId="17" fontId="53" fillId="2" borderId="0" xfId="0" applyNumberFormat="1" applyFont="1" applyFill="1" applyAlignment="1">
      <alignment wrapText="1"/>
    </xf>
    <xf numFmtId="17" fontId="54" fillId="2" borderId="0" xfId="0" applyNumberFormat="1" applyFont="1" applyFill="1"/>
    <xf numFmtId="164" fontId="46" fillId="2" borderId="0" xfId="0" applyNumberFormat="1" applyFont="1" applyFill="1"/>
    <xf numFmtId="0" fontId="55" fillId="2" borderId="0" xfId="0" applyFont="1" applyFill="1" applyAlignment="1">
      <alignment horizontal="left"/>
    </xf>
    <xf numFmtId="0" fontId="46" fillId="2" borderId="0" xfId="0" applyFont="1" applyFill="1" applyAlignment="1">
      <alignment horizontal="left"/>
    </xf>
    <xf numFmtId="0" fontId="56" fillId="2" borderId="0" xfId="0" applyFont="1" applyFill="1" applyAlignment="1">
      <alignment horizontal="left"/>
    </xf>
    <xf numFmtId="0" fontId="54" fillId="2" borderId="0" xfId="0" applyFont="1" applyFill="1" applyAlignment="1">
      <alignment horizontal="left"/>
    </xf>
    <xf numFmtId="0" fontId="57" fillId="2" borderId="0" xfId="0" applyFont="1" applyFill="1" applyAlignment="1">
      <alignment horizontal="left"/>
    </xf>
    <xf numFmtId="0" fontId="58" fillId="2" borderId="0" xfId="0" quotePrefix="1" applyFont="1" applyFill="1"/>
    <xf numFmtId="172" fontId="58" fillId="2" borderId="0" xfId="0" applyNumberFormat="1" applyFont="1" applyFill="1"/>
    <xf numFmtId="0" fontId="59" fillId="2" borderId="0" xfId="0" applyFont="1" applyFill="1"/>
    <xf numFmtId="0" fontId="55" fillId="2" borderId="0" xfId="0" applyFont="1" applyFill="1" applyAlignment="1">
      <alignment horizontal="left" wrapText="1"/>
    </xf>
    <xf numFmtId="0" fontId="58" fillId="2" borderId="0" xfId="0" applyFont="1" applyFill="1"/>
    <xf numFmtId="0" fontId="58" fillId="2" borderId="0" xfId="0" applyFont="1" applyFill="1" applyAlignment="1">
      <alignment horizontal="left"/>
    </xf>
    <xf numFmtId="0" fontId="60" fillId="2" borderId="0" xfId="0" applyFont="1" applyFill="1"/>
    <xf numFmtId="0" fontId="46" fillId="2" borderId="0" xfId="0" applyFont="1" applyFill="1" applyAlignment="1">
      <alignment horizontal="right"/>
    </xf>
    <xf numFmtId="0" fontId="46" fillId="2" borderId="1" xfId="0" applyFont="1" applyFill="1" applyBorder="1"/>
    <xf numFmtId="0" fontId="54" fillId="2" borderId="1" xfId="0" applyFont="1" applyFill="1" applyBorder="1"/>
    <xf numFmtId="44" fontId="28" fillId="2" borderId="1" xfId="2" applyFont="1" applyFill="1" applyBorder="1"/>
    <xf numFmtId="3" fontId="46" fillId="2" borderId="0" xfId="0" applyNumberFormat="1" applyFont="1" applyFill="1"/>
    <xf numFmtId="3" fontId="49" fillId="7" borderId="0" xfId="0" applyNumberFormat="1" applyFont="1" applyFill="1" applyAlignment="1">
      <alignment horizontal="center"/>
    </xf>
    <xf numFmtId="3" fontId="49" fillId="7" borderId="7" xfId="0" applyNumberFormat="1" applyFont="1" applyFill="1" applyBorder="1" applyAlignment="1">
      <alignment horizontal="center"/>
    </xf>
    <xf numFmtId="185" fontId="0" fillId="2" borderId="0" xfId="2" applyNumberFormat="1" applyFont="1" applyFill="1"/>
    <xf numFmtId="185" fontId="0" fillId="2" borderId="0" xfId="0" applyNumberFormat="1" applyFill="1"/>
    <xf numFmtId="43" fontId="0" fillId="2" borderId="0" xfId="1" applyFont="1" applyFill="1"/>
    <xf numFmtId="0" fontId="61" fillId="2" borderId="0" xfId="0" applyFont="1" applyFill="1"/>
    <xf numFmtId="0" fontId="62" fillId="2" borderId="0" xfId="0" applyFont="1" applyFill="1"/>
    <xf numFmtId="43" fontId="62" fillId="2" borderId="0" xfId="1" applyFont="1" applyFill="1"/>
    <xf numFmtId="0" fontId="49" fillId="2" borderId="0" xfId="0" applyFont="1" applyFill="1"/>
    <xf numFmtId="43" fontId="49" fillId="2" borderId="0" xfId="1" applyFont="1" applyFill="1"/>
    <xf numFmtId="0" fontId="0" fillId="8" borderId="0" xfId="0" applyFill="1"/>
    <xf numFmtId="0" fontId="61" fillId="8" borderId="0" xfId="0" applyFont="1" applyFill="1"/>
    <xf numFmtId="9" fontId="0" fillId="8" borderId="0" xfId="3" applyFont="1" applyFill="1"/>
    <xf numFmtId="0" fontId="62" fillId="8" borderId="0" xfId="0" applyFont="1" applyFill="1"/>
    <xf numFmtId="0" fontId="49" fillId="8" borderId="0" xfId="0" applyFont="1" applyFill="1"/>
    <xf numFmtId="43" fontId="0" fillId="8" borderId="0" xfId="1" applyFont="1" applyFill="1"/>
    <xf numFmtId="0" fontId="0" fillId="2" borderId="0" xfId="5" applyFont="1" applyFill="1" applyAlignment="1">
      <alignment horizontal="center" wrapText="1"/>
    </xf>
    <xf numFmtId="0" fontId="0" fillId="2" borderId="0" xfId="5" quotePrefix="1" applyFont="1" applyFill="1"/>
    <xf numFmtId="0" fontId="63" fillId="2" borderId="0" xfId="5" applyFont="1" applyFill="1" applyAlignment="1">
      <alignment horizontal="center"/>
    </xf>
    <xf numFmtId="0" fontId="0" fillId="2" borderId="0" xfId="5" applyFont="1" applyFill="1" applyAlignment="1">
      <alignment horizontal="center" vertical="center" wrapText="1"/>
    </xf>
    <xf numFmtId="0" fontId="64" fillId="2" borderId="0" xfId="5" applyFont="1" applyFill="1"/>
    <xf numFmtId="0" fontId="65" fillId="2" borderId="0" xfId="5" applyFont="1" applyFill="1" applyAlignment="1">
      <alignment horizontal="center"/>
    </xf>
    <xf numFmtId="175" fontId="45" fillId="2" borderId="7" xfId="5" applyNumberFormat="1" applyFont="1" applyFill="1" applyBorder="1"/>
    <xf numFmtId="175" fontId="45" fillId="2" borderId="7" xfId="5" quotePrefix="1" applyNumberFormat="1" applyFont="1" applyFill="1" applyBorder="1" applyAlignment="1">
      <alignment horizontal="right"/>
    </xf>
    <xf numFmtId="182" fontId="6" fillId="2" borderId="0" xfId="3" quotePrefix="1" applyNumberFormat="1" applyFont="1" applyFill="1"/>
    <xf numFmtId="44" fontId="45" fillId="2" borderId="0" xfId="2" applyFont="1" applyFill="1"/>
    <xf numFmtId="0" fontId="52" fillId="2" borderId="0" xfId="5" applyFont="1" applyFill="1"/>
    <xf numFmtId="17" fontId="66" fillId="2" borderId="0" xfId="0" applyNumberFormat="1" applyFont="1" applyFill="1" applyAlignment="1">
      <alignment horizontal="left" vertical="center" wrapText="1" indent="1"/>
    </xf>
    <xf numFmtId="0" fontId="67" fillId="2" borderId="0" xfId="0" applyFont="1" applyFill="1" applyAlignment="1">
      <alignment horizontal="left" vertical="center" wrapText="1" indent="1"/>
    </xf>
    <xf numFmtId="0" fontId="47" fillId="0" borderId="0" xfId="5" applyFont="1"/>
    <xf numFmtId="0" fontId="52" fillId="0" borderId="0" xfId="5" applyFont="1"/>
    <xf numFmtId="0" fontId="52" fillId="0" borderId="16" xfId="5" applyFont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5" fontId="2" fillId="2" borderId="7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" fontId="0" fillId="2" borderId="0" xfId="0" applyNumberFormat="1" applyFill="1" applyAlignment="1">
      <alignment horizontal="center" wrapText="1"/>
    </xf>
    <xf numFmtId="0" fontId="42" fillId="2" borderId="0" xfId="0" applyFont="1" applyFill="1" applyAlignment="1">
      <alignment horizontal="left" wrapText="1"/>
    </xf>
    <xf numFmtId="0" fontId="48" fillId="2" borderId="0" xfId="0" applyFont="1" applyFill="1" applyAlignment="1">
      <alignment horizontal="left" wrapText="1"/>
    </xf>
    <xf numFmtId="0" fontId="42" fillId="4" borderId="0" xfId="5" applyFont="1" applyFill="1" applyAlignment="1">
      <alignment horizontal="left" vertical="center" wrapText="1"/>
    </xf>
    <xf numFmtId="0" fontId="42" fillId="5" borderId="0" xfId="5" applyFont="1" applyFill="1" applyAlignment="1">
      <alignment horizontal="left" vertical="center" wrapText="1"/>
    </xf>
    <xf numFmtId="0" fontId="42" fillId="4" borderId="8" xfId="5" applyFont="1" applyFill="1" applyBorder="1" applyAlignment="1">
      <alignment horizontal="left" vertical="center" wrapText="1"/>
    </xf>
    <xf numFmtId="0" fontId="50" fillId="2" borderId="0" xfId="5" applyFont="1" applyFill="1" applyAlignment="1">
      <alignment horizontal="left" vertical="center" wrapText="1"/>
    </xf>
    <xf numFmtId="0" fontId="50" fillId="2" borderId="16" xfId="5" applyFont="1" applyFill="1" applyBorder="1" applyAlignment="1">
      <alignment horizontal="left" vertical="center" wrapText="1"/>
    </xf>
    <xf numFmtId="0" fontId="47" fillId="0" borderId="0" xfId="5" applyFont="1" applyAlignment="1">
      <alignment horizontal="left" vertical="center" wrapText="1"/>
    </xf>
    <xf numFmtId="0" fontId="47" fillId="0" borderId="16" xfId="5" applyFont="1" applyBorder="1" applyAlignment="1">
      <alignment horizontal="left" vertical="center" wrapText="1"/>
    </xf>
    <xf numFmtId="0" fontId="47" fillId="4" borderId="0" xfId="5" applyFont="1" applyFill="1" applyAlignment="1">
      <alignment horizontal="left" vertical="center" wrapText="1"/>
    </xf>
    <xf numFmtId="0" fontId="50" fillId="4" borderId="0" xfId="5" applyFont="1" applyFill="1" applyAlignment="1">
      <alignment horizontal="left" vertical="center" wrapText="1"/>
    </xf>
  </cellXfs>
  <cellStyles count="8">
    <cellStyle name="Comma" xfId="1" builtinId="3"/>
    <cellStyle name="Currency" xfId="2" builtinId="4"/>
    <cellStyle name="Currency 2 2 2" xfId="7" xr:uid="{80412AAF-4296-4557-99E8-7CA5664B9218}"/>
    <cellStyle name="Hyperlink" xfId="4" builtinId="8"/>
    <cellStyle name="Normal" xfId="0" builtinId="0"/>
    <cellStyle name="Normal 10" xfId="6" xr:uid="{F4BA5C32-604A-430D-B824-A2FED010A054}"/>
    <cellStyle name="Normal 2 4" xfId="5" xr:uid="{89DEB417-D133-4B72-95AE-5C19D963382C}"/>
    <cellStyle name="Percent" xfId="3" builtinId="5"/>
  </cellStyles>
  <dxfs count="0"/>
  <tableStyles count="0" defaultTableStyle="TableStyleMedium2" defaultPivotStyle="PivotStyleLight16"/>
  <colors>
    <mruColors>
      <color rgb="FFFFE7F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0</xdr:row>
          <xdr:rowOff>19050</xdr:rowOff>
        </xdr:from>
        <xdr:to>
          <xdr:col>6</xdr:col>
          <xdr:colOff>238125</xdr:colOff>
          <xdr:row>2</xdr:row>
          <xdr:rowOff>57150</xdr:rowOff>
        </xdr:to>
        <xdr:sp macro="" textlink="">
          <xdr:nvSpPr>
            <xdr:cNvPr id="1025" name="Button 1" descr="Run Scenari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73152" tIns="82296" rIns="73152" bIns="82296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FF"/>
                  </a:solidFill>
                  <a:latin typeface="Arial Black"/>
                </a:rPr>
                <a:t>Run Scenario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61689</xdr:colOff>
      <xdr:row>173</xdr:row>
      <xdr:rowOff>32469</xdr:rowOff>
    </xdr:from>
    <xdr:to>
      <xdr:col>10</xdr:col>
      <xdr:colOff>797213</xdr:colOff>
      <xdr:row>189</xdr:row>
      <xdr:rowOff>111222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7F48C3-9B97-4DC5-9F57-D8CB83A9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7569" y="30733449"/>
          <a:ext cx="7858954" cy="2759724"/>
        </a:xfrm>
        <a:prstGeom prst="rect">
          <a:avLst/>
        </a:prstGeom>
      </xdr:spPr>
    </xdr:pic>
    <xdr:clientData/>
  </xdr:twoCellAnchor>
  <xdr:twoCellAnchor>
    <xdr:from>
      <xdr:col>4</xdr:col>
      <xdr:colOff>830580</xdr:colOff>
      <xdr:row>170</xdr:row>
      <xdr:rowOff>121920</xdr:rowOff>
    </xdr:from>
    <xdr:to>
      <xdr:col>5</xdr:col>
      <xdr:colOff>487680</xdr:colOff>
      <xdr:row>181</xdr:row>
      <xdr:rowOff>7620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E0F6656-98FC-4008-8D7C-DE00D050C8E1}"/>
            </a:ext>
          </a:extLst>
        </xdr:cNvPr>
        <xdr:cNvCxnSpPr/>
      </xdr:nvCxnSpPr>
      <xdr:spPr bwMode="auto">
        <a:xfrm>
          <a:off x="8382000" y="30319980"/>
          <a:ext cx="579120" cy="1729740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C:\Users\A00202130\AppData\Local\Microsoft\Windows\2021%20BGS-RSCP%20for%202022-2023\01.2022%20Compliance%20Filing\Model%20Updates\Pre-auction%20Final\Working%20Copy\Pre-auction%20Final\AppData\Local\Microsoft\2018%20BGS-RSCP%20for%202019-2020\2019.01%20Compliance%20Filing\Pre%20Auction\2015%20BGS-RSCP%20for%202016-2017\2015-11%20Compliance%20Filing\2015%20BGS-RSCP%20for%202016-2017\2015-07%20Initial%20Filing\BGS-FP%20Initial%20Filing%20Supporting%20Documents\Table1&amp;2%20-%20OnPeak%25\Table%201%20-%20Time%20period%20usage%20for%202016-17%20Spreadsheet.xls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E0DA-ECD5-42A3-91A1-5430995704A9}">
  <sheetPr codeName="Sheet5"/>
  <dimension ref="A1:AF395"/>
  <sheetViews>
    <sheetView tabSelected="1" zoomScaleNormal="100" workbookViewId="0">
      <pane xSplit="2" ySplit="3" topLeftCell="C4" activePane="bottomRight" state="frozen"/>
      <selection activeCell="E113" sqref="E113"/>
      <selection pane="topRight" activeCell="E113" sqref="E113"/>
      <selection pane="bottomLeft" activeCell="E113" sqref="E113"/>
      <selection pane="bottomRight"/>
    </sheetView>
  </sheetViews>
  <sheetFormatPr defaultColWidth="9.26953125" defaultRowHeight="13" outlineLevelRow="1"/>
  <cols>
    <col min="1" max="1" width="17.40625" style="453" customWidth="1"/>
    <col min="2" max="2" width="57.40625" style="1" customWidth="1"/>
    <col min="3" max="3" width="18.54296875" style="1" customWidth="1"/>
    <col min="4" max="4" width="16.7265625" style="1" customWidth="1"/>
    <col min="5" max="5" width="13.40625" style="1" customWidth="1"/>
    <col min="6" max="6" width="12.54296875" style="1" customWidth="1"/>
    <col min="7" max="8" width="10.54296875" style="1" customWidth="1"/>
    <col min="9" max="9" width="11" style="1" customWidth="1"/>
    <col min="10" max="10" width="10.54296875" style="1" customWidth="1"/>
    <col min="11" max="12" width="12.40625" style="1" customWidth="1"/>
    <col min="13" max="15" width="13.40625" style="1" customWidth="1"/>
    <col min="16" max="16" width="13" style="1" customWidth="1"/>
    <col min="17" max="17" width="11.54296875" style="1" bestFit="1" customWidth="1"/>
    <col min="18" max="18" width="12.40625" style="1" customWidth="1"/>
    <col min="19" max="19" width="13" style="1" customWidth="1"/>
    <col min="20" max="20" width="13.26953125" style="1" customWidth="1"/>
    <col min="21" max="21" width="14.40625" style="1" customWidth="1"/>
    <col min="22" max="22" width="11" style="1" bestFit="1" customWidth="1"/>
    <col min="23" max="23" width="10.54296875" style="1" customWidth="1"/>
    <col min="24" max="24" width="11.54296875" style="1" customWidth="1"/>
    <col min="25" max="25" width="11.40625" style="1" bestFit="1" customWidth="1"/>
    <col min="26" max="26" width="10.26953125" style="1" customWidth="1"/>
    <col min="27" max="27" width="10.54296875" style="1" customWidth="1"/>
    <col min="28" max="28" width="12.7265625" style="1" bestFit="1" customWidth="1"/>
    <col min="29" max="29" width="9.26953125" style="1"/>
    <col min="30" max="30" width="17.54296875" style="1" customWidth="1"/>
    <col min="31" max="31" width="9.26953125" style="1"/>
    <col min="32" max="32" width="10.40625" style="1" bestFit="1" customWidth="1"/>
    <col min="33" max="33" width="10.54296875" style="1" customWidth="1"/>
    <col min="34" max="16384" width="9.26953125" style="1"/>
  </cols>
  <sheetData>
    <row r="1" spans="1:24">
      <c r="A1" s="451" t="s">
        <v>463</v>
      </c>
    </row>
    <row r="2" spans="1:24">
      <c r="A2" s="452" t="s">
        <v>0</v>
      </c>
      <c r="B2" s="3" t="s">
        <v>305</v>
      </c>
      <c r="C2" s="4" t="s">
        <v>1</v>
      </c>
      <c r="D2" s="5">
        <v>2026</v>
      </c>
    </row>
    <row r="3" spans="1:24">
      <c r="A3" s="453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ht="13.75" thickBot="1">
      <c r="A4" s="330"/>
    </row>
    <row r="5" spans="1:24" ht="13.75" thickBot="1">
      <c r="A5" s="453" t="s">
        <v>3</v>
      </c>
      <c r="B5" s="501" t="s">
        <v>305</v>
      </c>
      <c r="C5" s="502"/>
      <c r="D5" s="502"/>
      <c r="E5" s="502"/>
      <c r="F5" s="502"/>
      <c r="G5" s="502"/>
      <c r="H5" s="502"/>
      <c r="I5" s="502"/>
      <c r="J5" s="502"/>
      <c r="K5" s="502"/>
      <c r="L5" s="503"/>
    </row>
    <row r="6" spans="1:24">
      <c r="C6" s="7"/>
      <c r="D6" s="7"/>
      <c r="E6" s="7"/>
      <c r="F6" s="7"/>
      <c r="G6" s="7"/>
      <c r="H6" s="7"/>
      <c r="I6" s="7"/>
      <c r="J6" s="7"/>
      <c r="K6" s="7"/>
      <c r="L6" s="7"/>
    </row>
    <row r="7" spans="1:24" ht="15.5">
      <c r="B7" s="9" t="str">
        <f>"Development of BGS-RSCP Cost and Bid Factors for "&amp;(Inputs!D2)&amp;"/"&amp;(Inputs!D2+1)&amp;" BGS Filing"</f>
        <v>Development of BGS-RSCP Cost and Bid Factors for 2026/2027 BGS Filing</v>
      </c>
      <c r="C7" s="10"/>
      <c r="D7" s="10"/>
      <c r="E7" s="10"/>
      <c r="F7" s="10"/>
      <c r="J7" s="9"/>
    </row>
    <row r="8" spans="1:24">
      <c r="A8" s="454"/>
      <c r="B8" s="12" t="s">
        <v>4</v>
      </c>
      <c r="C8" s="10"/>
      <c r="D8" s="10"/>
      <c r="E8" s="10"/>
      <c r="F8" s="10"/>
    </row>
    <row r="9" spans="1:24">
      <c r="B9" s="10"/>
      <c r="C9" s="10"/>
      <c r="D9" s="10"/>
      <c r="E9" s="13" t="str">
        <f>"Based on average of year "&amp;(Inputs!D2-4)&amp;", "&amp;(Inputs!D2-3)&amp;" &amp; "&amp;(Inputs!D2-2)&amp;" Load Profile Information"</f>
        <v>Based on average of year 2022, 2023 &amp; 2024 Load Profile Information</v>
      </c>
      <c r="F9" s="10"/>
    </row>
    <row r="10" spans="1:24">
      <c r="A10" s="452" t="s">
        <v>5</v>
      </c>
      <c r="B10" s="14" t="s">
        <v>6</v>
      </c>
      <c r="C10" s="15"/>
      <c r="D10" s="10"/>
      <c r="E10" s="13" t="s">
        <v>7</v>
      </c>
      <c r="F10" s="10"/>
      <c r="N10" s="14"/>
      <c r="O10" s="14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39">
      <c r="A11" s="455"/>
      <c r="B11" s="17"/>
      <c r="C11" s="18" t="s">
        <v>8</v>
      </c>
      <c r="D11" s="18" t="s">
        <v>8</v>
      </c>
      <c r="E11" s="18" t="s">
        <v>8</v>
      </c>
      <c r="F11" s="18" t="s">
        <v>8</v>
      </c>
      <c r="G11" s="18" t="s">
        <v>8</v>
      </c>
      <c r="H11" s="18" t="s">
        <v>8</v>
      </c>
      <c r="I11" s="19" t="s">
        <v>9</v>
      </c>
      <c r="J11" s="20"/>
      <c r="K11" s="18" t="s">
        <v>8</v>
      </c>
      <c r="L11" s="18" t="s">
        <v>8</v>
      </c>
      <c r="M11" s="21"/>
      <c r="N11" s="13"/>
      <c r="O11" s="21"/>
      <c r="P11" s="21"/>
      <c r="Q11" s="21"/>
      <c r="R11" s="21"/>
      <c r="S11" s="21"/>
      <c r="T11" s="21"/>
      <c r="U11" s="13"/>
      <c r="V11" s="22"/>
      <c r="W11" s="21"/>
      <c r="X11" s="21"/>
    </row>
    <row r="12" spans="1:24">
      <c r="A12" s="455"/>
      <c r="B12" s="23" t="s">
        <v>10</v>
      </c>
      <c r="C12" s="24" t="s">
        <v>11</v>
      </c>
      <c r="D12" s="24" t="s">
        <v>12</v>
      </c>
      <c r="E12" s="24" t="s">
        <v>13</v>
      </c>
      <c r="F12" s="24" t="s">
        <v>14</v>
      </c>
      <c r="G12" s="24" t="s">
        <v>15</v>
      </c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5"/>
      <c r="N12" s="26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>
      <c r="A13" s="455"/>
      <c r="B13" s="4"/>
      <c r="C13" s="24"/>
      <c r="D13" s="24"/>
      <c r="E13" s="24"/>
      <c r="F13" s="24"/>
      <c r="G13" s="24"/>
      <c r="H13" s="24"/>
      <c r="I13" s="24"/>
      <c r="J13" s="24"/>
      <c r="K13" s="24"/>
      <c r="L13" s="24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455"/>
      <c r="B14" s="27" t="s">
        <v>21</v>
      </c>
      <c r="C14" s="28">
        <v>0.4758</v>
      </c>
      <c r="D14" s="28">
        <v>0.46079999999999999</v>
      </c>
      <c r="E14" s="28">
        <v>0.47070000000000001</v>
      </c>
      <c r="F14" s="28">
        <v>0.4758</v>
      </c>
      <c r="G14" s="28">
        <v>0.4758</v>
      </c>
      <c r="H14" s="28">
        <v>0.46360000000000001</v>
      </c>
      <c r="I14" s="28">
        <v>0.30330000000000001</v>
      </c>
      <c r="J14" s="28">
        <v>0.30330000000000001</v>
      </c>
      <c r="K14" s="28">
        <v>0.52059999999999995</v>
      </c>
      <c r="L14" s="28">
        <v>0.50419999999999998</v>
      </c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455"/>
      <c r="B15" s="27" t="s">
        <v>22</v>
      </c>
      <c r="C15" s="28">
        <v>0.49020000000000002</v>
      </c>
      <c r="D15" s="28">
        <v>0.46600000000000003</v>
      </c>
      <c r="E15" s="28">
        <v>0.48070000000000002</v>
      </c>
      <c r="F15" s="28">
        <v>0.49020000000000002</v>
      </c>
      <c r="G15" s="28">
        <v>0.49020000000000002</v>
      </c>
      <c r="H15" s="28">
        <v>0.47010000000000002</v>
      </c>
      <c r="I15" s="28">
        <v>0.2969</v>
      </c>
      <c r="J15" s="28">
        <v>0.2969</v>
      </c>
      <c r="K15" s="28">
        <v>0.53959999999999997</v>
      </c>
      <c r="L15" s="28">
        <v>0.52390000000000003</v>
      </c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455"/>
      <c r="B16" s="27" t="s">
        <v>23</v>
      </c>
      <c r="C16" s="28">
        <v>0.49980000000000002</v>
      </c>
      <c r="D16" s="28">
        <v>0.48899999999999999</v>
      </c>
      <c r="E16" s="28">
        <v>0.47910000000000003</v>
      </c>
      <c r="F16" s="28">
        <v>0.49980000000000002</v>
      </c>
      <c r="G16" s="28">
        <v>0.49980000000000002</v>
      </c>
      <c r="H16" s="28">
        <v>0.49220000000000003</v>
      </c>
      <c r="I16" s="28">
        <v>0.26079999999999998</v>
      </c>
      <c r="J16" s="28">
        <v>0.26079999999999998</v>
      </c>
      <c r="K16" s="28">
        <v>0.55689999999999995</v>
      </c>
      <c r="L16" s="28">
        <v>0.53620000000000001</v>
      </c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455"/>
      <c r="B17" s="27" t="s">
        <v>24</v>
      </c>
      <c r="C17" s="28">
        <v>0.48380000000000001</v>
      </c>
      <c r="D17" s="28">
        <v>0.4788</v>
      </c>
      <c r="E17" s="28">
        <v>0.46350000000000002</v>
      </c>
      <c r="F17" s="28">
        <v>0.48380000000000001</v>
      </c>
      <c r="G17" s="28">
        <v>0.48380000000000001</v>
      </c>
      <c r="H17" s="28">
        <v>0.4985</v>
      </c>
      <c r="I17" s="28">
        <v>0.22159999999999999</v>
      </c>
      <c r="J17" s="28">
        <v>0.22159999999999999</v>
      </c>
      <c r="K17" s="28">
        <v>0.53890000000000005</v>
      </c>
      <c r="L17" s="28">
        <v>0.51880000000000004</v>
      </c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455"/>
      <c r="B18" s="27" t="s">
        <v>25</v>
      </c>
      <c r="C18" s="28">
        <v>0.47510000000000002</v>
      </c>
      <c r="D18" s="28">
        <v>0.48870000000000002</v>
      </c>
      <c r="E18" s="28">
        <v>0.46889999999999998</v>
      </c>
      <c r="F18" s="28">
        <v>0.47510000000000002</v>
      </c>
      <c r="G18" s="28">
        <v>0.47510000000000002</v>
      </c>
      <c r="H18" s="28">
        <v>0.52700000000000002</v>
      </c>
      <c r="I18" s="28">
        <v>0.2109</v>
      </c>
      <c r="J18" s="28">
        <v>0.2109</v>
      </c>
      <c r="K18" s="28">
        <v>0.54469999999999996</v>
      </c>
      <c r="L18" s="28">
        <v>0.52110000000000001</v>
      </c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455"/>
      <c r="B19" s="27" t="s">
        <v>26</v>
      </c>
      <c r="C19" s="28">
        <v>0.5363</v>
      </c>
      <c r="D19" s="28">
        <v>0.54310000000000003</v>
      </c>
      <c r="E19" s="28">
        <v>0.53539999999999999</v>
      </c>
      <c r="F19" s="28">
        <v>0.5363</v>
      </c>
      <c r="G19" s="28">
        <v>0.5363</v>
      </c>
      <c r="H19" s="28">
        <v>0.59330000000000005</v>
      </c>
      <c r="I19" s="28">
        <v>0.20150000000000001</v>
      </c>
      <c r="J19" s="28">
        <v>0.20150000000000001</v>
      </c>
      <c r="K19" s="28">
        <v>0.58150000000000002</v>
      </c>
      <c r="L19" s="28">
        <v>0.54969999999999997</v>
      </c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455"/>
      <c r="B20" s="27" t="s">
        <v>27</v>
      </c>
      <c r="C20" s="28">
        <v>0.49409999999999998</v>
      </c>
      <c r="D20" s="28">
        <v>0.49969999999999998</v>
      </c>
      <c r="E20" s="28">
        <v>0.495</v>
      </c>
      <c r="F20" s="28">
        <v>0.49409999999999998</v>
      </c>
      <c r="G20" s="28">
        <v>0.49409999999999998</v>
      </c>
      <c r="H20" s="28">
        <v>0.54749999999999999</v>
      </c>
      <c r="I20" s="28">
        <v>0.18509999999999999</v>
      </c>
      <c r="J20" s="28">
        <v>0.18509999999999999</v>
      </c>
      <c r="K20" s="28">
        <v>0.52910000000000001</v>
      </c>
      <c r="L20" s="28">
        <v>0.498</v>
      </c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455"/>
      <c r="B21" s="27" t="s">
        <v>28</v>
      </c>
      <c r="C21" s="28">
        <v>0.53680000000000005</v>
      </c>
      <c r="D21" s="28">
        <v>0.54990000000000006</v>
      </c>
      <c r="E21" s="28">
        <v>0.54</v>
      </c>
      <c r="F21" s="28">
        <v>0.53680000000000005</v>
      </c>
      <c r="G21" s="28">
        <v>0.53680000000000005</v>
      </c>
      <c r="H21" s="28">
        <v>0.59760000000000002</v>
      </c>
      <c r="I21" s="28">
        <v>0.2223</v>
      </c>
      <c r="J21" s="28">
        <v>0.2223</v>
      </c>
      <c r="K21" s="28">
        <v>0.58379999999999999</v>
      </c>
      <c r="L21" s="28">
        <v>0.55000000000000004</v>
      </c>
      <c r="M21" s="29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455"/>
      <c r="B22" s="27" t="s">
        <v>29</v>
      </c>
      <c r="C22" s="28">
        <v>0.48309999999999997</v>
      </c>
      <c r="D22" s="28">
        <v>0.49940000000000001</v>
      </c>
      <c r="E22" s="28">
        <v>0.4844</v>
      </c>
      <c r="F22" s="28">
        <v>0.48309999999999997</v>
      </c>
      <c r="G22" s="28">
        <v>0.48309999999999997</v>
      </c>
      <c r="H22" s="28">
        <v>0.54790000000000005</v>
      </c>
      <c r="I22" s="28">
        <v>0.23169999999999999</v>
      </c>
      <c r="J22" s="28">
        <v>0.23169999999999999</v>
      </c>
      <c r="K22" s="28">
        <v>0.54510000000000003</v>
      </c>
      <c r="L22" s="28">
        <v>0.51680000000000004</v>
      </c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455"/>
      <c r="B23" s="27" t="s">
        <v>30</v>
      </c>
      <c r="C23" s="28">
        <v>0.49330000000000002</v>
      </c>
      <c r="D23" s="28">
        <v>0.49390000000000001</v>
      </c>
      <c r="E23" s="28">
        <v>0.48259999999999997</v>
      </c>
      <c r="F23" s="28">
        <v>0.49330000000000002</v>
      </c>
      <c r="G23" s="28">
        <v>0.49330000000000002</v>
      </c>
      <c r="H23" s="28">
        <v>0.52859999999999996</v>
      </c>
      <c r="I23" s="28">
        <v>0.26769999999999999</v>
      </c>
      <c r="J23" s="28">
        <v>0.26769999999999999</v>
      </c>
      <c r="K23" s="28">
        <v>0.5524</v>
      </c>
      <c r="L23" s="28">
        <v>0.52839999999999998</v>
      </c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455"/>
      <c r="B24" s="27" t="s">
        <v>31</v>
      </c>
      <c r="C24" s="28">
        <v>0.48060000000000003</v>
      </c>
      <c r="D24" s="28">
        <v>0.47189999999999999</v>
      </c>
      <c r="E24" s="28">
        <v>0.47349999999999998</v>
      </c>
      <c r="F24" s="28">
        <v>0.48060000000000003</v>
      </c>
      <c r="G24" s="28">
        <v>0.48060000000000003</v>
      </c>
      <c r="H24" s="28">
        <v>0.48599999999999999</v>
      </c>
      <c r="I24" s="28">
        <v>0.30740000000000001</v>
      </c>
      <c r="J24" s="28">
        <v>0.30740000000000001</v>
      </c>
      <c r="K24" s="28">
        <v>0.5363</v>
      </c>
      <c r="L24" s="28">
        <v>0.51639999999999997</v>
      </c>
      <c r="M24" s="29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455"/>
      <c r="B25" s="27" t="s">
        <v>32</v>
      </c>
      <c r="C25" s="28">
        <v>0.45789999999999997</v>
      </c>
      <c r="D25" s="28">
        <v>0.44919999999999999</v>
      </c>
      <c r="E25" s="28">
        <v>0.45529999999999998</v>
      </c>
      <c r="F25" s="28">
        <v>0.45789999999999997</v>
      </c>
      <c r="G25" s="28">
        <v>0.45789999999999997</v>
      </c>
      <c r="H25" s="28">
        <v>0.45279999999999998</v>
      </c>
      <c r="I25" s="28">
        <v>0.3034</v>
      </c>
      <c r="J25" s="28">
        <v>0.3034</v>
      </c>
      <c r="K25" s="28">
        <v>0.51049999999999995</v>
      </c>
      <c r="L25" s="28">
        <v>0.49180000000000001</v>
      </c>
      <c r="M25" s="29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456"/>
      <c r="B26" s="449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455"/>
      <c r="B27" s="33"/>
      <c r="C27" s="32"/>
      <c r="D27" s="32"/>
      <c r="E27" s="13" t="str">
        <f>E9</f>
        <v>Based on average of year 2022, 2023 &amp; 2024 Load Profile Information</v>
      </c>
      <c r="K27" s="32"/>
      <c r="L27" s="32"/>
      <c r="M27" s="3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452" t="s">
        <v>33</v>
      </c>
      <c r="B28" s="14" t="s">
        <v>34</v>
      </c>
      <c r="C28" s="32"/>
      <c r="D28" s="32"/>
      <c r="E28" s="34" t="str">
        <f>"On-Peak periods as defined in specified rate schedule (average of %s for "&amp;(Inputs!D2-4)&amp;", "&amp;(Inputs!D2-3)&amp;" &amp; "&amp;(Inputs!D2-2)&amp;")"</f>
        <v>On-Peak periods as defined in specified rate schedule (average of %s for 2022, 2023 &amp; 2024)</v>
      </c>
      <c r="G28" s="32"/>
      <c r="H28" s="32"/>
      <c r="I28" s="35"/>
      <c r="J28" s="35"/>
      <c r="K28" s="32"/>
      <c r="L28" s="32"/>
      <c r="M28" s="32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26">
      <c r="A29" s="455"/>
      <c r="B29" s="4"/>
      <c r="C29" s="18" t="s">
        <v>8</v>
      </c>
      <c r="D29" s="18" t="s">
        <v>8</v>
      </c>
      <c r="E29" s="21"/>
      <c r="F29" s="13"/>
      <c r="G29" s="21"/>
      <c r="H29" s="21"/>
      <c r="I29" s="21"/>
      <c r="J29" s="21"/>
      <c r="K29" s="21"/>
      <c r="L29" s="21"/>
      <c r="M29" s="21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4">
      <c r="A30" s="455"/>
      <c r="B30" s="23" t="s">
        <v>10</v>
      </c>
      <c r="C30" s="24" t="s">
        <v>13</v>
      </c>
      <c r="D30" s="24" t="s">
        <v>20</v>
      </c>
      <c r="E30" s="7"/>
      <c r="F30" s="26"/>
      <c r="G30" s="7"/>
      <c r="H30" s="7"/>
      <c r="I30" s="7"/>
      <c r="J30" s="7"/>
      <c r="K30" s="7"/>
      <c r="L30" s="7"/>
      <c r="M30" s="7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4">
      <c r="A31" s="455"/>
      <c r="B31" s="4"/>
      <c r="C31" s="4"/>
      <c r="D31" s="4"/>
      <c r="G31" s="10"/>
      <c r="H31" s="10"/>
      <c r="I31" s="10"/>
      <c r="J31" s="10"/>
      <c r="K31" s="10"/>
      <c r="L31" s="10"/>
      <c r="M31" s="1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4">
      <c r="A32" s="455"/>
      <c r="B32" s="27" t="s">
        <v>21</v>
      </c>
      <c r="C32" s="36">
        <v>0.42070000000000002</v>
      </c>
      <c r="D32" s="37">
        <v>0.46029999999999999</v>
      </c>
      <c r="E32" s="29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:32">
      <c r="A33" s="455"/>
      <c r="B33" s="27" t="s">
        <v>22</v>
      </c>
      <c r="C33" s="36">
        <v>0.41270000000000001</v>
      </c>
      <c r="D33" s="37">
        <v>0.46600000000000003</v>
      </c>
      <c r="E33" s="29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32">
      <c r="A34" s="455"/>
      <c r="B34" s="27" t="s">
        <v>23</v>
      </c>
      <c r="C34" s="36">
        <v>0.40820000000000001</v>
      </c>
      <c r="D34" s="37">
        <v>0.46389999999999998</v>
      </c>
      <c r="E34" s="29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32">
      <c r="A35" s="455"/>
      <c r="B35" s="27" t="s">
        <v>24</v>
      </c>
      <c r="C35" s="36">
        <v>0.42249999999999999</v>
      </c>
      <c r="D35" s="37">
        <v>0.46939999999999998</v>
      </c>
      <c r="E35" s="29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32">
      <c r="A36" s="455"/>
      <c r="B36" s="27" t="s">
        <v>25</v>
      </c>
      <c r="C36" s="36">
        <v>0.44969999999999999</v>
      </c>
      <c r="D36" s="37">
        <v>0.48570000000000002</v>
      </c>
      <c r="E36" s="29"/>
      <c r="F36" s="38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32">
      <c r="A37" s="455"/>
      <c r="B37" s="27" t="s">
        <v>26</v>
      </c>
      <c r="C37" s="36">
        <v>0.48110000000000003</v>
      </c>
      <c r="D37" s="37">
        <v>0.4955</v>
      </c>
      <c r="E37" s="29"/>
      <c r="F37" s="38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32">
      <c r="A38" s="455"/>
      <c r="B38" s="27" t="s">
        <v>27</v>
      </c>
      <c r="C38" s="36">
        <v>0.4859</v>
      </c>
      <c r="D38" s="37">
        <v>0.48309999999999997</v>
      </c>
      <c r="E38" s="29"/>
      <c r="F38" s="38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32">
      <c r="A39" s="455"/>
      <c r="B39" s="27" t="s">
        <v>28</v>
      </c>
      <c r="C39" s="36">
        <v>0.4834</v>
      </c>
      <c r="D39" s="37">
        <v>0.48399999999999999</v>
      </c>
      <c r="E39" s="29"/>
      <c r="F39" s="38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32">
      <c r="A40" s="455"/>
      <c r="B40" s="27" t="s">
        <v>29</v>
      </c>
      <c r="C40" s="36">
        <v>0.46679999999999999</v>
      </c>
      <c r="D40" s="37">
        <v>0.48049999999999998</v>
      </c>
      <c r="E40" s="29"/>
      <c r="F40" s="38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32">
      <c r="A41" s="455"/>
      <c r="B41" s="27" t="s">
        <v>30</v>
      </c>
      <c r="C41" s="36">
        <v>0.442</v>
      </c>
      <c r="D41" s="37">
        <v>0.48370000000000002</v>
      </c>
      <c r="E41" s="29"/>
      <c r="F41" s="38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32">
      <c r="A42" s="455"/>
      <c r="B42" s="27" t="s">
        <v>31</v>
      </c>
      <c r="C42" s="36">
        <v>0.42299999999999999</v>
      </c>
      <c r="D42" s="37">
        <v>0.48930000000000001</v>
      </c>
      <c r="E42" s="29"/>
      <c r="F42" s="38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32">
      <c r="A43" s="455"/>
      <c r="B43" s="27" t="s">
        <v>32</v>
      </c>
      <c r="C43" s="36">
        <v>0.41289999999999999</v>
      </c>
      <c r="D43" s="37">
        <v>0.4662</v>
      </c>
      <c r="E43" s="29"/>
      <c r="F43" s="38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32">
      <c r="A44" s="456"/>
      <c r="B44" s="39"/>
      <c r="C44" s="32"/>
      <c r="D44" s="32"/>
      <c r="E44" s="32"/>
      <c r="F44" s="32"/>
      <c r="G44" s="32"/>
      <c r="H44" s="32"/>
      <c r="I44" s="35"/>
      <c r="J44" s="35"/>
      <c r="K44" s="32"/>
      <c r="L44" s="32"/>
      <c r="M44" s="32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32">
      <c r="A45" s="455"/>
      <c r="B45" s="33"/>
      <c r="C45" s="32"/>
      <c r="D45" s="32"/>
      <c r="E45" s="32"/>
      <c r="F45" s="32"/>
      <c r="G45" s="32"/>
      <c r="H45" s="32"/>
      <c r="I45" s="35"/>
      <c r="J45" s="35"/>
      <c r="K45" s="32"/>
      <c r="L45" s="32"/>
      <c r="M45" s="32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32">
      <c r="A46" s="452" t="s">
        <v>35</v>
      </c>
      <c r="B46" s="40" t="s">
        <v>36</v>
      </c>
      <c r="C46" s="7"/>
      <c r="D46" s="7"/>
      <c r="E46" s="7"/>
      <c r="F46" s="7"/>
      <c r="G46" s="7"/>
      <c r="H46" s="7"/>
      <c r="I46" s="7"/>
      <c r="J46" s="7"/>
      <c r="K46" s="7"/>
      <c r="L46" s="7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32">
      <c r="A47" s="455"/>
      <c r="B47" s="450" t="str">
        <f>"Calendar month sales forecasted for "&amp;(Inputs!D2-1)&amp;", less % for LPL-Sec &gt; 500 kW Peak Load Share"</f>
        <v>Calendar month sales forecasted for 2025, less % for LPL-Sec &gt; 500 kW Peak Load Share</v>
      </c>
      <c r="G47" s="41"/>
      <c r="L47" s="7"/>
      <c r="N47" s="30"/>
      <c r="O47" s="30"/>
      <c r="P47" s="30"/>
      <c r="Q47" s="30"/>
      <c r="R47" s="30"/>
      <c r="S47" s="30"/>
      <c r="T47" s="30"/>
      <c r="U47" s="30"/>
      <c r="V47" s="30"/>
      <c r="W47" s="30"/>
      <c r="AB47" s="42"/>
    </row>
    <row r="48" spans="1:32">
      <c r="A48" s="455"/>
      <c r="B48" s="19" t="s">
        <v>37</v>
      </c>
      <c r="C48" s="24" t="s">
        <v>11</v>
      </c>
      <c r="D48" s="24" t="s">
        <v>12</v>
      </c>
      <c r="E48" s="24" t="s">
        <v>13</v>
      </c>
      <c r="F48" s="24" t="s">
        <v>14</v>
      </c>
      <c r="G48" s="24" t="s">
        <v>15</v>
      </c>
      <c r="H48" s="24" t="s">
        <v>16</v>
      </c>
      <c r="I48" s="24" t="s">
        <v>17</v>
      </c>
      <c r="J48" s="24" t="s">
        <v>18</v>
      </c>
      <c r="K48" s="24" t="s">
        <v>19</v>
      </c>
      <c r="L48" s="24" t="s">
        <v>20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7"/>
      <c r="Y48" s="7"/>
      <c r="Z48" s="7"/>
      <c r="AB48" s="42"/>
      <c r="AF48" s="42"/>
    </row>
    <row r="49" spans="1:32">
      <c r="A49" s="455"/>
      <c r="B49" s="4"/>
      <c r="C49" s="24"/>
      <c r="D49" s="24"/>
      <c r="E49" s="24"/>
      <c r="F49" s="24"/>
      <c r="G49" s="24"/>
      <c r="H49" s="24"/>
      <c r="I49" s="24"/>
      <c r="J49" s="24"/>
      <c r="K49" s="24"/>
      <c r="L49" s="24"/>
      <c r="N49" s="30"/>
      <c r="O49" s="30"/>
      <c r="P49" s="30"/>
      <c r="Q49" s="30"/>
      <c r="R49" s="30"/>
      <c r="S49" s="30"/>
      <c r="T49" s="30"/>
      <c r="U49" s="30"/>
      <c r="V49" s="30"/>
      <c r="W49" s="30"/>
      <c r="Y49" s="43"/>
      <c r="AB49" s="42"/>
      <c r="AF49" s="42"/>
    </row>
    <row r="50" spans="1:32">
      <c r="A50" s="455"/>
      <c r="B50" s="27" t="s">
        <v>21</v>
      </c>
      <c r="C50" s="44">
        <v>1241003.8436743093</v>
      </c>
      <c r="D50" s="44">
        <v>12154.925390531822</v>
      </c>
      <c r="E50" s="44">
        <v>14456.854408861696</v>
      </c>
      <c r="F50" s="44">
        <v>24</v>
      </c>
      <c r="G50" s="44">
        <v>1</v>
      </c>
      <c r="H50" s="44">
        <v>1456.4688734030196</v>
      </c>
      <c r="I50" s="44">
        <v>16007</v>
      </c>
      <c r="J50" s="44">
        <v>33689</v>
      </c>
      <c r="K50" s="44">
        <v>533140.57393587544</v>
      </c>
      <c r="L50" s="44">
        <v>627920.18666021258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43"/>
      <c r="Y50" s="43"/>
      <c r="Z50" s="45"/>
      <c r="AB50" s="46"/>
      <c r="AF50" s="47"/>
    </row>
    <row r="51" spans="1:32">
      <c r="A51" s="455"/>
      <c r="B51" s="27" t="s">
        <v>22</v>
      </c>
      <c r="C51" s="44">
        <v>1000259.3917750381</v>
      </c>
      <c r="D51" s="44">
        <v>9229.0465827203188</v>
      </c>
      <c r="E51" s="44">
        <v>11890.728484059684</v>
      </c>
      <c r="F51" s="44">
        <v>19</v>
      </c>
      <c r="G51" s="44">
        <v>1</v>
      </c>
      <c r="H51" s="44">
        <v>1322.0528025121521</v>
      </c>
      <c r="I51" s="44">
        <v>11363</v>
      </c>
      <c r="J51" s="44">
        <v>27773</v>
      </c>
      <c r="K51" s="44">
        <v>486962.45517886471</v>
      </c>
      <c r="L51" s="44">
        <v>560742.66886287602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43"/>
      <c r="Y51" s="43"/>
      <c r="Z51" s="45"/>
      <c r="AB51" s="46"/>
      <c r="AD51" s="48"/>
    </row>
    <row r="52" spans="1:32">
      <c r="A52" s="455"/>
      <c r="B52" s="27" t="s">
        <v>23</v>
      </c>
      <c r="C52" s="44">
        <v>979307.01201027271</v>
      </c>
      <c r="D52" s="44">
        <v>7612.5497272216617</v>
      </c>
      <c r="E52" s="44">
        <v>11527.495856016361</v>
      </c>
      <c r="F52" s="44">
        <v>21</v>
      </c>
      <c r="G52" s="44">
        <v>1</v>
      </c>
      <c r="H52" s="44">
        <v>1084.1717296855509</v>
      </c>
      <c r="I52" s="44">
        <v>12009</v>
      </c>
      <c r="J52" s="44">
        <v>31037</v>
      </c>
      <c r="K52" s="44">
        <v>521645.52362982713</v>
      </c>
      <c r="L52" s="44">
        <v>613695.59113895544</v>
      </c>
      <c r="M52" s="49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43"/>
      <c r="Y52" s="43"/>
      <c r="Z52" s="50"/>
      <c r="AB52" s="46"/>
    </row>
    <row r="53" spans="1:32">
      <c r="A53" s="455"/>
      <c r="B53" s="27" t="s">
        <v>24</v>
      </c>
      <c r="C53" s="44">
        <v>819857.47976373206</v>
      </c>
      <c r="D53" s="44">
        <v>4050.0168502662377</v>
      </c>
      <c r="E53" s="44">
        <v>10057.921261156454</v>
      </c>
      <c r="F53" s="44">
        <v>21</v>
      </c>
      <c r="G53" s="44">
        <v>1</v>
      </c>
      <c r="H53" s="44">
        <v>612.83116531165308</v>
      </c>
      <c r="I53" s="44">
        <v>10071</v>
      </c>
      <c r="J53" s="44">
        <v>23847</v>
      </c>
      <c r="K53" s="44">
        <v>454663.19345650577</v>
      </c>
      <c r="L53" s="44">
        <v>530142.68240591499</v>
      </c>
      <c r="M53" s="49"/>
      <c r="N53" s="30"/>
      <c r="O53" s="30"/>
      <c r="P53" s="30"/>
      <c r="Q53" s="30"/>
      <c r="R53" s="30"/>
      <c r="S53" s="30"/>
      <c r="T53" s="30"/>
      <c r="U53" s="30"/>
      <c r="V53" s="30"/>
      <c r="W53" s="30"/>
      <c r="Y53" s="43"/>
      <c r="AB53" s="46"/>
    </row>
    <row r="54" spans="1:32">
      <c r="A54" s="455"/>
      <c r="B54" s="27" t="s">
        <v>25</v>
      </c>
      <c r="C54" s="44">
        <v>893270.24831323198</v>
      </c>
      <c r="D54" s="44">
        <v>2871.2806028006908</v>
      </c>
      <c r="E54" s="44">
        <v>11876.042528747959</v>
      </c>
      <c r="F54" s="44">
        <v>18</v>
      </c>
      <c r="G54" s="44">
        <v>1</v>
      </c>
      <c r="H54" s="44">
        <v>441.27381167462465</v>
      </c>
      <c r="I54" s="44">
        <v>8784</v>
      </c>
      <c r="J54" s="44">
        <v>22335</v>
      </c>
      <c r="K54" s="44">
        <v>456088.19969279272</v>
      </c>
      <c r="L54" s="44">
        <v>582072.18883171945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43"/>
      <c r="Y54" s="43"/>
      <c r="Z54" s="50"/>
      <c r="AB54" s="46"/>
    </row>
    <row r="55" spans="1:32">
      <c r="A55" s="455"/>
      <c r="B55" s="27" t="s">
        <v>26</v>
      </c>
      <c r="C55" s="44">
        <v>1288316.364953649</v>
      </c>
      <c r="D55" s="44">
        <v>3622.0059216993436</v>
      </c>
      <c r="E55" s="44">
        <v>17758.257162937385</v>
      </c>
      <c r="F55" s="44">
        <v>18</v>
      </c>
      <c r="G55" s="44">
        <v>1</v>
      </c>
      <c r="H55" s="44">
        <v>517.32500967866815</v>
      </c>
      <c r="I55" s="44">
        <v>8414</v>
      </c>
      <c r="J55" s="44">
        <v>19512</v>
      </c>
      <c r="K55" s="44">
        <v>522199.69272171654</v>
      </c>
      <c r="L55" s="44">
        <v>617818.74779222463</v>
      </c>
      <c r="M55" s="49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43"/>
      <c r="Y55" s="43"/>
      <c r="Z55" s="45"/>
      <c r="AB55" s="46"/>
    </row>
    <row r="56" spans="1:32">
      <c r="A56" s="455"/>
      <c r="B56" s="27" t="s">
        <v>27</v>
      </c>
      <c r="C56" s="44">
        <v>1648474.866663716</v>
      </c>
      <c r="D56" s="44">
        <v>4772.4680987128631</v>
      </c>
      <c r="E56" s="44">
        <v>21283.865501438737</v>
      </c>
      <c r="F56" s="44">
        <v>15</v>
      </c>
      <c r="G56" s="44">
        <v>0</v>
      </c>
      <c r="H56" s="44">
        <v>475.76214565320254</v>
      </c>
      <c r="I56" s="44">
        <v>8404</v>
      </c>
      <c r="J56" s="44">
        <v>18630</v>
      </c>
      <c r="K56" s="44">
        <v>581742.08292805322</v>
      </c>
      <c r="L56" s="44">
        <v>679340.19715479214</v>
      </c>
      <c r="M56" s="49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43"/>
      <c r="Y56" s="43"/>
      <c r="Z56" s="50"/>
      <c r="AB56" s="46"/>
    </row>
    <row r="57" spans="1:32">
      <c r="A57" s="455"/>
      <c r="B57" s="27" t="s">
        <v>28</v>
      </c>
      <c r="C57" s="44">
        <v>1569321.8678781567</v>
      </c>
      <c r="D57" s="44">
        <v>4410.7549905162396</v>
      </c>
      <c r="E57" s="44">
        <v>19454.974533285302</v>
      </c>
      <c r="F57" s="44">
        <v>14</v>
      </c>
      <c r="G57" s="44">
        <v>0</v>
      </c>
      <c r="H57" s="44">
        <v>565.07808749516062</v>
      </c>
      <c r="I57" s="44">
        <v>9656</v>
      </c>
      <c r="J57" s="44">
        <v>19365</v>
      </c>
      <c r="K57" s="44">
        <v>590332.58348581777</v>
      </c>
      <c r="L57" s="44">
        <v>705895.18407673261</v>
      </c>
      <c r="M57" s="49"/>
      <c r="N57" s="30"/>
      <c r="O57" s="30"/>
      <c r="P57" s="30"/>
      <c r="Q57" s="30"/>
      <c r="R57" s="30"/>
      <c r="S57" s="30"/>
      <c r="T57" s="30"/>
      <c r="U57" s="30"/>
      <c r="V57" s="30"/>
      <c r="W57" s="30"/>
      <c r="AB57" s="46"/>
    </row>
    <row r="58" spans="1:32">
      <c r="A58" s="455"/>
      <c r="B58" s="27" t="s">
        <v>29</v>
      </c>
      <c r="C58" s="44">
        <v>1083729.5772168648</v>
      </c>
      <c r="D58" s="44">
        <v>3076.9988395378541</v>
      </c>
      <c r="E58" s="44">
        <v>14671.269356412875</v>
      </c>
      <c r="F58" s="44">
        <v>19</v>
      </c>
      <c r="G58" s="44">
        <v>0</v>
      </c>
      <c r="H58" s="44">
        <v>585.41736137996304</v>
      </c>
      <c r="I58" s="44">
        <v>10707</v>
      </c>
      <c r="J58" s="44">
        <v>22518</v>
      </c>
      <c r="K58" s="44">
        <v>512360.11262350285</v>
      </c>
      <c r="L58" s="44">
        <v>601807.59852081165</v>
      </c>
      <c r="M58" s="49"/>
      <c r="N58" s="30"/>
      <c r="O58" s="30"/>
      <c r="P58" s="30"/>
      <c r="Q58" s="30"/>
      <c r="R58" s="30"/>
      <c r="S58" s="30"/>
      <c r="T58" s="30"/>
      <c r="U58" s="30"/>
      <c r="V58" s="30"/>
      <c r="W58" s="30"/>
      <c r="AB58" s="46"/>
    </row>
    <row r="59" spans="1:32">
      <c r="A59" s="455"/>
      <c r="B59" s="27" t="s">
        <v>30</v>
      </c>
      <c r="C59" s="44">
        <v>858721.96700011683</v>
      </c>
      <c r="D59" s="44">
        <v>4338.6073624662395</v>
      </c>
      <c r="E59" s="44">
        <v>10135.26729246487</v>
      </c>
      <c r="F59" s="44">
        <v>19</v>
      </c>
      <c r="G59" s="44">
        <v>0</v>
      </c>
      <c r="H59" s="44">
        <v>446.57970920979051</v>
      </c>
      <c r="I59" s="44">
        <v>12013</v>
      </c>
      <c r="J59" s="44">
        <v>24926</v>
      </c>
      <c r="K59" s="44">
        <v>471350.72019020963</v>
      </c>
      <c r="L59" s="44">
        <v>594201.28878634726</v>
      </c>
      <c r="M59" s="49"/>
      <c r="N59" s="30"/>
      <c r="O59" s="30"/>
      <c r="P59" s="30"/>
      <c r="Q59" s="30"/>
      <c r="R59" s="30"/>
      <c r="S59" s="30"/>
      <c r="T59" s="30"/>
      <c r="U59" s="30"/>
      <c r="V59" s="30"/>
      <c r="W59" s="30"/>
      <c r="AB59" s="46"/>
    </row>
    <row r="60" spans="1:32">
      <c r="A60" s="455"/>
      <c r="B60" s="27" t="s">
        <v>31</v>
      </c>
      <c r="C60" s="44">
        <v>876219.22441367141</v>
      </c>
      <c r="D60" s="44">
        <v>6786.7518764331444</v>
      </c>
      <c r="E60" s="44">
        <v>9773.0137281089974</v>
      </c>
      <c r="F60" s="44">
        <v>23</v>
      </c>
      <c r="G60" s="44">
        <v>1</v>
      </c>
      <c r="H60" s="44">
        <v>626.09590914956766</v>
      </c>
      <c r="I60" s="44">
        <v>12924</v>
      </c>
      <c r="J60" s="44">
        <v>25965</v>
      </c>
      <c r="K60" s="44">
        <v>444445.37096224062</v>
      </c>
      <c r="L60" s="44">
        <v>551871.83594165253</v>
      </c>
      <c r="M60" s="49"/>
      <c r="N60" s="30"/>
      <c r="O60" s="30"/>
      <c r="P60" s="30"/>
      <c r="Q60" s="30"/>
      <c r="R60" s="30"/>
      <c r="S60" s="30"/>
      <c r="T60" s="30"/>
      <c r="U60" s="30"/>
      <c r="V60" s="30"/>
      <c r="W60" s="30"/>
      <c r="AB60" s="46"/>
    </row>
    <row r="61" spans="1:32">
      <c r="A61" s="455"/>
      <c r="B61" s="27" t="s">
        <v>32</v>
      </c>
      <c r="C61" s="44">
        <v>1135420.090598335</v>
      </c>
      <c r="D61" s="44">
        <v>9615.1338895824829</v>
      </c>
      <c r="E61" s="44">
        <v>12537.889581463014</v>
      </c>
      <c r="F61" s="44">
        <v>22</v>
      </c>
      <c r="G61" s="44">
        <v>1</v>
      </c>
      <c r="H61" s="44">
        <v>1105.3953198262141</v>
      </c>
      <c r="I61" s="44">
        <v>14368</v>
      </c>
      <c r="J61" s="44">
        <v>31117</v>
      </c>
      <c r="K61" s="44">
        <v>525287.20623367163</v>
      </c>
      <c r="L61" s="44">
        <v>604969.27515336149</v>
      </c>
      <c r="M61" s="49"/>
      <c r="N61" s="30"/>
      <c r="O61" s="30"/>
      <c r="P61" s="30"/>
      <c r="Q61" s="30"/>
      <c r="R61" s="30"/>
      <c r="S61" s="30"/>
      <c r="T61" s="30"/>
      <c r="U61" s="30"/>
      <c r="V61" s="30"/>
      <c r="W61" s="30"/>
      <c r="AB61" s="46"/>
    </row>
    <row r="62" spans="1:32">
      <c r="A62" s="456"/>
      <c r="B62" s="39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30"/>
      <c r="O62" s="30"/>
      <c r="P62" s="30"/>
      <c r="Q62" s="30"/>
      <c r="R62" s="30"/>
      <c r="S62" s="30"/>
      <c r="T62" s="30"/>
      <c r="U62" s="30"/>
      <c r="V62" s="30"/>
      <c r="W62" s="30"/>
      <c r="AB62" s="43"/>
    </row>
    <row r="63" spans="1:32" s="56" customFormat="1" ht="11.75">
      <c r="A63" s="456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5"/>
      <c r="O63" s="55"/>
      <c r="P63" s="55"/>
      <c r="Q63" s="55"/>
      <c r="R63" s="55"/>
      <c r="S63" s="55"/>
      <c r="T63" s="55"/>
      <c r="U63" s="55"/>
      <c r="V63" s="55"/>
      <c r="W63" s="55"/>
      <c r="AB63" s="57"/>
    </row>
    <row r="64" spans="1:32">
      <c r="A64" s="455"/>
      <c r="B64" s="12" t="s">
        <v>38</v>
      </c>
      <c r="C64" s="58" t="s">
        <v>39</v>
      </c>
      <c r="D64" s="58" t="s">
        <v>39</v>
      </c>
      <c r="L64" s="43"/>
      <c r="M64" s="59"/>
      <c r="N64" s="30"/>
      <c r="O64" s="30"/>
      <c r="P64" s="30"/>
      <c r="Q64" s="30"/>
      <c r="R64" s="30"/>
      <c r="S64" s="30"/>
      <c r="T64" s="30"/>
      <c r="U64" s="30"/>
      <c r="V64" s="30"/>
      <c r="W64" s="30"/>
      <c r="Y64" s="7"/>
      <c r="Z64" s="7"/>
      <c r="AB64" s="60"/>
    </row>
    <row r="65" spans="1:26">
      <c r="A65" s="455"/>
      <c r="B65" s="61"/>
      <c r="C65" s="62" t="s">
        <v>40</v>
      </c>
      <c r="D65" s="62" t="s">
        <v>41</v>
      </c>
      <c r="E65" s="63"/>
      <c r="F65" s="63"/>
      <c r="G65" s="63"/>
      <c r="H65" s="63"/>
      <c r="I65" s="63"/>
      <c r="J65" s="63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1:26">
      <c r="A66" s="455"/>
      <c r="C66" s="64">
        <v>0.29615722549061424</v>
      </c>
      <c r="D66" s="64">
        <v>0.28303013209232364</v>
      </c>
      <c r="E66" s="63"/>
      <c r="F66" s="63"/>
      <c r="G66" s="63"/>
      <c r="H66" s="63"/>
      <c r="I66" s="63"/>
      <c r="J66" s="63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6">
      <c r="A67" s="456"/>
      <c r="B67" s="39"/>
      <c r="C67" s="63"/>
      <c r="D67" s="63"/>
      <c r="E67" s="63"/>
      <c r="F67" s="63"/>
      <c r="G67" s="63"/>
      <c r="H67" s="63"/>
      <c r="I67" s="63"/>
      <c r="J67" s="63"/>
      <c r="K67" s="63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1:26">
      <c r="A68" s="455"/>
      <c r="C68" s="63"/>
      <c r="D68" s="63"/>
      <c r="E68" s="63"/>
      <c r="F68" s="63"/>
      <c r="G68" s="63"/>
      <c r="H68" s="63"/>
      <c r="I68" s="63"/>
      <c r="J68" s="63"/>
      <c r="K68" s="63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6">
      <c r="A69" s="455"/>
      <c r="B69" s="12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6">
      <c r="A70" s="452" t="s">
        <v>42</v>
      </c>
      <c r="B70" s="12" t="s">
        <v>43</v>
      </c>
      <c r="E70" s="65" t="s">
        <v>44</v>
      </c>
      <c r="F70" s="12" t="s">
        <v>45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6">
      <c r="A71" s="455"/>
      <c r="B71" s="13" t="s">
        <v>46</v>
      </c>
      <c r="C71" s="66"/>
      <c r="E71" s="67"/>
      <c r="F71" s="7" t="s">
        <v>47</v>
      </c>
      <c r="G71" s="68"/>
      <c r="H71" s="13"/>
      <c r="I71" s="13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69"/>
      <c r="Y71" s="43"/>
      <c r="Z71" s="45"/>
    </row>
    <row r="72" spans="1:26">
      <c r="A72" s="455"/>
      <c r="B72" s="68"/>
      <c r="C72" s="7" t="s">
        <v>48</v>
      </c>
      <c r="F72" s="7" t="s">
        <v>49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43"/>
      <c r="Y72" s="43"/>
      <c r="Z72" s="50"/>
    </row>
    <row r="73" spans="1:26" ht="13.25">
      <c r="A73" s="455"/>
      <c r="B73" s="27" t="s">
        <v>21</v>
      </c>
      <c r="C73" s="70">
        <v>90</v>
      </c>
      <c r="E73" s="71" t="s">
        <v>50</v>
      </c>
      <c r="F73" s="72">
        <v>0.59347901294292971</v>
      </c>
      <c r="I73" s="73"/>
      <c r="K73" s="13"/>
      <c r="N73" s="30"/>
      <c r="O73" s="30"/>
      <c r="P73" s="30"/>
      <c r="Q73" s="30"/>
      <c r="R73" s="30"/>
      <c r="S73" s="30"/>
      <c r="T73" s="30"/>
      <c r="U73" s="30"/>
      <c r="V73" s="30"/>
      <c r="W73" s="30"/>
      <c r="Y73" s="43"/>
    </row>
    <row r="74" spans="1:26" ht="13.25">
      <c r="A74" s="455"/>
      <c r="B74" s="27" t="s">
        <v>22</v>
      </c>
      <c r="C74" s="70">
        <v>77.25</v>
      </c>
      <c r="D74" s="74"/>
      <c r="E74" s="71" t="s">
        <v>51</v>
      </c>
      <c r="F74" s="72">
        <v>0.80409862816764077</v>
      </c>
      <c r="I74" s="73"/>
      <c r="K74" s="13"/>
      <c r="N74" s="30"/>
      <c r="O74" s="30"/>
      <c r="P74" s="30"/>
      <c r="Q74" s="30"/>
      <c r="R74" s="30"/>
      <c r="S74" s="30"/>
      <c r="T74" s="30"/>
      <c r="U74" s="30"/>
      <c r="V74" s="30"/>
      <c r="W74" s="30"/>
      <c r="Y74" s="43"/>
    </row>
    <row r="75" spans="1:26">
      <c r="A75" s="455"/>
      <c r="B75" s="27" t="s">
        <v>23</v>
      </c>
      <c r="C75" s="70">
        <v>51.35</v>
      </c>
      <c r="D75" s="74"/>
      <c r="E75" s="75"/>
      <c r="H75" s="76"/>
      <c r="I75" s="77"/>
      <c r="J75" s="13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69"/>
      <c r="Y75" s="43"/>
      <c r="Z75" s="45"/>
    </row>
    <row r="76" spans="1:26">
      <c r="A76" s="455"/>
      <c r="B76" s="27" t="s">
        <v>24</v>
      </c>
      <c r="C76" s="70">
        <v>49.85</v>
      </c>
      <c r="D76" s="74"/>
      <c r="E76" s="75"/>
      <c r="H76" s="76"/>
      <c r="I76" s="77"/>
      <c r="J76" s="13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43"/>
      <c r="Y76" s="43"/>
      <c r="Z76" s="50"/>
    </row>
    <row r="77" spans="1:26">
      <c r="A77" s="455"/>
      <c r="B77" s="27" t="s">
        <v>25</v>
      </c>
      <c r="C77" s="70">
        <v>50.55</v>
      </c>
      <c r="D77" s="74"/>
      <c r="E77" s="75"/>
      <c r="H77" s="76"/>
      <c r="I77" s="77"/>
      <c r="N77" s="30"/>
      <c r="O77" s="30"/>
      <c r="P77" s="30"/>
      <c r="Q77" s="30"/>
      <c r="R77" s="30"/>
      <c r="S77" s="30"/>
      <c r="T77" s="30"/>
      <c r="U77" s="30"/>
      <c r="V77" s="30"/>
      <c r="W77" s="30"/>
      <c r="Y77" s="43"/>
    </row>
    <row r="78" spans="1:26">
      <c r="A78" s="455"/>
      <c r="B78" s="27" t="s">
        <v>26</v>
      </c>
      <c r="C78" s="70">
        <v>56.7</v>
      </c>
      <c r="E78" s="67"/>
      <c r="F78" s="504" t="s">
        <v>52</v>
      </c>
      <c r="G78" s="505"/>
      <c r="I78" s="73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43"/>
      <c r="Y78" s="43"/>
      <c r="Z78" s="45"/>
    </row>
    <row r="79" spans="1:26">
      <c r="A79" s="455"/>
      <c r="B79" s="27" t="s">
        <v>27</v>
      </c>
      <c r="C79" s="70">
        <v>86.8</v>
      </c>
      <c r="D79" s="78"/>
      <c r="E79" s="24"/>
      <c r="F79" s="24" t="s">
        <v>48</v>
      </c>
      <c r="G79" s="24" t="s">
        <v>53</v>
      </c>
      <c r="H79" s="79"/>
      <c r="I79" s="73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43"/>
      <c r="Y79" s="43"/>
      <c r="Z79" s="50"/>
    </row>
    <row r="80" spans="1:26" ht="13.25">
      <c r="A80" s="455"/>
      <c r="B80" s="27" t="s">
        <v>28</v>
      </c>
      <c r="C80" s="70">
        <v>75.349999999999994</v>
      </c>
      <c r="D80" s="78"/>
      <c r="E80" s="71" t="s">
        <v>50</v>
      </c>
      <c r="F80" s="80">
        <v>0.79052284206421664</v>
      </c>
      <c r="G80" s="80">
        <v>0.87147923693666829</v>
      </c>
      <c r="H80" s="79"/>
      <c r="I80" s="73"/>
      <c r="N80" s="30"/>
      <c r="O80" s="30"/>
      <c r="P80" s="30"/>
      <c r="Q80" s="30"/>
      <c r="R80" s="30"/>
      <c r="S80" s="30"/>
      <c r="T80" s="30"/>
      <c r="U80" s="30"/>
      <c r="V80" s="30"/>
      <c r="W80" s="30"/>
    </row>
    <row r="81" spans="1:23" ht="13.25">
      <c r="A81" s="455"/>
      <c r="B81" s="27" t="s">
        <v>29</v>
      </c>
      <c r="C81" s="70">
        <v>58.5</v>
      </c>
      <c r="D81" s="78"/>
      <c r="E81" s="71" t="s">
        <v>51</v>
      </c>
      <c r="F81" s="80">
        <v>0.82769080959809849</v>
      </c>
      <c r="G81" s="80">
        <v>0.88353490202947005</v>
      </c>
      <c r="H81" s="79"/>
      <c r="I81" s="73"/>
      <c r="N81" s="30"/>
      <c r="O81" s="30"/>
      <c r="P81" s="30"/>
      <c r="Q81" s="30"/>
      <c r="R81" s="30"/>
      <c r="S81" s="30"/>
      <c r="T81" s="30"/>
      <c r="U81" s="30"/>
      <c r="V81" s="30"/>
      <c r="W81" s="30"/>
    </row>
    <row r="82" spans="1:23">
      <c r="A82" s="455"/>
      <c r="B82" s="27" t="s">
        <v>30</v>
      </c>
      <c r="C82" s="70">
        <v>56.25</v>
      </c>
      <c r="D82" s="78"/>
      <c r="E82" s="75"/>
      <c r="F82" s="68"/>
      <c r="H82" s="76"/>
      <c r="I82" s="77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3">
      <c r="A83" s="455"/>
      <c r="B83" s="27" t="s">
        <v>31</v>
      </c>
      <c r="C83" s="70">
        <v>55.4</v>
      </c>
      <c r="D83" s="74"/>
      <c r="E83" s="75"/>
      <c r="H83" s="76"/>
      <c r="I83" s="77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1:23">
      <c r="A84" s="455"/>
      <c r="B84" s="27" t="s">
        <v>32</v>
      </c>
      <c r="C84" s="70">
        <v>64.7</v>
      </c>
      <c r="D84" s="74"/>
      <c r="E84" s="75"/>
      <c r="H84" s="76"/>
      <c r="I84" s="77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3">
      <c r="A85" s="455"/>
      <c r="B85" s="33"/>
      <c r="C85" s="81"/>
      <c r="D85" s="81"/>
      <c r="G85" s="35"/>
      <c r="K85" s="35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1:23">
      <c r="A86" s="455"/>
      <c r="B86" s="82"/>
      <c r="C86" s="82"/>
      <c r="D86" s="81"/>
      <c r="G86" s="35"/>
      <c r="K86" s="35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1:23">
      <c r="A87" s="455"/>
      <c r="E87" s="83"/>
      <c r="F87" s="83"/>
      <c r="G87" s="83"/>
      <c r="H87" s="83"/>
      <c r="I87" s="83"/>
      <c r="J87" s="83"/>
      <c r="K87" s="83"/>
      <c r="L87" s="83"/>
      <c r="M87" s="83"/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1:23">
      <c r="A88" s="452" t="s">
        <v>54</v>
      </c>
      <c r="B88" s="4" t="s">
        <v>55</v>
      </c>
      <c r="C88" s="4" t="s">
        <v>56</v>
      </c>
      <c r="D88" s="4" t="s">
        <v>57</v>
      </c>
      <c r="E88" s="83"/>
      <c r="F88" s="83"/>
      <c r="G88" s="83"/>
      <c r="H88" s="83"/>
      <c r="I88" s="83"/>
      <c r="J88" s="83"/>
      <c r="K88" s="83"/>
      <c r="L88" s="83"/>
      <c r="M88" s="83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1:23">
      <c r="A89" s="455"/>
      <c r="B89" s="4" t="s">
        <v>58</v>
      </c>
      <c r="C89" s="84">
        <v>5.8326999999999997E-2</v>
      </c>
      <c r="D89" s="465" t="s">
        <v>430</v>
      </c>
      <c r="E89" s="85"/>
      <c r="F89" s="85"/>
      <c r="G89" s="85"/>
      <c r="H89" s="85"/>
      <c r="I89" s="85"/>
      <c r="J89" s="85"/>
      <c r="K89" s="85"/>
      <c r="L89" s="85"/>
      <c r="M89" s="83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1:23">
      <c r="A90" s="455"/>
      <c r="B90" s="4" t="s">
        <v>59</v>
      </c>
      <c r="C90" s="84">
        <v>4.5599999999999998E-3</v>
      </c>
      <c r="D90" s="465" t="s">
        <v>60</v>
      </c>
      <c r="E90" s="86"/>
      <c r="F90" s="86"/>
      <c r="G90" s="86"/>
      <c r="H90" s="86"/>
      <c r="I90" s="86"/>
      <c r="J90" s="86"/>
      <c r="K90" s="86"/>
      <c r="L90" s="86"/>
      <c r="M90" s="83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1:23">
      <c r="A91" s="455"/>
      <c r="B91" s="4" t="s">
        <v>61</v>
      </c>
      <c r="C91" s="87">
        <v>1.3768262128193421E-2</v>
      </c>
      <c r="D91" s="466" t="s">
        <v>431</v>
      </c>
      <c r="E91" s="86"/>
      <c r="F91" s="86"/>
      <c r="G91" s="86"/>
      <c r="H91" s="86"/>
      <c r="I91" s="86"/>
      <c r="J91" s="86"/>
      <c r="K91" s="86"/>
      <c r="L91" s="86"/>
      <c r="M91" s="83"/>
      <c r="N91" s="30"/>
      <c r="O91" s="30"/>
      <c r="P91" s="30"/>
      <c r="Q91" s="30"/>
      <c r="R91" s="30"/>
      <c r="S91" s="30"/>
      <c r="T91" s="30"/>
      <c r="U91" s="30"/>
      <c r="V91" s="30"/>
      <c r="W91" s="30"/>
    </row>
    <row r="92" spans="1:23">
      <c r="A92" s="455"/>
      <c r="C92" s="88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3">
      <c r="A93" s="455"/>
      <c r="N93" s="30"/>
      <c r="O93" s="30"/>
      <c r="P93" s="30"/>
      <c r="Q93" s="30"/>
      <c r="R93" s="30"/>
      <c r="S93" s="30"/>
      <c r="T93" s="30"/>
      <c r="U93" s="30"/>
      <c r="V93" s="30"/>
      <c r="W93" s="30"/>
    </row>
    <row r="94" spans="1:23">
      <c r="A94" s="455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3">
      <c r="A95" s="455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6" spans="1:23">
      <c r="A96" s="452" t="s">
        <v>62</v>
      </c>
      <c r="B96" s="12" t="s">
        <v>63</v>
      </c>
      <c r="L96" s="7"/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1:23">
      <c r="A97" s="455"/>
      <c r="B97" s="67" t="s">
        <v>64</v>
      </c>
      <c r="L97" s="7"/>
      <c r="N97" s="30"/>
      <c r="O97" s="30"/>
      <c r="P97" s="30"/>
      <c r="Q97" s="30"/>
      <c r="R97" s="30"/>
      <c r="S97" s="30"/>
      <c r="T97" s="30"/>
      <c r="U97" s="30"/>
      <c r="V97" s="30"/>
      <c r="W97" s="30"/>
    </row>
    <row r="98" spans="1:23">
      <c r="A98" s="455"/>
      <c r="B98" s="13" t="s">
        <v>65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30"/>
      <c r="O98" s="30"/>
      <c r="P98" s="30"/>
      <c r="Q98" s="30"/>
      <c r="R98" s="30"/>
      <c r="S98" s="30"/>
      <c r="T98" s="30"/>
      <c r="U98" s="30"/>
      <c r="V98" s="30"/>
      <c r="W98" s="30"/>
    </row>
    <row r="99" spans="1:23" ht="12.75" customHeight="1">
      <c r="A99" s="455"/>
      <c r="B99" s="13"/>
      <c r="C99" s="7"/>
      <c r="D99" s="7"/>
      <c r="E99" s="7"/>
      <c r="F99" s="7"/>
      <c r="G99" s="7"/>
      <c r="H99" s="7"/>
      <c r="I99" s="7"/>
      <c r="J99" s="7"/>
      <c r="K99" s="7"/>
      <c r="M99" s="7"/>
      <c r="N99" s="30"/>
      <c r="O99" s="30"/>
      <c r="P99" s="30"/>
      <c r="Q99" s="30"/>
      <c r="R99" s="30"/>
      <c r="S99" s="30"/>
      <c r="T99" s="30"/>
      <c r="U99" s="30"/>
      <c r="V99" s="30"/>
      <c r="W99" s="30"/>
    </row>
    <row r="100" spans="1:23">
      <c r="A100" s="457"/>
      <c r="B100" s="4"/>
      <c r="C100" s="24" t="s">
        <v>11</v>
      </c>
      <c r="D100" s="24" t="s">
        <v>12</v>
      </c>
      <c r="E100" s="24" t="s">
        <v>13</v>
      </c>
      <c r="F100" s="24" t="s">
        <v>14</v>
      </c>
      <c r="G100" s="24" t="s">
        <v>15</v>
      </c>
      <c r="H100" s="24" t="s">
        <v>16</v>
      </c>
      <c r="I100" s="24" t="s">
        <v>17</v>
      </c>
      <c r="J100" s="24" t="s">
        <v>18</v>
      </c>
      <c r="K100" s="24" t="s">
        <v>19</v>
      </c>
      <c r="L100" s="24" t="s">
        <v>20</v>
      </c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>
      <c r="A101" s="458"/>
      <c r="B101" s="90" t="s">
        <v>66</v>
      </c>
      <c r="C101" s="91">
        <v>4629.5728375434073</v>
      </c>
      <c r="D101" s="91">
        <v>13.082147866763224</v>
      </c>
      <c r="E101" s="91">
        <v>64.623468975916651</v>
      </c>
      <c r="F101" s="91">
        <v>0</v>
      </c>
      <c r="G101" s="91">
        <v>0</v>
      </c>
      <c r="H101" s="91">
        <v>1.5165110008062068</v>
      </c>
      <c r="I101" s="91">
        <v>0</v>
      </c>
      <c r="J101" s="91">
        <v>0</v>
      </c>
      <c r="K101" s="91">
        <v>1538.0306361815803</v>
      </c>
      <c r="L101" s="91">
        <v>1383.0516178720507</v>
      </c>
      <c r="M101" s="92">
        <f>SUM(C101:L101)</f>
        <v>7629.8772194405246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>
      <c r="A102" s="330"/>
      <c r="B102" s="90" t="s">
        <v>67</v>
      </c>
      <c r="C102" s="93">
        <v>4956.4021044689507</v>
      </c>
      <c r="D102" s="93">
        <v>13.84525330832356</v>
      </c>
      <c r="E102" s="93">
        <v>68.064355473561761</v>
      </c>
      <c r="F102" s="93">
        <v>0</v>
      </c>
      <c r="G102" s="93">
        <v>0</v>
      </c>
      <c r="H102" s="93">
        <v>1.5690983023498113</v>
      </c>
      <c r="I102" s="93">
        <v>0</v>
      </c>
      <c r="J102" s="93">
        <v>0</v>
      </c>
      <c r="K102" s="93">
        <v>1546.3133706271058</v>
      </c>
      <c r="L102" s="93">
        <v>1414.6831457144353</v>
      </c>
      <c r="M102" s="92">
        <f>SUM(C102:L102)</f>
        <v>8000.8773278947265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1:23">
      <c r="A103" s="458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5"/>
      <c r="N103" s="30"/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1:23">
      <c r="A104" s="457"/>
      <c r="B104" s="90" t="s">
        <v>68</v>
      </c>
      <c r="C104" s="96">
        <v>1.01149256</v>
      </c>
      <c r="D104" s="97"/>
      <c r="E104" s="98"/>
      <c r="F104" s="98"/>
      <c r="G104" s="98"/>
      <c r="H104" s="98"/>
      <c r="I104" s="98"/>
      <c r="J104" s="98"/>
      <c r="K104" s="98"/>
      <c r="M104" s="98"/>
      <c r="N104" s="30"/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3">
      <c r="A105" s="459"/>
      <c r="B105" s="17" t="str">
        <f>"PJM June 1, "&amp;(Inputs!D2-1)&amp;" (through May 31, "&amp;(Inputs!D2)&amp;") Forecast Pool Requirement"</f>
        <v>PJM June 1, 2025 (through May 31, 2026) Forecast Pool Requirement</v>
      </c>
      <c r="C105" s="99">
        <v>0.93799999999999994</v>
      </c>
      <c r="D105" s="97"/>
      <c r="I105" s="98"/>
      <c r="K105" s="7"/>
      <c r="M105" s="98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>
      <c r="A106" s="455"/>
      <c r="D106" s="100"/>
      <c r="E106" s="101"/>
      <c r="G106" s="100"/>
      <c r="H106" s="10"/>
      <c r="I106" s="98"/>
      <c r="M106" s="98"/>
      <c r="N106" s="30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>
      <c r="A107" s="455"/>
      <c r="B107" s="10"/>
      <c r="D107" s="10"/>
      <c r="G107" s="100"/>
      <c r="H107" s="10"/>
      <c r="I107" s="98"/>
      <c r="M107" s="98"/>
      <c r="N107" s="30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>
      <c r="A108" s="455"/>
      <c r="B108" s="102"/>
      <c r="C108" s="103"/>
      <c r="E108" s="104"/>
      <c r="F108" s="100"/>
      <c r="G108" s="100"/>
      <c r="H108" s="10"/>
      <c r="I108" s="98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3">
      <c r="A109" s="455"/>
      <c r="B109" s="16"/>
      <c r="C109" s="10"/>
      <c r="D109" s="10"/>
      <c r="E109" s="105"/>
      <c r="F109" s="106"/>
      <c r="G109" s="106"/>
      <c r="H109" s="10"/>
      <c r="J109" s="104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3">
      <c r="A110" s="455"/>
      <c r="B110" s="10"/>
      <c r="C110" s="10"/>
      <c r="D110" s="10"/>
      <c r="E110" s="105"/>
      <c r="F110" s="107"/>
      <c r="G110" s="107"/>
      <c r="H110" s="10"/>
      <c r="I110" s="98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3">
      <c r="A111" s="455"/>
      <c r="B111" s="10"/>
      <c r="C111" s="10"/>
      <c r="D111" s="10"/>
      <c r="E111" s="105"/>
      <c r="F111" s="106"/>
      <c r="G111" s="106"/>
      <c r="H111" s="10"/>
      <c r="I111" s="98"/>
      <c r="J111" s="108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3">
      <c r="A112" s="455"/>
      <c r="B112" s="10"/>
      <c r="C112" s="106"/>
      <c r="D112" s="10"/>
      <c r="E112" s="506" t="s">
        <v>69</v>
      </c>
      <c r="F112" s="506"/>
      <c r="G112" s="10"/>
      <c r="H112" s="10"/>
      <c r="I112" s="98"/>
      <c r="J112" s="108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3">
      <c r="A113" s="457"/>
      <c r="B113" s="10" t="s">
        <v>70</v>
      </c>
      <c r="C113" s="507" t="s">
        <v>71</v>
      </c>
      <c r="D113" s="507"/>
      <c r="E113" s="109">
        <v>270.43</v>
      </c>
      <c r="F113" s="110" t="s">
        <v>72</v>
      </c>
      <c r="G113" s="10"/>
      <c r="H113" s="10"/>
      <c r="I113" s="98"/>
      <c r="J113" s="108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3">
      <c r="A114" s="455"/>
      <c r="B114" s="10"/>
      <c r="C114" s="507" t="s">
        <v>73</v>
      </c>
      <c r="D114" s="507"/>
      <c r="E114" s="109">
        <v>270.43</v>
      </c>
      <c r="F114" s="110" t="s">
        <v>72</v>
      </c>
      <c r="G114" s="10"/>
      <c r="H114" s="10"/>
      <c r="N114" s="30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 ht="18" customHeight="1">
      <c r="A115" s="455"/>
      <c r="B115" s="10"/>
      <c r="C115" s="10"/>
      <c r="D115" s="10"/>
      <c r="E115" s="111"/>
      <c r="F115" s="112"/>
      <c r="G115" s="10"/>
      <c r="H115" s="10"/>
      <c r="I115" s="10"/>
      <c r="N115" s="30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3">
      <c r="A116" s="455"/>
      <c r="B116" s="10"/>
      <c r="C116" s="10"/>
      <c r="D116" s="10"/>
      <c r="E116" s="10"/>
      <c r="F116" s="10"/>
      <c r="G116" s="10"/>
      <c r="H116" s="10"/>
      <c r="I116" s="10"/>
      <c r="J116" s="10"/>
      <c r="N116" s="30"/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3">
      <c r="A117" s="455"/>
      <c r="B117" s="10"/>
      <c r="C117" s="10"/>
      <c r="D117" s="10"/>
      <c r="E117" s="10"/>
      <c r="F117" s="10"/>
      <c r="G117" s="10"/>
      <c r="H117" s="10"/>
      <c r="I117" s="10"/>
      <c r="J117" s="10"/>
      <c r="N117" s="30"/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1:23">
      <c r="A118" s="457"/>
      <c r="B118" s="4"/>
      <c r="C118" s="24" t="s">
        <v>11</v>
      </c>
      <c r="D118" s="24" t="s">
        <v>12</v>
      </c>
      <c r="F118" s="10"/>
      <c r="G118" s="10"/>
      <c r="H118" s="10"/>
      <c r="I118" s="10"/>
      <c r="J118" s="106"/>
      <c r="N118" s="30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>
      <c r="A119" s="452"/>
      <c r="B119" s="113" t="s">
        <v>74</v>
      </c>
      <c r="C119" s="72">
        <v>0.86519999999999975</v>
      </c>
      <c r="D119" s="72">
        <v>1.1569000000000003</v>
      </c>
      <c r="E119" s="10" t="s">
        <v>75</v>
      </c>
      <c r="F119" s="114" t="s">
        <v>76</v>
      </c>
      <c r="I119" s="10"/>
      <c r="J119" s="106"/>
      <c r="K119" s="73"/>
      <c r="N119" s="30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>
      <c r="A120" s="452"/>
      <c r="F120" s="10"/>
      <c r="H120" s="10"/>
      <c r="I120" s="10"/>
      <c r="J120" s="106"/>
      <c r="K120" s="73"/>
      <c r="N120" s="30"/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1:23">
      <c r="A121" s="330"/>
      <c r="B121" s="10"/>
      <c r="C121" s="10"/>
      <c r="D121" s="10"/>
      <c r="E121" s="10"/>
      <c r="F121" s="10"/>
      <c r="G121" s="10"/>
      <c r="H121" s="10"/>
      <c r="I121" s="10"/>
      <c r="J121" s="10"/>
      <c r="N121" s="30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>
      <c r="A122" s="452" t="s">
        <v>77</v>
      </c>
      <c r="B122" s="12" t="s">
        <v>78</v>
      </c>
      <c r="D122" s="10"/>
      <c r="I122" s="10"/>
      <c r="J122" s="10"/>
      <c r="N122" s="30"/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3">
      <c r="A123" s="455"/>
      <c r="B123" s="10" t="s">
        <v>79</v>
      </c>
      <c r="D123" s="115">
        <v>2</v>
      </c>
      <c r="E123" s="116" t="s">
        <v>80</v>
      </c>
      <c r="G123" s="68"/>
      <c r="I123" s="10"/>
      <c r="J123" s="111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3">
      <c r="A124" s="455"/>
      <c r="B124" s="10" t="s">
        <v>81</v>
      </c>
      <c r="D124" s="117">
        <v>18.23</v>
      </c>
      <c r="E124" s="116" t="s">
        <v>80</v>
      </c>
      <c r="G124" s="68"/>
      <c r="I124" s="10"/>
      <c r="J124" s="1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>
      <c r="A125" s="455"/>
      <c r="B125" s="13"/>
      <c r="E125" s="116"/>
      <c r="N125" s="30"/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>
      <c r="A126" s="455"/>
      <c r="B126" s="13"/>
      <c r="F126" s="116"/>
      <c r="N126" s="30"/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1:23">
      <c r="A127" s="455"/>
      <c r="B127" s="12"/>
      <c r="E127" s="118"/>
      <c r="F127" s="116"/>
      <c r="N127" s="30"/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>
      <c r="A128" s="452"/>
      <c r="B128" s="12"/>
      <c r="N128" s="30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3">
      <c r="A129" s="452"/>
      <c r="B129" s="12" t="s">
        <v>82</v>
      </c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>
      <c r="A130" s="452"/>
      <c r="B130" s="12" t="s">
        <v>83</v>
      </c>
      <c r="C130" s="7"/>
      <c r="D130" s="467">
        <v>696.05</v>
      </c>
      <c r="E130" s="7" t="s">
        <v>84</v>
      </c>
      <c r="F130" s="7"/>
      <c r="G130" s="7"/>
      <c r="H130" s="7"/>
      <c r="I130" s="7"/>
      <c r="J130" s="7"/>
      <c r="N130" s="30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>
      <c r="A131" s="452"/>
      <c r="B131" s="12"/>
      <c r="N131" s="30"/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1:23">
      <c r="A132" s="452" t="s">
        <v>85</v>
      </c>
      <c r="B132" s="100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30"/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1:23">
      <c r="A133" s="455"/>
      <c r="B133" s="100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>
      <c r="A134" s="455"/>
      <c r="B134" s="100"/>
      <c r="G134" s="119"/>
      <c r="H134" s="119"/>
      <c r="I134" s="119"/>
      <c r="K134" s="119"/>
      <c r="L134" s="119"/>
      <c r="M134" s="119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ht="52">
      <c r="A135" s="460" t="s">
        <v>86</v>
      </c>
      <c r="B135" s="17" t="s">
        <v>87</v>
      </c>
      <c r="C135" s="120" t="s">
        <v>88</v>
      </c>
      <c r="D135" s="120" t="s">
        <v>89</v>
      </c>
      <c r="E135" s="121" t="s">
        <v>90</v>
      </c>
      <c r="G135" s="119"/>
      <c r="H135" s="119"/>
      <c r="I135" s="119"/>
      <c r="J135" s="63"/>
      <c r="K135" s="120" t="s">
        <v>91</v>
      </c>
      <c r="L135" s="120" t="s">
        <v>92</v>
      </c>
      <c r="M135" s="120" t="s">
        <v>93</v>
      </c>
      <c r="N135" s="120" t="s">
        <v>94</v>
      </c>
      <c r="O135" s="120" t="s">
        <v>95</v>
      </c>
      <c r="P135" s="120" t="s">
        <v>96</v>
      </c>
      <c r="Q135" s="120" t="s">
        <v>97</v>
      </c>
      <c r="R135" s="120" t="s">
        <v>98</v>
      </c>
      <c r="S135" s="120" t="s">
        <v>88</v>
      </c>
      <c r="T135" s="120" t="s">
        <v>89</v>
      </c>
      <c r="U135" s="30"/>
      <c r="V135" s="30"/>
      <c r="W135" s="30"/>
    </row>
    <row r="136" spans="1:23">
      <c r="A136" s="455"/>
      <c r="B136" s="17" t="s">
        <v>99</v>
      </c>
      <c r="C136" s="122">
        <v>80.88</v>
      </c>
      <c r="D136" s="122">
        <v>107.36</v>
      </c>
      <c r="E136" s="123">
        <v>107.36</v>
      </c>
      <c r="F136" s="124"/>
      <c r="G136" s="119"/>
      <c r="H136" s="119"/>
      <c r="I136" s="119"/>
      <c r="J136" s="125"/>
      <c r="K136" s="126">
        <v>96.38</v>
      </c>
      <c r="L136" s="126">
        <v>90.78</v>
      </c>
      <c r="M136" s="126">
        <v>91.77</v>
      </c>
      <c r="N136" s="126">
        <v>98.04</v>
      </c>
      <c r="O136" s="126">
        <v>102.16</v>
      </c>
      <c r="P136" s="126">
        <v>64.8</v>
      </c>
      <c r="Q136" s="126">
        <v>76.3</v>
      </c>
      <c r="R136" s="126">
        <v>93.11</v>
      </c>
      <c r="S136" s="126">
        <v>80.88</v>
      </c>
      <c r="T136" s="126">
        <v>107.36</v>
      </c>
      <c r="U136" s="30"/>
      <c r="V136" s="30"/>
      <c r="W136" s="30"/>
    </row>
    <row r="137" spans="1:23">
      <c r="A137" s="455"/>
      <c r="B137" s="17" t="s">
        <v>100</v>
      </c>
      <c r="C137" s="127">
        <v>29</v>
      </c>
      <c r="D137" s="127">
        <v>28</v>
      </c>
      <c r="E137" s="127">
        <v>28</v>
      </c>
      <c r="F137" s="128"/>
      <c r="G137" s="119"/>
      <c r="H137" s="119"/>
      <c r="I137" s="119"/>
      <c r="K137" s="127">
        <v>28</v>
      </c>
      <c r="L137" s="127">
        <v>28</v>
      </c>
      <c r="M137" s="127">
        <v>29</v>
      </c>
      <c r="N137" s="127">
        <v>28</v>
      </c>
      <c r="O137" s="127">
        <v>28</v>
      </c>
      <c r="P137" s="127">
        <v>29</v>
      </c>
      <c r="Q137" s="127">
        <v>28</v>
      </c>
      <c r="R137" s="127">
        <v>28</v>
      </c>
      <c r="S137" s="127">
        <v>29</v>
      </c>
      <c r="T137" s="127">
        <v>29</v>
      </c>
      <c r="U137" s="30"/>
      <c r="V137" s="30"/>
      <c r="W137" s="30"/>
    </row>
    <row r="138" spans="1:23">
      <c r="A138" s="455"/>
      <c r="B138" s="17" t="s">
        <v>101</v>
      </c>
      <c r="C138" s="4"/>
      <c r="D138" s="4"/>
      <c r="E138" s="129" t="s">
        <v>102</v>
      </c>
      <c r="G138" s="119"/>
      <c r="H138" s="119"/>
      <c r="I138" s="119"/>
      <c r="K138" s="4"/>
      <c r="L138" s="4"/>
      <c r="M138" s="129"/>
      <c r="N138" s="129">
        <v>28.28</v>
      </c>
      <c r="O138" s="129">
        <v>37.770000000000003</v>
      </c>
      <c r="P138" s="129"/>
      <c r="Q138" s="129"/>
      <c r="R138" s="129"/>
      <c r="S138" s="129"/>
      <c r="T138" s="129"/>
      <c r="U138" s="30"/>
      <c r="V138" s="30"/>
      <c r="W138" s="30"/>
    </row>
    <row r="139" spans="1:23">
      <c r="A139" s="455"/>
      <c r="B139" s="12" t="s">
        <v>103</v>
      </c>
      <c r="F139" s="119"/>
      <c r="G139" s="119"/>
      <c r="H139" s="119"/>
      <c r="I139" s="119"/>
      <c r="N139" s="130">
        <f>N136-N138</f>
        <v>69.760000000000005</v>
      </c>
      <c r="O139" s="130">
        <f>O136-O138</f>
        <v>64.389999999999986</v>
      </c>
      <c r="U139" s="30"/>
      <c r="V139" s="30"/>
      <c r="W139" s="30"/>
    </row>
    <row r="140" spans="1:23">
      <c r="A140" s="452"/>
      <c r="B140" s="131" t="s">
        <v>104</v>
      </c>
      <c r="C140" s="132">
        <v>1</v>
      </c>
      <c r="D140" s="132">
        <v>1</v>
      </c>
      <c r="E140" s="132">
        <v>1</v>
      </c>
      <c r="F140" s="119"/>
      <c r="G140" s="119"/>
      <c r="H140" s="119"/>
      <c r="I140" s="119"/>
      <c r="K140" s="132">
        <v>1</v>
      </c>
      <c r="L140" s="132">
        <v>1</v>
      </c>
      <c r="M140" s="132">
        <v>1</v>
      </c>
      <c r="N140" s="132">
        <v>1</v>
      </c>
      <c r="O140" s="132">
        <v>1</v>
      </c>
      <c r="P140" s="132">
        <v>1</v>
      </c>
      <c r="Q140" s="132">
        <v>1</v>
      </c>
      <c r="R140" s="132">
        <v>1</v>
      </c>
      <c r="S140" s="132">
        <v>1</v>
      </c>
      <c r="T140" s="132">
        <v>1</v>
      </c>
      <c r="U140" s="30"/>
      <c r="V140" s="30"/>
      <c r="W140" s="30"/>
    </row>
    <row r="141" spans="1:23">
      <c r="A141" s="455"/>
      <c r="B141" s="131" t="s">
        <v>105</v>
      </c>
      <c r="C141" s="132">
        <v>1</v>
      </c>
      <c r="D141" s="132">
        <v>1</v>
      </c>
      <c r="E141" s="132">
        <v>1</v>
      </c>
      <c r="F141" s="119"/>
      <c r="G141" s="119"/>
      <c r="H141" s="119"/>
      <c r="I141" s="119"/>
      <c r="K141" s="132">
        <v>1</v>
      </c>
      <c r="L141" s="132">
        <v>1</v>
      </c>
      <c r="M141" s="132">
        <v>1</v>
      </c>
      <c r="N141" s="132">
        <v>1</v>
      </c>
      <c r="O141" s="132">
        <v>1</v>
      </c>
      <c r="P141" s="132">
        <v>1</v>
      </c>
      <c r="Q141" s="132">
        <v>1</v>
      </c>
      <c r="R141" s="132">
        <v>1</v>
      </c>
      <c r="S141" s="132">
        <v>1</v>
      </c>
      <c r="T141" s="132">
        <v>1</v>
      </c>
      <c r="U141" s="30"/>
      <c r="V141" s="30"/>
      <c r="W141" s="30"/>
    </row>
    <row r="142" spans="1:23">
      <c r="A142" s="455"/>
      <c r="B142" s="12"/>
    </row>
    <row r="143" spans="1:23">
      <c r="A143" s="455"/>
      <c r="B143" s="13"/>
      <c r="G143" s="119"/>
      <c r="O143" s="130"/>
    </row>
    <row r="144" spans="1:23">
      <c r="A144" s="455"/>
      <c r="B144" s="133"/>
      <c r="C144" s="134"/>
      <c r="D144" s="135"/>
      <c r="E144" s="136"/>
      <c r="F144" s="136"/>
      <c r="G144" s="137"/>
      <c r="H144" s="106"/>
    </row>
    <row r="145" spans="1:11">
      <c r="A145" s="455"/>
      <c r="B145" s="136"/>
      <c r="C145" s="138"/>
      <c r="D145" s="139"/>
      <c r="E145" s="140"/>
      <c r="F145" s="141"/>
      <c r="G145" s="137"/>
      <c r="H145" s="106"/>
      <c r="I145" s="7"/>
      <c r="J145" s="7"/>
    </row>
    <row r="146" spans="1:11">
      <c r="A146" s="455"/>
      <c r="B146" s="136"/>
      <c r="C146" s="142"/>
      <c r="D146" s="143"/>
      <c r="E146" s="144"/>
      <c r="F146" s="141"/>
      <c r="G146" s="137"/>
      <c r="H146" s="106"/>
    </row>
    <row r="147" spans="1:11">
      <c r="A147" s="455"/>
      <c r="B147" s="145"/>
      <c r="C147" s="142"/>
      <c r="D147" s="143"/>
      <c r="E147" s="146"/>
      <c r="F147" s="141"/>
      <c r="G147" s="134"/>
      <c r="H147" s="147"/>
      <c r="I147" s="63"/>
      <c r="J147" s="63"/>
      <c r="K147" s="63"/>
    </row>
    <row r="148" spans="1:11">
      <c r="A148" s="455"/>
      <c r="B148" s="148"/>
      <c r="C148" s="142"/>
      <c r="D148" s="143"/>
      <c r="E148" s="146"/>
      <c r="F148" s="141"/>
      <c r="G148" s="137"/>
      <c r="H148" s="147"/>
      <c r="I148" s="63"/>
      <c r="J148" s="63"/>
    </row>
    <row r="149" spans="1:11">
      <c r="A149" s="455"/>
      <c r="B149" s="148"/>
      <c r="C149" s="149"/>
      <c r="D149" s="143"/>
      <c r="E149" s="150"/>
      <c r="F149" s="151"/>
      <c r="G149" s="134"/>
      <c r="H149" s="147"/>
      <c r="I149" s="63"/>
      <c r="J149" s="63"/>
    </row>
    <row r="150" spans="1:11">
      <c r="A150" s="455"/>
      <c r="B150" s="137"/>
      <c r="C150" s="149"/>
      <c r="D150" s="143"/>
      <c r="E150" s="150"/>
      <c r="F150" s="151"/>
      <c r="G150" s="134"/>
      <c r="H150" s="147"/>
      <c r="I150" s="63"/>
      <c r="J150" s="63"/>
    </row>
    <row r="151" spans="1:11">
      <c r="A151" s="455"/>
      <c r="B151" s="137"/>
      <c r="C151" s="142"/>
      <c r="D151" s="143"/>
      <c r="E151" s="150"/>
      <c r="F151" s="151"/>
      <c r="G151" s="134"/>
      <c r="H151" s="147"/>
      <c r="I151" s="63"/>
      <c r="J151" s="63"/>
    </row>
    <row r="152" spans="1:11">
      <c r="A152" s="455"/>
      <c r="B152" s="137"/>
      <c r="C152" s="142"/>
      <c r="D152" s="152"/>
      <c r="E152" s="150"/>
      <c r="F152" s="151"/>
      <c r="G152" s="134"/>
      <c r="H152" s="147"/>
      <c r="I152" s="63"/>
      <c r="J152" s="63"/>
    </row>
    <row r="153" spans="1:11">
      <c r="A153" s="455"/>
      <c r="B153" s="137"/>
      <c r="C153" s="142"/>
      <c r="D153" s="152"/>
      <c r="E153" s="150"/>
      <c r="F153" s="151"/>
      <c r="G153" s="134"/>
      <c r="H153" s="147"/>
      <c r="I153" s="63"/>
      <c r="J153" s="63"/>
      <c r="K153" s="63"/>
    </row>
    <row r="154" spans="1:11">
      <c r="A154" s="455"/>
      <c r="B154" s="136"/>
      <c r="C154" s="142"/>
      <c r="D154" s="152"/>
      <c r="E154" s="150"/>
      <c r="F154" s="151"/>
      <c r="G154" s="134"/>
      <c r="H154" s="147"/>
      <c r="I154" s="63"/>
      <c r="J154" s="63"/>
    </row>
    <row r="155" spans="1:11">
      <c r="A155" s="455"/>
      <c r="B155" s="145"/>
      <c r="C155" s="142"/>
      <c r="D155" s="152"/>
      <c r="E155" s="150"/>
      <c r="F155" s="151"/>
      <c r="G155" s="134"/>
      <c r="H155" s="147"/>
      <c r="I155" s="63"/>
      <c r="J155" s="63"/>
    </row>
    <row r="156" spans="1:11">
      <c r="A156" s="455"/>
      <c r="B156" s="148"/>
      <c r="C156" s="142"/>
      <c r="D156" s="152"/>
      <c r="E156" s="150"/>
      <c r="F156" s="151"/>
      <c r="G156" s="134"/>
      <c r="H156" s="147"/>
      <c r="I156" s="63"/>
      <c r="J156" s="63"/>
    </row>
    <row r="157" spans="1:11">
      <c r="A157" s="455"/>
      <c r="B157" s="148"/>
      <c r="C157" s="142"/>
      <c r="D157" s="152"/>
      <c r="E157" s="150"/>
      <c r="F157" s="151"/>
      <c r="G157" s="134"/>
      <c r="H157" s="147"/>
      <c r="I157" s="63"/>
      <c r="J157" s="63"/>
      <c r="K157" s="63"/>
    </row>
    <row r="158" spans="1:11">
      <c r="A158" s="455"/>
      <c r="B158" s="136"/>
      <c r="C158" s="142"/>
      <c r="D158" s="152"/>
      <c r="E158" s="150"/>
      <c r="F158" s="151"/>
      <c r="G158" s="134"/>
      <c r="H158" s="147"/>
      <c r="I158" s="63"/>
      <c r="J158" s="63"/>
      <c r="K158" s="63"/>
    </row>
    <row r="159" spans="1:11">
      <c r="A159" s="455"/>
      <c r="B159" s="136"/>
      <c r="C159" s="142"/>
      <c r="D159" s="152"/>
      <c r="E159" s="150"/>
      <c r="F159" s="151"/>
      <c r="G159" s="134"/>
      <c r="H159" s="106"/>
      <c r="I159" s="63"/>
      <c r="J159" s="63"/>
      <c r="K159" s="63"/>
    </row>
    <row r="160" spans="1:11">
      <c r="A160" s="455"/>
      <c r="B160" s="136"/>
      <c r="C160" s="142"/>
      <c r="D160" s="152"/>
      <c r="E160" s="150"/>
      <c r="F160" s="151"/>
      <c r="G160" s="137"/>
      <c r="H160" s="106"/>
    </row>
    <row r="161" spans="1:15">
      <c r="A161" s="455"/>
      <c r="B161" s="136"/>
      <c r="C161" s="142"/>
      <c r="D161" s="152"/>
      <c r="E161" s="150"/>
      <c r="F161" s="151"/>
      <c r="G161" s="137"/>
    </row>
    <row r="162" spans="1:15" customFormat="1">
      <c r="A162" s="455"/>
      <c r="B162" s="153"/>
      <c r="C162" s="154"/>
      <c r="D162" s="155"/>
      <c r="E162" s="156"/>
      <c r="F162" s="157"/>
      <c r="G162" s="158"/>
    </row>
    <row r="163" spans="1:15" customFormat="1">
      <c r="A163" s="455"/>
      <c r="B163" s="159"/>
      <c r="C163" s="155"/>
      <c r="D163" s="160"/>
      <c r="E163" s="156"/>
      <c r="F163" s="157"/>
      <c r="H163" s="161"/>
      <c r="I163" s="162"/>
      <c r="J163" s="162"/>
    </row>
    <row r="164" spans="1:15" customFormat="1">
      <c r="A164" s="455"/>
      <c r="B164" s="163"/>
      <c r="C164" s="155"/>
      <c r="D164" s="160"/>
      <c r="E164" s="156"/>
      <c r="F164" s="157"/>
    </row>
    <row r="165" spans="1:15" customFormat="1">
      <c r="A165" s="455"/>
      <c r="C165" s="155"/>
      <c r="D165" s="160"/>
      <c r="E165" s="156"/>
      <c r="F165" s="157"/>
      <c r="H165" s="164"/>
    </row>
    <row r="166" spans="1:15" customFormat="1">
      <c r="A166" s="455"/>
      <c r="C166" s="165"/>
      <c r="D166" s="166"/>
      <c r="E166" s="156"/>
      <c r="F166" s="157"/>
      <c r="H166" s="167"/>
      <c r="I166" s="168"/>
      <c r="J166" s="168"/>
      <c r="K166" s="169"/>
      <c r="O166" s="170"/>
    </row>
    <row r="167" spans="1:15" customFormat="1">
      <c r="A167" s="455"/>
      <c r="B167" s="171"/>
      <c r="C167" s="172"/>
      <c r="D167" s="173"/>
      <c r="E167" s="174"/>
      <c r="F167" s="157"/>
      <c r="H167" s="167"/>
      <c r="I167" s="168"/>
      <c r="J167" s="168"/>
      <c r="K167" s="169"/>
    </row>
    <row r="168" spans="1:15" customFormat="1">
      <c r="A168" s="455"/>
      <c r="B168" s="175"/>
      <c r="C168" s="172"/>
      <c r="D168" s="173"/>
      <c r="E168" s="176"/>
      <c r="F168" s="157"/>
      <c r="H168" s="167"/>
      <c r="I168" s="168"/>
      <c r="J168" s="168"/>
      <c r="K168" s="169"/>
    </row>
    <row r="169" spans="1:15" customFormat="1">
      <c r="A169" s="455"/>
      <c r="B169" s="175"/>
      <c r="C169" s="172"/>
      <c r="D169" s="177"/>
      <c r="E169" s="178"/>
      <c r="F169" s="179"/>
    </row>
    <row r="170" spans="1:15" customFormat="1">
      <c r="A170" s="455"/>
      <c r="C170" s="172" t="s">
        <v>106</v>
      </c>
      <c r="D170" s="177"/>
      <c r="E170" s="176"/>
      <c r="F170" s="180"/>
      <c r="H170" s="164"/>
      <c r="I170" s="181"/>
      <c r="J170" s="181"/>
      <c r="K170" s="169"/>
    </row>
    <row r="171" spans="1:15" customFormat="1">
      <c r="A171" s="455"/>
      <c r="B171" s="171"/>
      <c r="C171" s="182" t="s">
        <v>107</v>
      </c>
      <c r="D171" s="158"/>
      <c r="E171" s="174"/>
      <c r="H171" s="167"/>
      <c r="I171" s="168"/>
      <c r="J171" s="168"/>
      <c r="K171" s="169"/>
    </row>
    <row r="172" spans="1:15" customFormat="1">
      <c r="A172" s="455"/>
      <c r="B172" s="175"/>
      <c r="C172" s="182" t="s">
        <v>108</v>
      </c>
      <c r="D172" s="158"/>
      <c r="E172" s="176"/>
    </row>
    <row r="173" spans="1:15" customFormat="1">
      <c r="A173" s="455"/>
      <c r="B173" s="175"/>
      <c r="C173" s="182" t="s">
        <v>109</v>
      </c>
      <c r="D173" s="158"/>
      <c r="E173" s="174"/>
    </row>
    <row r="174" spans="1:15" customFormat="1">
      <c r="A174" s="455"/>
      <c r="B174" s="175"/>
      <c r="C174" s="182"/>
      <c r="D174" s="158"/>
      <c r="E174" s="174"/>
    </row>
    <row r="175" spans="1:15" customFormat="1">
      <c r="A175" s="455"/>
      <c r="C175" s="182"/>
      <c r="D175" s="158"/>
      <c r="E175" s="174"/>
    </row>
    <row r="176" spans="1:15" customFormat="1">
      <c r="A176" s="455"/>
      <c r="C176" s="182"/>
      <c r="D176" s="158"/>
      <c r="E176" s="174"/>
    </row>
    <row r="177" spans="1:7" customFormat="1">
      <c r="A177" s="455"/>
      <c r="B177" s="183"/>
      <c r="C177" s="182"/>
      <c r="D177" s="158"/>
      <c r="E177" s="174"/>
    </row>
    <row r="178" spans="1:7" customFormat="1">
      <c r="A178" s="455"/>
      <c r="B178" s="171"/>
      <c r="C178" s="182"/>
      <c r="D178" s="158"/>
      <c r="E178" s="174"/>
    </row>
    <row r="179" spans="1:7" customFormat="1">
      <c r="A179" s="455"/>
      <c r="B179" s="175"/>
      <c r="C179" s="182"/>
      <c r="D179" s="158"/>
      <c r="E179" s="174"/>
    </row>
    <row r="180" spans="1:7" customFormat="1">
      <c r="A180" s="455"/>
      <c r="B180" s="175"/>
      <c r="C180" s="182"/>
      <c r="D180" s="158"/>
      <c r="E180" s="174"/>
    </row>
    <row r="181" spans="1:7" customFormat="1">
      <c r="A181" s="455"/>
      <c r="C181" s="182"/>
      <c r="D181" s="158"/>
      <c r="E181" s="174"/>
    </row>
    <row r="182" spans="1:7" customFormat="1">
      <c r="A182" s="455"/>
      <c r="B182" s="171"/>
      <c r="C182" s="158"/>
      <c r="D182" s="158"/>
    </row>
    <row r="183" spans="1:7" customFormat="1">
      <c r="A183" s="455"/>
      <c r="B183" s="175"/>
      <c r="C183" s="158"/>
      <c r="D183" s="158"/>
    </row>
    <row r="184" spans="1:7" customFormat="1">
      <c r="A184" s="455"/>
      <c r="B184" s="175"/>
      <c r="C184" s="158"/>
      <c r="D184" s="158"/>
    </row>
    <row r="185" spans="1:7" customFormat="1">
      <c r="A185" s="455"/>
      <c r="B185" s="175"/>
      <c r="C185" s="158"/>
      <c r="D185" s="158"/>
    </row>
    <row r="186" spans="1:7" customFormat="1">
      <c r="A186" s="455"/>
      <c r="C186" s="158"/>
      <c r="D186" s="158"/>
    </row>
    <row r="187" spans="1:7" customFormat="1">
      <c r="A187" s="455"/>
      <c r="C187" s="158"/>
      <c r="D187" s="158"/>
    </row>
    <row r="188" spans="1:7" customFormat="1">
      <c r="A188" s="455"/>
      <c r="B188" s="161"/>
      <c r="C188" s="158"/>
      <c r="D188" s="158"/>
    </row>
    <row r="189" spans="1:7" customFormat="1">
      <c r="A189" s="455"/>
      <c r="B189" s="167"/>
      <c r="C189" s="158"/>
      <c r="D189" s="158"/>
    </row>
    <row r="190" spans="1:7" customFormat="1">
      <c r="A190" s="455"/>
      <c r="C190" s="158"/>
      <c r="D190" s="158"/>
    </row>
    <row r="191" spans="1:7" customFormat="1">
      <c r="A191" s="455"/>
      <c r="C191" s="184"/>
      <c r="D191" s="184"/>
      <c r="G191" s="185"/>
    </row>
    <row r="192" spans="1:7" customFormat="1">
      <c r="A192" s="452"/>
      <c r="C192" s="158"/>
      <c r="D192" s="158"/>
    </row>
    <row r="193" spans="1:13" customFormat="1">
      <c r="A193" s="455"/>
      <c r="C193" s="186"/>
    </row>
    <row r="194" spans="1:13" customFormat="1">
      <c r="A194" s="455"/>
      <c r="B194" s="161"/>
      <c r="C194" s="167"/>
      <c r="D194" s="187"/>
    </row>
    <row r="195" spans="1:13" customFormat="1">
      <c r="A195" s="455"/>
      <c r="B195" s="161"/>
      <c r="C195" s="167"/>
      <c r="D195" s="187"/>
    </row>
    <row r="196" spans="1:13" customFormat="1">
      <c r="A196" s="455"/>
      <c r="B196" s="161"/>
    </row>
    <row r="197" spans="1:13" customFormat="1">
      <c r="A197" s="455"/>
      <c r="B197" s="163"/>
      <c r="E197" s="181"/>
      <c r="H197" s="162"/>
      <c r="I197" s="162"/>
      <c r="J197" s="162"/>
    </row>
    <row r="198" spans="1:13" customFormat="1">
      <c r="A198" s="455"/>
      <c r="B198" s="161"/>
    </row>
    <row r="199" spans="1:13" customFormat="1">
      <c r="A199" s="455"/>
      <c r="H199" s="188"/>
      <c r="I199" s="189"/>
      <c r="J199" s="189"/>
      <c r="K199" s="190"/>
      <c r="L199" s="190"/>
      <c r="M199" s="190"/>
    </row>
    <row r="200" spans="1:13" customFormat="1">
      <c r="A200" s="455"/>
      <c r="H200" s="189"/>
      <c r="I200" s="191"/>
      <c r="J200" s="192"/>
      <c r="K200" s="190"/>
      <c r="L200" s="190"/>
      <c r="M200" s="190"/>
    </row>
    <row r="201" spans="1:13" customFormat="1">
      <c r="A201" s="455"/>
      <c r="B201" s="171"/>
      <c r="G201" s="162"/>
      <c r="H201" s="193"/>
      <c r="I201" s="191"/>
      <c r="J201" s="192"/>
      <c r="K201" s="194"/>
      <c r="L201" s="190"/>
      <c r="M201" s="190"/>
    </row>
    <row r="202" spans="1:13" customFormat="1">
      <c r="A202" s="455"/>
      <c r="B202" s="175"/>
      <c r="G202" s="162"/>
      <c r="L202" s="190"/>
      <c r="M202" s="190"/>
    </row>
    <row r="203" spans="1:13" customFormat="1">
      <c r="A203" s="455"/>
      <c r="B203" s="175"/>
      <c r="C203" s="162"/>
      <c r="D203" s="162"/>
      <c r="E203" s="162"/>
      <c r="F203" s="162"/>
      <c r="G203" s="188"/>
      <c r="H203" s="190"/>
      <c r="I203" s="190"/>
      <c r="J203" s="190"/>
      <c r="K203" s="190"/>
      <c r="L203" s="190"/>
      <c r="M203" s="190"/>
    </row>
    <row r="204" spans="1:13" customFormat="1">
      <c r="A204" s="452"/>
      <c r="C204" s="162"/>
      <c r="D204" s="162"/>
      <c r="E204" s="162"/>
      <c r="F204" s="162"/>
      <c r="G204" s="189"/>
      <c r="H204" s="190"/>
      <c r="I204" s="190"/>
      <c r="J204" s="190"/>
      <c r="K204" s="190"/>
      <c r="L204" s="190"/>
      <c r="M204" s="190"/>
    </row>
    <row r="205" spans="1:13" customFormat="1">
      <c r="A205" s="452"/>
      <c r="B205" s="195"/>
      <c r="E205" s="189"/>
      <c r="F205" s="188"/>
      <c r="G205" s="189"/>
      <c r="H205" s="190"/>
      <c r="I205" s="190"/>
      <c r="J205" s="190"/>
      <c r="K205" s="190"/>
      <c r="L205" s="190"/>
      <c r="M205" s="190"/>
    </row>
    <row r="206" spans="1:13" customFormat="1">
      <c r="A206" s="455"/>
      <c r="B206" s="195"/>
      <c r="C206" s="196"/>
      <c r="D206" s="190"/>
      <c r="E206" s="188"/>
      <c r="F206" s="189"/>
      <c r="G206" s="190"/>
      <c r="H206" s="190"/>
      <c r="I206" s="190"/>
      <c r="J206" s="190"/>
      <c r="K206" s="190"/>
      <c r="L206" s="190"/>
      <c r="M206" s="190"/>
    </row>
    <row r="207" spans="1:13" customFormat="1">
      <c r="A207" s="455"/>
      <c r="B207" s="195"/>
      <c r="C207" s="196"/>
      <c r="D207" s="190"/>
      <c r="E207" s="188"/>
      <c r="F207" s="189"/>
      <c r="G207" s="190"/>
      <c r="H207" s="190"/>
      <c r="I207" s="190"/>
      <c r="J207" s="190"/>
      <c r="K207" s="190"/>
      <c r="L207" s="190"/>
      <c r="M207" s="190"/>
    </row>
    <row r="208" spans="1:13" customFormat="1">
      <c r="A208" s="455"/>
      <c r="E208" s="196"/>
      <c r="F208" s="190"/>
      <c r="G208" s="190"/>
      <c r="H208" s="190"/>
      <c r="I208" s="190"/>
      <c r="J208" s="190"/>
      <c r="K208" s="190"/>
      <c r="L208" s="190"/>
      <c r="M208" s="190"/>
    </row>
    <row r="209" spans="1:13" customFormat="1">
      <c r="A209" s="455"/>
      <c r="C209" s="188"/>
      <c r="D209" s="188"/>
      <c r="E209" s="196"/>
      <c r="F209" s="190"/>
      <c r="G209" s="190"/>
      <c r="H209" s="188"/>
      <c r="I209" s="189"/>
      <c r="J209" s="189"/>
      <c r="K209" s="190"/>
      <c r="L209" s="190"/>
      <c r="M209" s="190"/>
    </row>
    <row r="210" spans="1:13" customFormat="1">
      <c r="A210" s="455"/>
      <c r="C210" s="197"/>
      <c r="D210" s="197"/>
      <c r="E210" s="172"/>
      <c r="F210" s="190"/>
      <c r="G210" s="190"/>
      <c r="H210" s="190"/>
      <c r="J210" s="192"/>
      <c r="K210" s="190"/>
      <c r="L210" s="190"/>
      <c r="M210" s="190"/>
    </row>
    <row r="211" spans="1:13" customFormat="1">
      <c r="A211" s="455"/>
      <c r="B211" s="171"/>
      <c r="C211" s="197"/>
      <c r="D211" s="197"/>
      <c r="E211" s="172"/>
      <c r="F211" s="190"/>
      <c r="J211" s="192"/>
      <c r="K211" s="194"/>
      <c r="L211" s="190"/>
      <c r="M211" s="190"/>
    </row>
    <row r="212" spans="1:13" customFormat="1">
      <c r="A212" s="455"/>
      <c r="B212" s="175"/>
      <c r="G212" s="190"/>
      <c r="K212" s="190"/>
      <c r="L212" s="190"/>
      <c r="M212" s="190"/>
    </row>
    <row r="213" spans="1:13" customFormat="1">
      <c r="A213" s="455"/>
      <c r="B213" s="175"/>
      <c r="G213" s="188"/>
      <c r="H213" s="189"/>
      <c r="I213" s="189"/>
      <c r="J213" s="189"/>
      <c r="K213" s="190"/>
      <c r="L213" s="190"/>
      <c r="M213" s="190"/>
    </row>
    <row r="214" spans="1:13" customFormat="1">
      <c r="A214" s="455"/>
      <c r="C214" s="190"/>
      <c r="D214" s="190"/>
      <c r="E214" s="190"/>
      <c r="F214" s="190"/>
      <c r="G214" s="190"/>
    </row>
    <row r="215" spans="1:13" customFormat="1">
      <c r="A215" s="455"/>
      <c r="C215" s="188"/>
      <c r="D215" s="188"/>
      <c r="E215" s="189"/>
      <c r="F215" s="188"/>
      <c r="G215" s="190"/>
    </row>
    <row r="216" spans="1:13" customFormat="1">
      <c r="A216" s="455"/>
      <c r="C216" s="190"/>
      <c r="D216" s="190"/>
      <c r="E216" s="188"/>
      <c r="F216" s="190"/>
      <c r="G216" s="190"/>
    </row>
    <row r="217" spans="1:13" customFormat="1">
      <c r="A217" s="455"/>
      <c r="C217" s="190"/>
      <c r="D217" s="190"/>
      <c r="E217" s="188"/>
      <c r="F217" s="190"/>
      <c r="G217" s="189"/>
    </row>
    <row r="218" spans="1:13" customFormat="1">
      <c r="A218" s="455"/>
      <c r="B218" s="161"/>
      <c r="C218" s="190"/>
      <c r="D218" s="190"/>
      <c r="E218" s="190"/>
      <c r="F218" s="190"/>
    </row>
    <row r="219" spans="1:13" customFormat="1">
      <c r="A219" s="455"/>
      <c r="B219" s="163"/>
      <c r="C219" s="189"/>
      <c r="D219" s="189"/>
      <c r="E219" s="189"/>
      <c r="F219" s="189"/>
      <c r="H219" s="161"/>
    </row>
    <row r="220" spans="1:13" customFormat="1">
      <c r="A220" s="455"/>
      <c r="B220" s="191"/>
    </row>
    <row r="221" spans="1:13" customFormat="1">
      <c r="A221" s="455"/>
      <c r="H221" s="164"/>
    </row>
    <row r="222" spans="1:13" customFormat="1">
      <c r="A222" s="455"/>
      <c r="H222" s="167"/>
      <c r="I222" s="198"/>
      <c r="J222" s="198"/>
      <c r="K222" s="169"/>
    </row>
    <row r="223" spans="1:13" customFormat="1">
      <c r="A223" s="455"/>
      <c r="B223" s="171"/>
      <c r="H223" s="167"/>
      <c r="I223" s="198"/>
      <c r="J223" s="198"/>
      <c r="K223" s="169"/>
    </row>
    <row r="224" spans="1:13" customFormat="1">
      <c r="A224" s="455"/>
      <c r="B224" s="175"/>
      <c r="H224" s="167"/>
      <c r="I224" s="198"/>
      <c r="J224" s="198"/>
      <c r="K224" s="169"/>
    </row>
    <row r="225" spans="1:11" customFormat="1">
      <c r="A225" s="455"/>
      <c r="B225" s="175"/>
      <c r="C225" s="162"/>
      <c r="D225" s="162"/>
      <c r="E225" s="162"/>
      <c r="F225" s="162"/>
    </row>
    <row r="226" spans="1:11" customFormat="1">
      <c r="A226" s="455"/>
      <c r="C226" s="162"/>
      <c r="D226" s="199"/>
      <c r="E226" s="162"/>
      <c r="F226" s="199"/>
      <c r="H226" s="164"/>
      <c r="I226" s="181"/>
      <c r="J226" s="181"/>
    </row>
    <row r="227" spans="1:11" customFormat="1">
      <c r="A227" s="455"/>
      <c r="B227" s="171"/>
      <c r="C227" s="188"/>
      <c r="D227" s="194"/>
      <c r="E227" s="193"/>
      <c r="F227" s="193"/>
      <c r="H227" s="167"/>
      <c r="I227" s="198"/>
      <c r="J227" s="198"/>
      <c r="K227" s="169"/>
    </row>
    <row r="228" spans="1:11" customFormat="1">
      <c r="A228" s="455"/>
      <c r="B228" s="175"/>
      <c r="C228" s="189"/>
      <c r="D228" s="194"/>
      <c r="E228" s="188"/>
      <c r="F228" s="194"/>
    </row>
    <row r="229" spans="1:11" customFormat="1">
      <c r="A229" s="455"/>
      <c r="B229" s="175"/>
      <c r="C229" s="189"/>
      <c r="D229" s="194"/>
      <c r="E229" s="188"/>
      <c r="F229" s="194"/>
    </row>
    <row r="230" spans="1:11" customFormat="1">
      <c r="A230" s="455"/>
      <c r="C230" s="189"/>
      <c r="D230" s="194"/>
      <c r="E230" s="189"/>
      <c r="F230" s="194"/>
    </row>
    <row r="231" spans="1:11" customFormat="1">
      <c r="A231" s="455"/>
      <c r="C231" s="188"/>
      <c r="D231" s="194"/>
      <c r="E231" s="188"/>
      <c r="F231" s="194"/>
    </row>
    <row r="232" spans="1:11" customFormat="1">
      <c r="A232" s="453"/>
      <c r="C232" s="189"/>
      <c r="D232" s="193"/>
      <c r="E232" s="188"/>
      <c r="F232" s="194"/>
    </row>
    <row r="233" spans="1:11" customFormat="1">
      <c r="A233" s="461"/>
      <c r="C233" s="189"/>
      <c r="D233" s="193"/>
      <c r="E233" s="188"/>
      <c r="F233" s="194"/>
    </row>
    <row r="234" spans="1:11" customFormat="1">
      <c r="A234" s="455"/>
      <c r="C234" s="189"/>
      <c r="D234" s="193"/>
      <c r="E234" s="189"/>
      <c r="F234" s="193"/>
    </row>
    <row r="235" spans="1:11" customFormat="1">
      <c r="A235" s="455"/>
      <c r="C235" s="189"/>
      <c r="D235" s="193"/>
      <c r="E235" s="189"/>
      <c r="F235" s="193"/>
    </row>
    <row r="236" spans="1:11" customFormat="1">
      <c r="A236" s="455"/>
      <c r="B236" s="167"/>
      <c r="C236" s="190"/>
      <c r="E236" s="190"/>
    </row>
    <row r="237" spans="1:11" customFormat="1">
      <c r="A237" s="455"/>
      <c r="B237" s="167"/>
      <c r="C237" s="190"/>
      <c r="E237" s="190"/>
    </row>
    <row r="238" spans="1:11" customFormat="1">
      <c r="A238" s="455"/>
      <c r="B238" s="167"/>
    </row>
    <row r="239" spans="1:11" customFormat="1">
      <c r="A239" s="455"/>
      <c r="B239" s="167"/>
      <c r="E239" s="173"/>
    </row>
    <row r="240" spans="1:11" customFormat="1">
      <c r="A240" s="455"/>
      <c r="B240" s="167"/>
      <c r="C240" s="200"/>
      <c r="D240" s="169"/>
      <c r="E240" s="201"/>
    </row>
    <row r="241" spans="1:13" customFormat="1">
      <c r="A241" s="455"/>
      <c r="B241" s="167"/>
      <c r="C241" s="200"/>
      <c r="D241" s="169"/>
      <c r="E241" s="201"/>
    </row>
    <row r="242" spans="1:13" customFormat="1">
      <c r="A242" s="455"/>
      <c r="B242" s="167"/>
    </row>
    <row r="243" spans="1:13" customFormat="1">
      <c r="A243" s="455"/>
      <c r="B243" s="167"/>
      <c r="C243" s="200"/>
      <c r="D243" s="169"/>
      <c r="E243" s="202"/>
    </row>
    <row r="244" spans="1:13" customFormat="1">
      <c r="A244" s="455"/>
      <c r="B244" s="167"/>
      <c r="C244" s="174"/>
      <c r="E244" s="202"/>
    </row>
    <row r="245" spans="1:13" customFormat="1">
      <c r="A245" s="455"/>
      <c r="B245" s="167"/>
      <c r="C245" s="174"/>
      <c r="E245" s="202"/>
    </row>
    <row r="246" spans="1:13" customFormat="1">
      <c r="A246" s="455"/>
      <c r="B246" s="167"/>
      <c r="C246" s="203"/>
    </row>
    <row r="247" spans="1:13" customFormat="1">
      <c r="A247" s="453"/>
      <c r="B247" s="167"/>
      <c r="C247" s="191"/>
    </row>
    <row r="248" spans="1:13" customFormat="1">
      <c r="A248" s="453"/>
      <c r="B248" s="167"/>
      <c r="C248" s="172"/>
    </row>
    <row r="249" spans="1:13" customFormat="1">
      <c r="A249" s="455"/>
      <c r="C249" s="201"/>
    </row>
    <row r="250" spans="1:13" customFormat="1">
      <c r="A250" s="455"/>
      <c r="B250" s="167"/>
    </row>
    <row r="251" spans="1:13" customFormat="1">
      <c r="A251" s="455"/>
    </row>
    <row r="252" spans="1:13" customFormat="1">
      <c r="A252" s="452"/>
    </row>
    <row r="253" spans="1:13" customFormat="1">
      <c r="A253" s="455"/>
    </row>
    <row r="254" spans="1:13" customFormat="1">
      <c r="A254" s="455"/>
      <c r="B254" s="161"/>
      <c r="H254" s="162"/>
      <c r="I254" s="162"/>
      <c r="J254" s="162"/>
      <c r="K254" s="162"/>
      <c r="L254" s="162"/>
      <c r="M254" s="162"/>
    </row>
    <row r="255" spans="1:13" customFormat="1">
      <c r="A255" s="455"/>
      <c r="B255" s="161"/>
      <c r="C255" s="190"/>
      <c r="E255" s="190"/>
    </row>
    <row r="256" spans="1:13" customFormat="1">
      <c r="A256" s="455"/>
      <c r="C256" s="190"/>
      <c r="E256" s="190"/>
      <c r="H256" s="186"/>
      <c r="I256" s="186"/>
      <c r="J256" s="186"/>
      <c r="K256" s="186"/>
      <c r="L256" s="186"/>
      <c r="M256" s="186"/>
    </row>
    <row r="257" spans="1:13" customFormat="1">
      <c r="A257" s="455"/>
      <c r="C257" s="190"/>
      <c r="E257" s="190"/>
      <c r="H257" s="186"/>
      <c r="I257" s="186"/>
      <c r="J257" s="186"/>
      <c r="K257" s="186"/>
      <c r="L257" s="186"/>
      <c r="M257" s="186"/>
    </row>
    <row r="258" spans="1:13" customFormat="1">
      <c r="A258" s="455"/>
      <c r="B258" s="204"/>
      <c r="G258" s="162"/>
      <c r="H258" s="185"/>
      <c r="I258" s="185"/>
      <c r="J258" s="186"/>
      <c r="K258" s="186"/>
      <c r="L258" s="186"/>
      <c r="M258" s="186"/>
    </row>
    <row r="259" spans="1:13" customFormat="1">
      <c r="A259" s="455"/>
      <c r="B259" s="204"/>
    </row>
    <row r="260" spans="1:13" customFormat="1">
      <c r="A260" s="455"/>
      <c r="B260" s="204"/>
      <c r="C260" s="162"/>
      <c r="D260" s="162"/>
      <c r="E260" s="162"/>
      <c r="F260" s="162"/>
      <c r="G260" s="186"/>
    </row>
    <row r="261" spans="1:13" customFormat="1">
      <c r="A261" s="455"/>
      <c r="B261" s="204"/>
      <c r="G261" s="186"/>
      <c r="H261" s="205"/>
      <c r="I261" s="205"/>
      <c r="J261" s="205"/>
      <c r="K261" s="205"/>
      <c r="L261" s="205"/>
      <c r="M261" s="205"/>
    </row>
    <row r="262" spans="1:13" customFormat="1">
      <c r="A262" s="455"/>
      <c r="C262" s="206"/>
      <c r="D262" s="206"/>
      <c r="E262" s="186"/>
      <c r="F262" s="186"/>
      <c r="G262" s="185"/>
      <c r="H262" s="205"/>
      <c r="I262" s="205"/>
      <c r="J262" s="205"/>
      <c r="K262" s="205"/>
      <c r="L262" s="205"/>
      <c r="M262" s="205"/>
    </row>
    <row r="263" spans="1:13" customFormat="1">
      <c r="A263" s="455"/>
      <c r="B263" s="204"/>
      <c r="C263" s="186"/>
      <c r="D263" s="186"/>
      <c r="E263" s="186"/>
      <c r="F263" s="186"/>
    </row>
    <row r="264" spans="1:13" customFormat="1">
      <c r="A264" s="455"/>
      <c r="B264" s="204"/>
      <c r="C264" s="185"/>
      <c r="D264" s="185"/>
      <c r="E264" s="185"/>
      <c r="F264" s="185"/>
    </row>
    <row r="265" spans="1:13" customFormat="1">
      <c r="A265" s="455"/>
      <c r="G265" s="205"/>
    </row>
    <row r="266" spans="1:13" customFormat="1">
      <c r="A266" s="455"/>
      <c r="G266" s="205"/>
    </row>
    <row r="267" spans="1:13" customFormat="1">
      <c r="A267" s="455"/>
      <c r="B267" s="204"/>
      <c r="C267" s="205"/>
      <c r="D267" s="205"/>
      <c r="E267" s="205"/>
      <c r="F267" s="205"/>
    </row>
    <row r="268" spans="1:13" customFormat="1">
      <c r="A268" s="455"/>
      <c r="B268" s="204"/>
      <c r="C268" s="205"/>
      <c r="D268" s="205"/>
      <c r="E268" s="205"/>
      <c r="F268" s="205"/>
      <c r="L268" s="207"/>
    </row>
    <row r="269" spans="1:13" customFormat="1">
      <c r="A269" s="455"/>
      <c r="B269" s="204"/>
      <c r="K269" s="204"/>
    </row>
    <row r="270" spans="1:13" customFormat="1">
      <c r="A270" s="455"/>
      <c r="K270" s="204"/>
      <c r="L270" s="208"/>
      <c r="M270" s="209"/>
    </row>
    <row r="271" spans="1:13" customFormat="1">
      <c r="A271" s="455"/>
      <c r="C271" s="210"/>
      <c r="K271" s="204"/>
      <c r="L271" s="208"/>
      <c r="M271" s="209"/>
    </row>
    <row r="272" spans="1:13" customFormat="1">
      <c r="A272" s="455"/>
      <c r="B272" s="204"/>
      <c r="C272" s="210"/>
    </row>
    <row r="273" spans="1:12" customFormat="1">
      <c r="A273" s="455"/>
      <c r="B273" s="204"/>
      <c r="C273" s="185"/>
      <c r="D273" s="170"/>
    </row>
    <row r="274" spans="1:12" customFormat="1">
      <c r="A274" s="452"/>
    </row>
    <row r="275" spans="1:12" customFormat="1">
      <c r="A275" s="455"/>
    </row>
    <row r="276" spans="1:12" customFormat="1">
      <c r="A276" s="455"/>
      <c r="B276" s="161"/>
      <c r="C276" s="205"/>
      <c r="E276" s="173"/>
    </row>
    <row r="277" spans="1:12" customFormat="1">
      <c r="A277" s="455"/>
      <c r="C277" s="205"/>
      <c r="E277" s="173"/>
    </row>
    <row r="278" spans="1:12" customFormat="1">
      <c r="A278" s="455"/>
      <c r="B278" s="167"/>
    </row>
    <row r="279" spans="1:12" customFormat="1">
      <c r="A279" s="455"/>
      <c r="B279" s="167"/>
      <c r="C279" s="190"/>
      <c r="E279" s="190"/>
    </row>
    <row r="280" spans="1:12" customFormat="1">
      <c r="A280" s="455"/>
      <c r="B280" s="167"/>
      <c r="C280" s="190"/>
      <c r="E280" s="190"/>
      <c r="H280" s="162"/>
      <c r="I280" s="162"/>
      <c r="J280" s="162"/>
      <c r="K280" s="162"/>
      <c r="L280" s="162"/>
    </row>
    <row r="281" spans="1:12" customFormat="1">
      <c r="A281" s="455"/>
      <c r="C281" s="190"/>
      <c r="E281" s="190"/>
    </row>
    <row r="282" spans="1:12" customFormat="1">
      <c r="A282" s="455"/>
      <c r="C282" s="158"/>
      <c r="E282" s="211"/>
      <c r="H282" s="186"/>
      <c r="I282" s="186"/>
      <c r="J282" s="186"/>
      <c r="K282" s="212"/>
      <c r="L282" s="212"/>
    </row>
    <row r="283" spans="1:12" customFormat="1">
      <c r="A283" s="455"/>
      <c r="C283" s="213"/>
      <c r="E283" s="190"/>
      <c r="H283" s="186"/>
      <c r="I283" s="186"/>
      <c r="J283" s="186"/>
      <c r="K283" s="212"/>
      <c r="L283" s="212"/>
    </row>
    <row r="284" spans="1:12" customFormat="1">
      <c r="A284" s="455"/>
      <c r="B284" s="204"/>
      <c r="C284" s="213"/>
      <c r="E284" s="190"/>
      <c r="G284" s="162"/>
      <c r="H284" s="185"/>
      <c r="I284" s="185"/>
      <c r="J284" s="185"/>
      <c r="K284" s="185"/>
      <c r="L284" s="185"/>
    </row>
    <row r="285" spans="1:12" customFormat="1">
      <c r="A285" s="455"/>
      <c r="B285" s="204"/>
      <c r="C285" s="190"/>
      <c r="E285" s="190"/>
      <c r="H285" s="185"/>
      <c r="I285" s="185"/>
      <c r="J285" s="185"/>
      <c r="K285" s="185"/>
      <c r="L285" s="185"/>
    </row>
    <row r="286" spans="1:12" customFormat="1">
      <c r="A286" s="455"/>
      <c r="B286" s="204"/>
      <c r="C286" s="162"/>
      <c r="D286" s="162"/>
      <c r="E286" s="162"/>
      <c r="F286" s="162"/>
      <c r="G286" s="186"/>
      <c r="H286" s="185"/>
      <c r="I286" s="185"/>
      <c r="J286" s="185"/>
      <c r="K286" s="185"/>
      <c r="L286" s="185"/>
    </row>
    <row r="287" spans="1:12" customFormat="1">
      <c r="A287" s="455"/>
      <c r="B287" s="204"/>
      <c r="G287" s="186"/>
    </row>
    <row r="288" spans="1:12" customFormat="1">
      <c r="A288" s="455"/>
      <c r="B288" s="204"/>
      <c r="C288" s="186"/>
      <c r="D288" s="186"/>
      <c r="E288" s="212"/>
      <c r="F288" s="186"/>
      <c r="G288" s="185"/>
    </row>
    <row r="289" spans="1:12" customFormat="1">
      <c r="A289" s="455"/>
      <c r="B289" s="204"/>
      <c r="C289" s="186"/>
      <c r="D289" s="186"/>
      <c r="E289" s="212"/>
      <c r="F289" s="186"/>
      <c r="G289" s="185"/>
    </row>
    <row r="290" spans="1:12" customFormat="1">
      <c r="A290" s="455"/>
      <c r="B290" s="204"/>
      <c r="C290" s="185"/>
      <c r="D290" s="185"/>
      <c r="E290" s="185"/>
      <c r="F290" s="185"/>
      <c r="G290" s="185"/>
      <c r="H290" s="162"/>
      <c r="I290" s="162"/>
      <c r="J290" s="162"/>
      <c r="K290" s="162"/>
      <c r="L290" s="162"/>
    </row>
    <row r="291" spans="1:12" customFormat="1">
      <c r="A291" s="455"/>
      <c r="B291" s="204"/>
      <c r="C291" s="185"/>
      <c r="D291" s="185"/>
      <c r="E291" s="185"/>
      <c r="F291" s="185"/>
    </row>
    <row r="292" spans="1:12" customFormat="1">
      <c r="A292" s="455"/>
      <c r="C292" s="185"/>
      <c r="D292" s="185"/>
      <c r="E292" s="185"/>
      <c r="F292" s="185"/>
      <c r="H292" s="186"/>
      <c r="I292" s="186"/>
      <c r="J292" s="186"/>
      <c r="K292" s="186"/>
      <c r="L292" s="186"/>
    </row>
    <row r="293" spans="1:12" customFormat="1">
      <c r="A293" s="455"/>
      <c r="C293" s="185"/>
      <c r="E293" s="190"/>
      <c r="H293" s="186"/>
      <c r="I293" s="186"/>
      <c r="J293" s="186"/>
      <c r="K293" s="186"/>
      <c r="L293" s="186"/>
    </row>
    <row r="294" spans="1:12" customFormat="1">
      <c r="A294" s="455"/>
      <c r="B294" s="204"/>
      <c r="C294" s="185"/>
      <c r="E294" s="190"/>
      <c r="G294" s="162"/>
      <c r="H294" s="185"/>
      <c r="I294" s="185"/>
      <c r="J294" s="186"/>
      <c r="K294" s="186"/>
      <c r="L294" s="186"/>
    </row>
    <row r="295" spans="1:12" customFormat="1">
      <c r="A295" s="455"/>
      <c r="B295" s="204"/>
      <c r="C295" s="190"/>
      <c r="E295" s="190"/>
      <c r="H295" s="190"/>
      <c r="I295" s="190"/>
      <c r="J295" s="190"/>
      <c r="K295" s="190"/>
      <c r="L295" s="190"/>
    </row>
    <row r="296" spans="1:12" customFormat="1">
      <c r="A296" s="455"/>
      <c r="B296" s="204"/>
      <c r="C296" s="162"/>
      <c r="D296" s="162"/>
      <c r="E296" s="162"/>
      <c r="F296" s="162"/>
      <c r="G296" s="186"/>
    </row>
    <row r="297" spans="1:12" customFormat="1">
      <c r="A297" s="455"/>
      <c r="G297" s="186"/>
    </row>
    <row r="298" spans="1:12" customFormat="1">
      <c r="A298" s="455"/>
      <c r="B298" s="204"/>
      <c r="C298" s="186"/>
      <c r="D298" s="186"/>
      <c r="E298" s="186"/>
      <c r="F298" s="186"/>
      <c r="G298" s="185"/>
    </row>
    <row r="299" spans="1:12" customFormat="1">
      <c r="A299" s="455"/>
      <c r="B299" s="204"/>
      <c r="C299" s="186"/>
      <c r="D299" s="186"/>
      <c r="E299" s="186"/>
      <c r="F299" s="186"/>
      <c r="G299" s="190"/>
    </row>
    <row r="300" spans="1:12" customFormat="1">
      <c r="A300" s="453"/>
      <c r="B300" s="204"/>
      <c r="C300" s="185"/>
      <c r="D300" s="185"/>
      <c r="E300" s="185"/>
      <c r="F300" s="185"/>
    </row>
    <row r="301" spans="1:12" customFormat="1">
      <c r="A301" s="453"/>
      <c r="C301" s="190"/>
      <c r="D301" s="190"/>
      <c r="E301" s="190"/>
      <c r="F301" s="190"/>
    </row>
    <row r="302" spans="1:12">
      <c r="B302" s="100"/>
      <c r="C302" s="214"/>
    </row>
    <row r="303" spans="1:12">
      <c r="C303" s="214"/>
    </row>
    <row r="304" spans="1:12">
      <c r="A304" s="452"/>
      <c r="C304" s="214"/>
    </row>
    <row r="305" spans="1:10">
      <c r="C305" s="215"/>
      <c r="E305" s="215"/>
    </row>
    <row r="306" spans="1:10">
      <c r="B306" s="12"/>
      <c r="C306" s="214"/>
    </row>
    <row r="307" spans="1:10">
      <c r="B307" s="13"/>
    </row>
    <row r="308" spans="1:10">
      <c r="B308" s="42"/>
    </row>
    <row r="309" spans="1:10">
      <c r="B309" s="42"/>
    </row>
    <row r="310" spans="1:10" hidden="1" outlineLevel="1">
      <c r="A310" s="462"/>
      <c r="B310" s="42"/>
      <c r="C310" s="114"/>
    </row>
    <row r="311" spans="1:10" hidden="1" outlineLevel="1">
      <c r="A311" s="452"/>
    </row>
    <row r="312" spans="1:10" hidden="1" outlineLevel="1">
      <c r="C312" s="43"/>
    </row>
    <row r="313" spans="1:10" hidden="1" outlineLevel="1">
      <c r="A313" s="330"/>
      <c r="B313" s="12"/>
      <c r="C313" s="217"/>
    </row>
    <row r="314" spans="1:10" hidden="1" outlineLevel="1">
      <c r="A314" s="330"/>
      <c r="C314" s="43"/>
    </row>
    <row r="315" spans="1:10" hidden="1" outlineLevel="1">
      <c r="A315" s="330"/>
    </row>
    <row r="316" spans="1:10" hidden="1" outlineLevel="1">
      <c r="A316" s="330"/>
    </row>
    <row r="317" spans="1:10" hidden="1" outlineLevel="1">
      <c r="A317" s="330"/>
    </row>
    <row r="318" spans="1:10" hidden="1" outlineLevel="1">
      <c r="A318" s="330"/>
    </row>
    <row r="319" spans="1:10" hidden="1" outlineLevel="1">
      <c r="A319" s="330"/>
      <c r="C319" s="218"/>
      <c r="D319" s="218"/>
      <c r="E319" s="218"/>
      <c r="G319" s="130"/>
      <c r="H319" s="7"/>
      <c r="I319" s="7"/>
      <c r="J319" s="7"/>
    </row>
    <row r="320" spans="1:10" hidden="1" outlineLevel="1">
      <c r="A320" s="330"/>
      <c r="C320" s="219"/>
      <c r="D320" s="219"/>
      <c r="E320" s="219"/>
      <c r="H320" s="220"/>
      <c r="I320" s="220"/>
      <c r="J320" s="220"/>
    </row>
    <row r="321" spans="1:10" hidden="1" outlineLevel="1">
      <c r="A321" s="330"/>
      <c r="C321" s="130"/>
      <c r="D321" s="130"/>
      <c r="E321" s="130"/>
      <c r="F321" s="130"/>
      <c r="H321" s="43"/>
      <c r="I321" s="43"/>
      <c r="J321" s="43"/>
    </row>
    <row r="322" spans="1:10" hidden="1" outlineLevel="1">
      <c r="A322" s="330"/>
    </row>
    <row r="323" spans="1:10" hidden="1" outlineLevel="1">
      <c r="A323" s="330"/>
      <c r="C323" s="130"/>
      <c r="D323" s="130"/>
      <c r="E323" s="130"/>
      <c r="F323" s="130"/>
      <c r="G323" s="7"/>
    </row>
    <row r="324" spans="1:10" hidden="1" outlineLevel="1">
      <c r="A324" s="330"/>
      <c r="G324" s="220"/>
    </row>
    <row r="325" spans="1:10" hidden="1" outlineLevel="1">
      <c r="A325" s="330"/>
      <c r="C325" s="7"/>
      <c r="D325" s="7"/>
      <c r="E325" s="7"/>
      <c r="F325" s="7"/>
      <c r="G325" s="43"/>
    </row>
    <row r="326" spans="1:10" hidden="1" outlineLevel="1">
      <c r="A326" s="330"/>
      <c r="C326" s="220"/>
      <c r="D326" s="220"/>
      <c r="E326" s="220"/>
      <c r="F326" s="220"/>
    </row>
    <row r="327" spans="1:10" hidden="1" outlineLevel="1">
      <c r="A327" s="330"/>
      <c r="C327" s="43"/>
      <c r="D327" s="43"/>
      <c r="E327" s="43"/>
      <c r="F327" s="43"/>
    </row>
    <row r="328" spans="1:10" hidden="1" outlineLevel="1">
      <c r="A328" s="330"/>
    </row>
    <row r="329" spans="1:10" hidden="1" outlineLevel="1"/>
    <row r="330" spans="1:10" hidden="1" outlineLevel="1"/>
    <row r="331" spans="1:10" hidden="1" outlineLevel="1">
      <c r="C331" s="7"/>
      <c r="D331" s="7"/>
    </row>
    <row r="332" spans="1:10" hidden="1" outlineLevel="1">
      <c r="C332" s="130"/>
      <c r="D332" s="130"/>
    </row>
    <row r="333" spans="1:10" hidden="1" outlineLevel="1">
      <c r="C333" s="221"/>
      <c r="D333" s="221"/>
    </row>
    <row r="334" spans="1:10" hidden="1" outlineLevel="1">
      <c r="C334" s="130"/>
      <c r="D334" s="130"/>
    </row>
    <row r="335" spans="1:10" hidden="1" outlineLevel="1">
      <c r="A335" s="452"/>
      <c r="C335" s="130"/>
      <c r="D335" s="130"/>
    </row>
    <row r="336" spans="1:10" hidden="1" outlineLevel="1">
      <c r="C336" s="221"/>
      <c r="D336" s="221"/>
    </row>
    <row r="337" spans="1:12" hidden="1" outlineLevel="1">
      <c r="B337" s="12"/>
      <c r="H337" s="7"/>
      <c r="I337" s="7"/>
      <c r="J337" s="7"/>
      <c r="K337" s="7"/>
      <c r="L337" s="7"/>
    </row>
    <row r="338" spans="1:12" hidden="1" outlineLevel="1">
      <c r="C338" s="221"/>
      <c r="D338" s="221"/>
      <c r="H338" s="7"/>
      <c r="I338" s="7"/>
      <c r="J338" s="7"/>
      <c r="K338" s="7"/>
      <c r="L338" s="7"/>
    </row>
    <row r="339" spans="1:12" hidden="1" outlineLevel="1"/>
    <row r="340" spans="1:12" hidden="1" outlineLevel="1">
      <c r="C340" s="221"/>
      <c r="H340" s="130"/>
      <c r="I340" s="130"/>
      <c r="J340" s="130"/>
    </row>
    <row r="341" spans="1:12" hidden="1" outlineLevel="1">
      <c r="B341" s="42"/>
      <c r="G341" s="7"/>
    </row>
    <row r="342" spans="1:12" hidden="1" outlineLevel="1">
      <c r="A342" s="330"/>
      <c r="B342" s="42"/>
      <c r="G342" s="7"/>
    </row>
    <row r="343" spans="1:12" hidden="1" outlineLevel="1">
      <c r="A343" s="330"/>
      <c r="B343" s="42"/>
      <c r="C343" s="7"/>
      <c r="D343" s="7"/>
      <c r="E343" s="7"/>
      <c r="F343" s="7"/>
    </row>
    <row r="344" spans="1:12" hidden="1" outlineLevel="1">
      <c r="A344" s="330"/>
      <c r="B344" s="42"/>
      <c r="C344" s="7"/>
      <c r="D344" s="7"/>
      <c r="E344" s="7"/>
      <c r="F344" s="7"/>
      <c r="G344" s="130"/>
    </row>
    <row r="345" spans="1:12" hidden="1" outlineLevel="1">
      <c r="A345" s="330"/>
      <c r="B345" s="42"/>
    </row>
    <row r="346" spans="1:12" hidden="1" outlineLevel="1">
      <c r="A346" s="330"/>
      <c r="B346" s="42"/>
      <c r="C346" s="130"/>
      <c r="D346" s="130"/>
      <c r="E346" s="130"/>
      <c r="F346" s="130"/>
    </row>
    <row r="347" spans="1:12" hidden="1" outlineLevel="1">
      <c r="A347" s="330"/>
      <c r="B347" s="42"/>
    </row>
    <row r="348" spans="1:12" hidden="1" outlineLevel="1">
      <c r="A348" s="330"/>
      <c r="B348" s="42"/>
      <c r="C348" s="7"/>
      <c r="D348" s="7"/>
    </row>
    <row r="349" spans="1:12" hidden="1" outlineLevel="1">
      <c r="A349" s="330"/>
      <c r="B349" s="42"/>
      <c r="C349" s="95"/>
      <c r="D349" s="95"/>
    </row>
    <row r="350" spans="1:12" hidden="1" outlineLevel="1">
      <c r="A350" s="330"/>
      <c r="B350" s="42"/>
      <c r="C350" s="221"/>
      <c r="D350" s="221"/>
    </row>
    <row r="351" spans="1:12" hidden="1" outlineLevel="1">
      <c r="A351" s="330"/>
      <c r="B351" s="42"/>
      <c r="C351" s="222"/>
      <c r="D351" s="222"/>
    </row>
    <row r="352" spans="1:12" hidden="1" outlineLevel="1">
      <c r="A352" s="330"/>
      <c r="B352" s="42"/>
      <c r="H352" s="7"/>
      <c r="I352" s="7"/>
      <c r="J352" s="7"/>
      <c r="K352" s="7"/>
      <c r="L352" s="7"/>
    </row>
    <row r="353" spans="1:12" hidden="1" outlineLevel="1">
      <c r="A353" s="330"/>
      <c r="B353" s="42"/>
      <c r="H353" s="7"/>
      <c r="I353" s="7"/>
      <c r="J353" s="7"/>
      <c r="K353" s="7"/>
      <c r="L353" s="7"/>
    </row>
    <row r="354" spans="1:12" hidden="1" outlineLevel="1">
      <c r="A354" s="330"/>
      <c r="C354" s="130"/>
      <c r="H354" s="95"/>
      <c r="I354" s="95"/>
      <c r="J354" s="95"/>
      <c r="K354" s="95"/>
      <c r="L354" s="95"/>
    </row>
    <row r="355" spans="1:12" hidden="1" outlineLevel="1">
      <c r="A355" s="330"/>
      <c r="C355" s="130"/>
      <c r="H355" s="130"/>
      <c r="I355" s="130"/>
      <c r="J355" s="130"/>
      <c r="K355" s="130"/>
      <c r="L355" s="130"/>
    </row>
    <row r="356" spans="1:12" hidden="1" outlineLevel="1">
      <c r="A356" s="330"/>
      <c r="B356" s="42"/>
      <c r="C356" s="130"/>
      <c r="G356" s="7"/>
      <c r="H356" s="130"/>
      <c r="I356" s="130"/>
      <c r="J356" s="130"/>
      <c r="K356" s="130"/>
      <c r="L356" s="130"/>
    </row>
    <row r="357" spans="1:12" hidden="1" outlineLevel="1">
      <c r="A357" s="330"/>
      <c r="B357" s="42"/>
      <c r="C357" s="130"/>
      <c r="G357" s="7"/>
      <c r="H357" s="130"/>
      <c r="I357" s="130"/>
      <c r="J357" s="130"/>
      <c r="K357" s="130"/>
      <c r="L357" s="130"/>
    </row>
    <row r="358" spans="1:12" hidden="1" outlineLevel="1">
      <c r="B358" s="42"/>
      <c r="C358" s="7"/>
      <c r="D358" s="7"/>
      <c r="E358" s="7"/>
      <c r="F358" s="7"/>
      <c r="G358" s="95"/>
      <c r="H358" s="130"/>
      <c r="I358" s="130"/>
      <c r="J358" s="130"/>
      <c r="K358" s="130"/>
      <c r="L358" s="130"/>
    </row>
    <row r="359" spans="1:12" hidden="1" outlineLevel="1">
      <c r="B359" s="42"/>
      <c r="C359" s="7"/>
      <c r="D359" s="7"/>
      <c r="E359" s="7"/>
      <c r="F359" s="7"/>
      <c r="G359" s="130"/>
      <c r="H359" s="130"/>
      <c r="I359" s="130"/>
      <c r="J359" s="130"/>
      <c r="K359" s="130"/>
      <c r="L359" s="130"/>
    </row>
    <row r="360" spans="1:12" hidden="1" outlineLevel="1">
      <c r="B360" s="42"/>
      <c r="C360" s="95"/>
      <c r="D360" s="95"/>
      <c r="E360" s="95"/>
      <c r="F360" s="95"/>
      <c r="G360" s="130"/>
      <c r="H360" s="130"/>
      <c r="I360" s="130"/>
      <c r="J360" s="130"/>
      <c r="K360" s="130"/>
      <c r="L360" s="130"/>
    </row>
    <row r="361" spans="1:12" hidden="1" outlineLevel="1">
      <c r="B361" s="42"/>
      <c r="C361" s="130"/>
      <c r="D361" s="130"/>
      <c r="E361" s="130"/>
      <c r="F361" s="130"/>
      <c r="G361" s="130"/>
    </row>
    <row r="362" spans="1:12" hidden="1" outlineLevel="1">
      <c r="B362" s="42"/>
      <c r="C362" s="130"/>
      <c r="D362" s="130"/>
      <c r="E362" s="130"/>
      <c r="F362" s="130"/>
      <c r="G362" s="130"/>
    </row>
    <row r="363" spans="1:12" hidden="1" outlineLevel="1">
      <c r="B363" s="42"/>
      <c r="C363" s="130"/>
      <c r="D363" s="130"/>
      <c r="E363" s="130"/>
      <c r="F363" s="130"/>
      <c r="G363" s="130"/>
    </row>
    <row r="364" spans="1:12" hidden="1" outlineLevel="1">
      <c r="B364" s="42"/>
      <c r="C364" s="130"/>
      <c r="D364" s="130"/>
      <c r="E364" s="130"/>
      <c r="F364" s="130"/>
      <c r="G364" s="130"/>
    </row>
    <row r="365" spans="1:12" hidden="1" outlineLevel="1">
      <c r="C365" s="130"/>
      <c r="D365" s="130"/>
      <c r="E365" s="130"/>
      <c r="F365" s="130"/>
    </row>
    <row r="366" spans="1:12" hidden="1" outlineLevel="1">
      <c r="B366" s="100"/>
      <c r="C366" s="130"/>
      <c r="D366" s="130"/>
      <c r="E366" s="130"/>
      <c r="F366" s="130"/>
    </row>
    <row r="367" spans="1:12" hidden="1" outlineLevel="1">
      <c r="C367" s="130"/>
    </row>
    <row r="368" spans="1:12" hidden="1" outlineLevel="1">
      <c r="C368" s="130"/>
    </row>
    <row r="369" spans="1:4" hidden="1" outlineLevel="1">
      <c r="A369" s="463"/>
    </row>
    <row r="370" spans="1:4" hidden="1" outlineLevel="1">
      <c r="A370" s="464"/>
      <c r="C370" s="214"/>
    </row>
    <row r="371" spans="1:4" hidden="1" outlineLevel="1">
      <c r="A371" s="464"/>
    </row>
    <row r="372" spans="1:4" hidden="1" outlineLevel="1">
      <c r="A372" s="464"/>
    </row>
    <row r="373" spans="1:4" hidden="1" outlineLevel="1">
      <c r="A373" s="464"/>
    </row>
    <row r="374" spans="1:4" hidden="1" outlineLevel="1">
      <c r="A374" s="464"/>
    </row>
    <row r="375" spans="1:4" hidden="1" outlineLevel="1">
      <c r="A375" s="464"/>
    </row>
    <row r="376" spans="1:4" hidden="1" outlineLevel="1">
      <c r="C376" s="224"/>
    </row>
    <row r="377" spans="1:4" hidden="1" outlineLevel="1">
      <c r="C377" s="225"/>
    </row>
    <row r="378" spans="1:4" hidden="1" outlineLevel="1">
      <c r="A378" s="464"/>
      <c r="C378" s="225"/>
    </row>
    <row r="379" spans="1:4" hidden="1" outlineLevel="1">
      <c r="A379" s="464"/>
      <c r="C379" s="226"/>
      <c r="D379" s="116"/>
    </row>
    <row r="380" spans="1:4" hidden="1" outlineLevel="1">
      <c r="C380" s="98"/>
    </row>
    <row r="381" spans="1:4" hidden="1" outlineLevel="1">
      <c r="A381" s="330"/>
      <c r="C381" s="227"/>
      <c r="D381" s="116"/>
    </row>
    <row r="382" spans="1:4" hidden="1" outlineLevel="1">
      <c r="A382" s="330"/>
    </row>
    <row r="383" spans="1:4" hidden="1" outlineLevel="1">
      <c r="A383" s="330"/>
    </row>
    <row r="384" spans="1:4" hidden="1" outlineLevel="1">
      <c r="A384" s="330"/>
      <c r="C384" s="95"/>
      <c r="D384" s="116"/>
    </row>
    <row r="385" spans="1:4" hidden="1" outlineLevel="1">
      <c r="A385" s="330"/>
      <c r="C385" s="228"/>
      <c r="D385" s="116"/>
    </row>
    <row r="386" spans="1:4" hidden="1" outlineLevel="1">
      <c r="A386" s="330"/>
    </row>
    <row r="387" spans="1:4" collapsed="1">
      <c r="A387" s="330"/>
      <c r="C387" s="229"/>
    </row>
    <row r="388" spans="1:4">
      <c r="A388" s="330"/>
      <c r="C388" s="228"/>
      <c r="D388" s="116"/>
    </row>
    <row r="389" spans="1:4">
      <c r="A389" s="330"/>
    </row>
    <row r="390" spans="1:4">
      <c r="A390" s="330"/>
      <c r="C390" s="228"/>
      <c r="D390" s="116"/>
    </row>
    <row r="391" spans="1:4">
      <c r="C391" s="228"/>
    </row>
    <row r="392" spans="1:4">
      <c r="C392" s="228"/>
    </row>
    <row r="393" spans="1:4">
      <c r="A393" s="330"/>
    </row>
    <row r="394" spans="1:4">
      <c r="A394" s="330"/>
    </row>
    <row r="395" spans="1:4">
      <c r="A395" s="330"/>
    </row>
  </sheetData>
  <mergeCells count="5">
    <mergeCell ref="B5:L5"/>
    <mergeCell ref="F78:G78"/>
    <mergeCell ref="E112:F112"/>
    <mergeCell ref="C113:D113"/>
    <mergeCell ref="C114:D114"/>
  </mergeCells>
  <hyperlinks>
    <hyperlink ref="P10" r:id="rId1" display="\\njnwkfp06\PSE&amp;G\Customer Operations\CS\regulato\2015 BGS-RSCP for 2016-2017\2015-07 Initial Filing\BGS-FP Initial Filing Supporting Documents\Table1&amp;2 - OnPeak%\Table 1 - Time period usage for 2016-17 Spreadsheet.xls" xr:uid="{F1FB9558-5516-439E-8DA8-FF9DB8AA0838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altText="Run Scenario">
                <anchor>
                  <from>
                    <xdr:col>5</xdr:col>
                    <xdr:colOff>28575</xdr:colOff>
                    <xdr:row>0</xdr:row>
                    <xdr:rowOff>19050</xdr:rowOff>
                  </from>
                  <to>
                    <xdr:col>6</xdr:col>
                    <xdr:colOff>238125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FDB5-2E98-40D8-887F-F7C3E3CD9A16}">
  <sheetPr>
    <tabColor theme="1"/>
  </sheetPr>
  <dimension ref="A1:AA94"/>
  <sheetViews>
    <sheetView topLeftCell="A34" workbookViewId="0">
      <selection activeCell="J92" sqref="J92"/>
    </sheetView>
  </sheetViews>
  <sheetFormatPr defaultRowHeight="13" outlineLevelRow="1"/>
  <cols>
    <col min="1" max="1" width="14.26953125" customWidth="1"/>
    <col min="2" max="2" width="13.1328125" bestFit="1" customWidth="1"/>
    <col min="3" max="3" width="9.40625" bestFit="1" customWidth="1"/>
    <col min="4" max="4" width="10.40625" bestFit="1" customWidth="1"/>
    <col min="5" max="6" width="9" bestFit="1" customWidth="1"/>
    <col min="7" max="7" width="9.1328125" bestFit="1" customWidth="1"/>
    <col min="8" max="8" width="9.40625" bestFit="1" customWidth="1"/>
    <col min="9" max="9" width="10.40625" bestFit="1" customWidth="1"/>
    <col min="10" max="11" width="11.40625" bestFit="1" customWidth="1"/>
  </cols>
  <sheetData>
    <row r="1" spans="1:12" s="1" customFormat="1">
      <c r="A1" s="1" t="s">
        <v>435</v>
      </c>
      <c r="F1" s="479"/>
    </row>
    <row r="2" spans="1:12" s="1" customFormat="1">
      <c r="A2" s="1" t="s">
        <v>436</v>
      </c>
      <c r="F2" s="479"/>
    </row>
    <row r="3" spans="1:12" s="1" customFormat="1">
      <c r="A3" s="1" t="s">
        <v>437</v>
      </c>
      <c r="F3" s="479"/>
    </row>
    <row r="4" spans="1:12" s="1" customFormat="1">
      <c r="A4" s="1" t="s">
        <v>438</v>
      </c>
      <c r="F4" s="479"/>
    </row>
    <row r="5" spans="1:12" s="1" customFormat="1">
      <c r="F5" s="479"/>
    </row>
    <row r="6" spans="1:12" s="474" customFormat="1">
      <c r="A6" s="474" t="s">
        <v>440</v>
      </c>
      <c r="B6" s="474" t="s">
        <v>11</v>
      </c>
      <c r="C6" s="474" t="s">
        <v>12</v>
      </c>
      <c r="D6" s="474" t="s">
        <v>13</v>
      </c>
      <c r="E6" s="474" t="s">
        <v>14</v>
      </c>
      <c r="F6" s="480" t="s">
        <v>15</v>
      </c>
      <c r="G6" s="474" t="s">
        <v>16</v>
      </c>
      <c r="H6" s="474" t="s">
        <v>17</v>
      </c>
      <c r="I6" s="474" t="s">
        <v>18</v>
      </c>
      <c r="J6" s="474" t="s">
        <v>19</v>
      </c>
      <c r="K6" s="474" t="s">
        <v>20</v>
      </c>
    </row>
    <row r="7" spans="1:12" s="1" customFormat="1" outlineLevel="1">
      <c r="A7" s="1" t="s">
        <v>279</v>
      </c>
      <c r="F7" s="479"/>
    </row>
    <row r="8" spans="1:12" s="1" customFormat="1" outlineLevel="1">
      <c r="A8" s="1" t="s">
        <v>50</v>
      </c>
      <c r="B8" s="473">
        <v>580534.21804060845</v>
      </c>
      <c r="C8" s="473">
        <v>1407.6910357266245</v>
      </c>
      <c r="D8" s="473">
        <v>8077.1003443704303</v>
      </c>
      <c r="E8" s="473">
        <v>4.5700615299653302</v>
      </c>
      <c r="F8" s="479">
        <v>6.1732229905128416E-2</v>
      </c>
      <c r="G8" s="473">
        <v>184.24134902729463</v>
      </c>
      <c r="H8" s="473">
        <v>2372.0597186825134</v>
      </c>
      <c r="I8" s="473">
        <v>5097.4995682608051</v>
      </c>
      <c r="J8" s="473">
        <v>206192.93479007331</v>
      </c>
      <c r="K8" s="473">
        <v>161154.86593761423</v>
      </c>
      <c r="L8" s="473"/>
    </row>
    <row r="9" spans="1:12" s="1" customFormat="1" outlineLevel="1">
      <c r="A9" s="1" t="s">
        <v>51</v>
      </c>
      <c r="B9" s="473">
        <v>826434.46626283589</v>
      </c>
      <c r="C9" s="473">
        <v>5270.6215915610574</v>
      </c>
      <c r="D9" s="473">
        <v>9944.3271841206861</v>
      </c>
      <c r="E9" s="473">
        <v>12.135902343937651</v>
      </c>
      <c r="F9" s="479">
        <v>0.51022610205708496</v>
      </c>
      <c r="G9" s="473">
        <v>646.01061054401544</v>
      </c>
      <c r="H9" s="473">
        <v>7024.3747168075342</v>
      </c>
      <c r="I9" s="473">
        <v>15818.26313006188</v>
      </c>
      <c r="J9" s="473">
        <v>380552.72412127483</v>
      </c>
      <c r="K9" s="473">
        <v>300762.71768044331</v>
      </c>
      <c r="L9" s="473"/>
    </row>
    <row r="10" spans="1:12" s="1" customFormat="1" outlineLevel="1">
      <c r="A10" s="1" t="s">
        <v>116</v>
      </c>
      <c r="B10" s="473">
        <v>1406968.6843034443</v>
      </c>
      <c r="C10" s="473">
        <v>6678.3126272876816</v>
      </c>
      <c r="D10" s="473">
        <v>18021.427528491116</v>
      </c>
      <c r="E10" s="473">
        <v>16.705963873902981</v>
      </c>
      <c r="F10" s="479">
        <v>0.57195833196221335</v>
      </c>
      <c r="G10" s="473">
        <v>830.25195957131007</v>
      </c>
      <c r="H10" s="473">
        <v>9396.4344354900477</v>
      </c>
      <c r="I10" s="473">
        <v>20915.762698322684</v>
      </c>
      <c r="J10" s="473">
        <v>586745.65891134809</v>
      </c>
      <c r="K10" s="473">
        <v>461917.58361805754</v>
      </c>
      <c r="L10" s="473"/>
    </row>
    <row r="11" spans="1:12" s="1" customFormat="1" outlineLevel="1">
      <c r="B11" s="473"/>
      <c r="C11" s="473"/>
      <c r="D11" s="473"/>
      <c r="E11" s="473"/>
      <c r="F11" s="479"/>
      <c r="G11" s="473"/>
      <c r="H11" s="473"/>
      <c r="I11" s="473"/>
      <c r="J11" s="473"/>
      <c r="K11" s="473"/>
      <c r="L11" s="473"/>
    </row>
    <row r="12" spans="1:12" s="1" customFormat="1">
      <c r="A12" s="1" t="s">
        <v>443</v>
      </c>
      <c r="F12" s="479"/>
      <c r="L12" s="473"/>
    </row>
    <row r="13" spans="1:12" s="1" customFormat="1">
      <c r="A13" s="42" t="s">
        <v>50</v>
      </c>
      <c r="B13" s="249">
        <v>0.41261346078076833</v>
      </c>
      <c r="C13" s="249">
        <v>0.21078543552674947</v>
      </c>
      <c r="D13" s="249">
        <v>0.44819425828508175</v>
      </c>
      <c r="E13" s="249">
        <v>0.27355868625481683</v>
      </c>
      <c r="F13" s="481">
        <v>0.10793134124533879</v>
      </c>
      <c r="G13" s="249">
        <v>0.2219101646233094</v>
      </c>
      <c r="H13" s="249">
        <v>0.25244253391726079</v>
      </c>
      <c r="I13" s="249">
        <v>0.24371569145167216</v>
      </c>
      <c r="J13" s="249">
        <v>0.35141791278463841</v>
      </c>
      <c r="K13" s="249">
        <v>0.34888229340684113</v>
      </c>
      <c r="L13" s="473"/>
    </row>
    <row r="14" spans="1:12" s="1" customFormat="1">
      <c r="A14" s="42" t="s">
        <v>51</v>
      </c>
      <c r="B14" s="249">
        <v>0.58738653921923167</v>
      </c>
      <c r="C14" s="249">
        <v>0.78921456447325056</v>
      </c>
      <c r="D14" s="249">
        <v>0.55180574171491825</v>
      </c>
      <c r="E14" s="249">
        <v>0.72644131374518317</v>
      </c>
      <c r="F14" s="481">
        <v>0.89206865875466124</v>
      </c>
      <c r="G14" s="249">
        <v>0.77808983537669063</v>
      </c>
      <c r="H14" s="249">
        <v>0.74755746608273921</v>
      </c>
      <c r="I14" s="249">
        <v>0.75628430854832784</v>
      </c>
      <c r="J14" s="249">
        <v>0.6485820872153617</v>
      </c>
      <c r="K14" s="249">
        <v>0.65111770659315882</v>
      </c>
      <c r="L14" s="473"/>
    </row>
    <row r="15" spans="1:12" s="1" customFormat="1">
      <c r="B15" s="473"/>
      <c r="C15" s="473"/>
      <c r="D15" s="473"/>
      <c r="E15" s="473"/>
      <c r="F15" s="479"/>
      <c r="G15" s="473"/>
      <c r="H15" s="473"/>
      <c r="I15" s="473"/>
      <c r="J15" s="473"/>
      <c r="K15" s="473"/>
      <c r="L15" s="473"/>
    </row>
    <row r="16" spans="1:12" s="475" customFormat="1" outlineLevel="1">
      <c r="A16" s="475" t="s">
        <v>439</v>
      </c>
      <c r="B16" s="476" t="s">
        <v>11</v>
      </c>
      <c r="C16" s="476" t="s">
        <v>12</v>
      </c>
      <c r="D16" s="476" t="s">
        <v>13</v>
      </c>
      <c r="E16" s="476" t="s">
        <v>14</v>
      </c>
      <c r="F16" s="482" t="s">
        <v>15</v>
      </c>
      <c r="G16" s="476" t="s">
        <v>16</v>
      </c>
      <c r="H16" s="476" t="s">
        <v>17</v>
      </c>
      <c r="I16" s="476" t="s">
        <v>18</v>
      </c>
      <c r="J16" s="476" t="s">
        <v>19</v>
      </c>
      <c r="K16" s="476" t="s">
        <v>20</v>
      </c>
      <c r="L16" s="476"/>
    </row>
    <row r="17" spans="1:12" s="1" customFormat="1" outlineLevel="1">
      <c r="A17" s="1" t="s">
        <v>279</v>
      </c>
      <c r="B17" s="473"/>
      <c r="C17" s="473"/>
      <c r="D17" s="473"/>
      <c r="E17" s="473"/>
      <c r="F17" s="479"/>
      <c r="G17" s="473"/>
      <c r="H17" s="473"/>
      <c r="I17" s="473"/>
      <c r="J17" s="473"/>
      <c r="K17" s="473"/>
      <c r="L17" s="473"/>
    </row>
    <row r="18" spans="1:12" s="1" customFormat="1" outlineLevel="1">
      <c r="A18" s="1" t="s">
        <v>50</v>
      </c>
      <c r="B18" s="473">
        <v>464565.59234675346</v>
      </c>
      <c r="C18" s="473">
        <v>1334.2494087306798</v>
      </c>
      <c r="D18" s="473">
        <v>6515.077302915528</v>
      </c>
      <c r="E18" s="473">
        <v>11.243525977804335</v>
      </c>
      <c r="F18" s="479">
        <v>0.22740782966584455</v>
      </c>
      <c r="G18" s="473">
        <v>159.55601976362053</v>
      </c>
      <c r="H18" s="473">
        <v>2269.088697617256</v>
      </c>
      <c r="I18" s="473">
        <v>5216.8602906322112</v>
      </c>
      <c r="J18" s="473">
        <v>185859.49259521655</v>
      </c>
      <c r="K18" s="473">
        <v>143927.82307005409</v>
      </c>
      <c r="L18" s="473"/>
    </row>
    <row r="19" spans="1:12" s="1" customFormat="1" outlineLevel="1">
      <c r="A19" s="1" t="s">
        <v>51</v>
      </c>
      <c r="B19" s="473">
        <v>614169.17732610437</v>
      </c>
      <c r="C19" s="473">
        <v>4839.2332799312289</v>
      </c>
      <c r="D19" s="473">
        <v>7893.244136256335</v>
      </c>
      <c r="E19" s="473">
        <v>30.250628196507556</v>
      </c>
      <c r="F19" s="479">
        <v>0.39176709150258116</v>
      </c>
      <c r="G19" s="473">
        <v>616.57258637754512</v>
      </c>
      <c r="H19" s="473">
        <v>6628.6929222891313</v>
      </c>
      <c r="I19" s="473">
        <v>15170.901626971312</v>
      </c>
      <c r="J19" s="473">
        <v>324567.62761424162</v>
      </c>
      <c r="K19" s="473">
        <v>262388.27422110131</v>
      </c>
      <c r="L19" s="473"/>
    </row>
    <row r="20" spans="1:12" s="1" customFormat="1" outlineLevel="1">
      <c r="A20" s="1" t="s">
        <v>116</v>
      </c>
      <c r="B20" s="473">
        <v>1078734.7696728578</v>
      </c>
      <c r="C20" s="473">
        <v>6173.4826886619085</v>
      </c>
      <c r="D20" s="473">
        <v>14408.321439171863</v>
      </c>
      <c r="E20" s="473">
        <v>41.494154174311888</v>
      </c>
      <c r="F20" s="479">
        <v>0.61917492116842565</v>
      </c>
      <c r="G20" s="473">
        <v>776.12860614116562</v>
      </c>
      <c r="H20" s="473">
        <v>8897.7816199063873</v>
      </c>
      <c r="I20" s="473">
        <v>20387.761917603522</v>
      </c>
      <c r="J20" s="473">
        <v>510427.12020945817</v>
      </c>
      <c r="K20" s="473">
        <v>406316.09729115537</v>
      </c>
      <c r="L20" s="473"/>
    </row>
    <row r="21" spans="1:12" s="1" customFormat="1" outlineLevel="1">
      <c r="B21" s="473"/>
      <c r="C21" s="473"/>
      <c r="D21" s="473"/>
      <c r="E21" s="473"/>
      <c r="F21" s="479"/>
      <c r="G21" s="473"/>
      <c r="H21" s="473"/>
      <c r="I21" s="473"/>
      <c r="J21" s="473"/>
      <c r="K21" s="473"/>
      <c r="L21" s="473"/>
    </row>
    <row r="22" spans="1:12" s="1" customFormat="1">
      <c r="A22" s="1" t="s">
        <v>442</v>
      </c>
      <c r="F22" s="479"/>
      <c r="L22" s="473"/>
    </row>
    <row r="23" spans="1:12" s="1" customFormat="1">
      <c r="A23" s="42" t="s">
        <v>50</v>
      </c>
      <c r="B23" s="249">
        <v>0.43065784603164298</v>
      </c>
      <c r="C23" s="249">
        <v>0.21612588485606915</v>
      </c>
      <c r="D23" s="249">
        <v>0.45217462217375343</v>
      </c>
      <c r="E23" s="249">
        <v>0.27096650604255368</v>
      </c>
      <c r="F23" s="481">
        <v>0.36727558221626666</v>
      </c>
      <c r="G23" s="249">
        <v>0.20557935695337556</v>
      </c>
      <c r="H23" s="249">
        <v>0.25501735090247457</v>
      </c>
      <c r="I23" s="249">
        <v>0.25588195073672054</v>
      </c>
      <c r="J23" s="249">
        <v>0.36412542601370301</v>
      </c>
      <c r="K23" s="249">
        <v>0.35422623920045976</v>
      </c>
      <c r="L23" s="473"/>
    </row>
    <row r="24" spans="1:12" s="1" customFormat="1">
      <c r="A24" s="42" t="s">
        <v>51</v>
      </c>
      <c r="B24" s="249">
        <v>0.56934215396835697</v>
      </c>
      <c r="C24" s="249">
        <v>0.78387411514393091</v>
      </c>
      <c r="D24" s="249">
        <v>0.54782537782624663</v>
      </c>
      <c r="E24" s="249">
        <v>0.72903349395744643</v>
      </c>
      <c r="F24" s="481">
        <v>0.63272441778373345</v>
      </c>
      <c r="G24" s="249">
        <v>0.79442064304662452</v>
      </c>
      <c r="H24" s="249">
        <v>0.74498264909752543</v>
      </c>
      <c r="I24" s="249">
        <v>0.74411804926327951</v>
      </c>
      <c r="J24" s="249">
        <v>0.63587457398629699</v>
      </c>
      <c r="K24" s="249">
        <v>0.6457737607995403</v>
      </c>
      <c r="L24" s="473"/>
    </row>
    <row r="25" spans="1:12" s="1" customFormat="1">
      <c r="B25" s="473"/>
      <c r="C25" s="473"/>
      <c r="D25" s="473"/>
      <c r="E25" s="473"/>
      <c r="F25" s="479"/>
      <c r="G25" s="473"/>
      <c r="H25" s="473"/>
      <c r="I25" s="473"/>
      <c r="J25" s="473"/>
      <c r="K25" s="473"/>
      <c r="L25" s="473"/>
    </row>
    <row r="26" spans="1:12" s="477" customFormat="1" hidden="1" outlineLevel="1">
      <c r="A26" s="477" t="s">
        <v>441</v>
      </c>
      <c r="B26" s="478" t="s">
        <v>11</v>
      </c>
      <c r="C26" s="478" t="s">
        <v>12</v>
      </c>
      <c r="D26" s="478" t="s">
        <v>13</v>
      </c>
      <c r="E26" s="478" t="s">
        <v>14</v>
      </c>
      <c r="F26" s="483" t="s">
        <v>15</v>
      </c>
      <c r="G26" s="478" t="s">
        <v>16</v>
      </c>
      <c r="H26" s="478" t="s">
        <v>17</v>
      </c>
      <c r="I26" s="478" t="s">
        <v>18</v>
      </c>
      <c r="J26" s="478" t="s">
        <v>19</v>
      </c>
      <c r="K26" s="478" t="s">
        <v>20</v>
      </c>
      <c r="L26" s="478"/>
    </row>
    <row r="27" spans="1:12" s="1" customFormat="1" hidden="1" outlineLevel="1">
      <c r="A27" s="1" t="s">
        <v>279</v>
      </c>
      <c r="B27" s="473"/>
      <c r="C27" s="473"/>
      <c r="D27" s="473"/>
      <c r="E27" s="473"/>
      <c r="F27" s="479"/>
      <c r="G27" s="473"/>
      <c r="H27" s="473"/>
      <c r="I27" s="473"/>
      <c r="J27" s="473"/>
      <c r="K27" s="473"/>
      <c r="L27" s="473"/>
    </row>
    <row r="28" spans="1:12" s="1" customFormat="1" hidden="1" outlineLevel="1">
      <c r="A28" s="1" t="s">
        <v>50</v>
      </c>
      <c r="B28" s="473">
        <f>B8-B18</f>
        <v>115968.62569385499</v>
      </c>
      <c r="C28" s="473">
        <f t="shared" ref="C28:K28" si="0">C8-C18</f>
        <v>73.441626995944716</v>
      </c>
      <c r="D28" s="473">
        <f t="shared" si="0"/>
        <v>1562.0230414549023</v>
      </c>
      <c r="E28" s="473">
        <f t="shared" si="0"/>
        <v>-6.6734644478390051</v>
      </c>
      <c r="F28" s="484">
        <f t="shared" si="0"/>
        <v>-0.16567559976071614</v>
      </c>
      <c r="G28" s="473">
        <f t="shared" si="0"/>
        <v>24.685329263674106</v>
      </c>
      <c r="H28" s="473">
        <f t="shared" si="0"/>
        <v>102.97102106525745</v>
      </c>
      <c r="I28" s="473">
        <f t="shared" si="0"/>
        <v>-119.36072237140615</v>
      </c>
      <c r="J28" s="473">
        <f t="shared" si="0"/>
        <v>20333.442194856761</v>
      </c>
      <c r="K28" s="473">
        <f t="shared" si="0"/>
        <v>17227.042867560143</v>
      </c>
      <c r="L28" s="473"/>
    </row>
    <row r="29" spans="1:12" s="1" customFormat="1" hidden="1" outlineLevel="1">
      <c r="A29" s="1" t="s">
        <v>51</v>
      </c>
      <c r="B29" s="473">
        <f>B9-B19</f>
        <v>212265.28893673152</v>
      </c>
      <c r="C29" s="473">
        <f t="shared" ref="C29:K29" si="1">C9-C19</f>
        <v>431.38831162982842</v>
      </c>
      <c r="D29" s="473">
        <f t="shared" si="1"/>
        <v>2051.0830478643511</v>
      </c>
      <c r="E29" s="473">
        <f t="shared" si="1"/>
        <v>-18.114725852569904</v>
      </c>
      <c r="F29" s="484">
        <f t="shared" si="1"/>
        <v>0.11845901055450381</v>
      </c>
      <c r="G29" s="473">
        <f t="shared" si="1"/>
        <v>29.438024166470314</v>
      </c>
      <c r="H29" s="473">
        <f t="shared" si="1"/>
        <v>395.68179451840297</v>
      </c>
      <c r="I29" s="473">
        <f t="shared" si="1"/>
        <v>647.36150309056757</v>
      </c>
      <c r="J29" s="473">
        <f t="shared" si="1"/>
        <v>55985.096507033217</v>
      </c>
      <c r="K29" s="473">
        <f t="shared" si="1"/>
        <v>38374.443459342001</v>
      </c>
      <c r="L29" s="473"/>
    </row>
    <row r="30" spans="1:12" s="1" customFormat="1" hidden="1" outlineLevel="1">
      <c r="A30" s="1" t="s">
        <v>116</v>
      </c>
      <c r="B30" s="473">
        <f>B10-B20</f>
        <v>328233.91463058651</v>
      </c>
      <c r="C30" s="473">
        <f t="shared" ref="C30:K30" si="2">C10-C20</f>
        <v>504.82993862577314</v>
      </c>
      <c r="D30" s="473">
        <f t="shared" si="2"/>
        <v>3613.1060893192534</v>
      </c>
      <c r="E30" s="473">
        <f t="shared" si="2"/>
        <v>-24.788190300408907</v>
      </c>
      <c r="F30" s="484">
        <f t="shared" si="2"/>
        <v>-4.72165892062123E-2</v>
      </c>
      <c r="G30" s="473">
        <f t="shared" si="2"/>
        <v>54.123353430144448</v>
      </c>
      <c r="H30" s="473">
        <f t="shared" si="2"/>
        <v>498.65281558366041</v>
      </c>
      <c r="I30" s="473">
        <f t="shared" si="2"/>
        <v>528.00078071916141</v>
      </c>
      <c r="J30" s="473">
        <f t="shared" si="2"/>
        <v>76318.53870188992</v>
      </c>
      <c r="K30" s="473">
        <f t="shared" si="2"/>
        <v>55601.486326902173</v>
      </c>
    </row>
    <row r="31" spans="1:12" s="1" customFormat="1" hidden="1" outlineLevel="1">
      <c r="E31" s="473"/>
      <c r="F31" s="479"/>
      <c r="G31" s="473"/>
      <c r="H31" s="473"/>
      <c r="I31" s="473"/>
      <c r="J31" s="473"/>
      <c r="K31" s="473"/>
    </row>
    <row r="32" spans="1:12" s="477" customFormat="1" collapsed="1">
      <c r="B32" s="478"/>
      <c r="C32" s="478"/>
      <c r="D32" s="478"/>
      <c r="E32" s="478"/>
      <c r="F32" s="483"/>
      <c r="G32" s="478"/>
      <c r="H32" s="478"/>
      <c r="I32" s="478"/>
      <c r="J32" s="478"/>
      <c r="K32" s="478"/>
      <c r="L32" s="478"/>
    </row>
    <row r="33" spans="1:11" s="1" customFormat="1">
      <c r="A33" s="42" t="s">
        <v>50</v>
      </c>
      <c r="B33" s="249">
        <f>B13-B23</f>
        <v>-1.8044385250874651E-2</v>
      </c>
      <c r="C33" s="249">
        <f t="shared" ref="C33:K33" si="3">C13-C23</f>
        <v>-5.3404493293196797E-3</v>
      </c>
      <c r="D33" s="249">
        <f t="shared" si="3"/>
        <v>-3.9803638886716786E-3</v>
      </c>
      <c r="E33" s="249">
        <f t="shared" si="3"/>
        <v>2.592180212263151E-3</v>
      </c>
      <c r="F33" s="481">
        <f t="shared" si="3"/>
        <v>-0.2593442409709279</v>
      </c>
      <c r="G33" s="249">
        <f t="shared" si="3"/>
        <v>1.6330807669933833E-2</v>
      </c>
      <c r="H33" s="249">
        <f t="shared" si="3"/>
        <v>-2.5748169852137792E-3</v>
      </c>
      <c r="I33" s="249">
        <f t="shared" si="3"/>
        <v>-1.2166259285048386E-2</v>
      </c>
      <c r="J33" s="249">
        <f t="shared" si="3"/>
        <v>-1.2707513229064604E-2</v>
      </c>
      <c r="K33" s="249">
        <f t="shared" si="3"/>
        <v>-5.3439457936186319E-3</v>
      </c>
    </row>
    <row r="34" spans="1:11" s="1" customFormat="1">
      <c r="A34" s="42" t="s">
        <v>51</v>
      </c>
      <c r="B34" s="249">
        <f>B14-B24</f>
        <v>1.8044385250874706E-2</v>
      </c>
      <c r="C34" s="249">
        <f t="shared" ref="C34:K34" si="4">C14-C24</f>
        <v>5.340449329319652E-3</v>
      </c>
      <c r="D34" s="249">
        <f t="shared" si="4"/>
        <v>3.9803638886716231E-3</v>
      </c>
      <c r="E34" s="249">
        <f t="shared" si="4"/>
        <v>-2.592180212263262E-3</v>
      </c>
      <c r="F34" s="481">
        <f t="shared" si="4"/>
        <v>0.25934424097092779</v>
      </c>
      <c r="G34" s="249">
        <f t="shared" si="4"/>
        <v>-1.6330807669933889E-2</v>
      </c>
      <c r="H34" s="249">
        <f t="shared" si="4"/>
        <v>2.5748169852137792E-3</v>
      </c>
      <c r="I34" s="249">
        <f t="shared" si="4"/>
        <v>1.2166259285048331E-2</v>
      </c>
      <c r="J34" s="249">
        <f t="shared" si="4"/>
        <v>1.2707513229064715E-2</v>
      </c>
      <c r="K34" s="249">
        <f t="shared" si="4"/>
        <v>5.3439457936185208E-3</v>
      </c>
    </row>
    <row r="35" spans="1:11" s="1" customFormat="1"/>
    <row r="36" spans="1:11" s="1" customFormat="1"/>
    <row r="37" spans="1:11" s="1" customFormat="1">
      <c r="A37" s="1" t="s">
        <v>444</v>
      </c>
    </row>
    <row r="38" spans="1:11" s="1" customFormat="1"/>
    <row r="39" spans="1:11" s="1" customFormat="1">
      <c r="A39" s="1" t="s">
        <v>445</v>
      </c>
    </row>
    <row r="40" spans="1:11" s="1" customFormat="1">
      <c r="A40" s="1" t="s">
        <v>446</v>
      </c>
    </row>
    <row r="41" spans="1:11" s="1" customFormat="1"/>
    <row r="42" spans="1:11" s="1" customFormat="1">
      <c r="A42" s="1" t="s">
        <v>224</v>
      </c>
    </row>
    <row r="43" spans="1:11" s="1" customFormat="1">
      <c r="A43" s="1" t="s">
        <v>225</v>
      </c>
    </row>
    <row r="44" spans="1:11" s="1" customFormat="1"/>
    <row r="45" spans="1:11" s="1" customFormat="1">
      <c r="B45" s="1" t="s">
        <v>19</v>
      </c>
      <c r="C45" s="1" t="s">
        <v>19</v>
      </c>
      <c r="D45" s="1" t="s">
        <v>20</v>
      </c>
      <c r="E45" s="1" t="s">
        <v>20</v>
      </c>
    </row>
    <row r="46" spans="1:11" s="1" customFormat="1">
      <c r="B46" s="1" t="s">
        <v>254</v>
      </c>
      <c r="C46" s="1" t="s">
        <v>250</v>
      </c>
      <c r="D46" s="1" t="s">
        <v>254</v>
      </c>
      <c r="E46" s="1" t="s">
        <v>250</v>
      </c>
    </row>
    <row r="47" spans="1:11" s="1" customFormat="1">
      <c r="A47" s="1" t="s">
        <v>156</v>
      </c>
      <c r="B47" s="1">
        <v>0.99</v>
      </c>
      <c r="C47" s="479">
        <v>-21.759</v>
      </c>
    </row>
    <row r="48" spans="1:11" s="1" customFormat="1">
      <c r="A48" s="1" t="s">
        <v>176</v>
      </c>
      <c r="D48" s="1">
        <v>1.23</v>
      </c>
      <c r="E48" s="479">
        <v>-34.762</v>
      </c>
    </row>
    <row r="49" spans="1:27">
      <c r="A49" s="1" t="s">
        <v>177</v>
      </c>
      <c r="B49" s="1"/>
      <c r="C49" s="1"/>
      <c r="D49" s="1">
        <v>0.64900000000000002</v>
      </c>
      <c r="E49" s="1"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 t="s">
        <v>159</v>
      </c>
      <c r="B51" s="1">
        <v>1.036</v>
      </c>
      <c r="C51" s="479">
        <v>-24.663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 t="s">
        <v>176</v>
      </c>
      <c r="B52" s="1"/>
      <c r="C52" s="1"/>
      <c r="D52" s="1">
        <v>1.236</v>
      </c>
      <c r="E52" s="479">
        <v>-39.871000000000002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 t="s">
        <v>177</v>
      </c>
      <c r="B53" s="1"/>
      <c r="C53" s="1"/>
      <c r="D53" s="1">
        <v>0.73299999999999998</v>
      </c>
      <c r="E53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 t="s">
        <v>238</v>
      </c>
      <c r="B55" s="1">
        <v>1.0189999999999999</v>
      </c>
      <c r="C55" s="1"/>
      <c r="D55" s="1">
        <v>0.95599999999999996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1" customFormat="1"/>
    <row r="57" spans="1:27" s="1" customFormat="1"/>
    <row r="58" spans="1:27" s="1" customFormat="1">
      <c r="A58" s="1" t="s">
        <v>447</v>
      </c>
    </row>
    <row r="59" spans="1:27" s="1" customFormat="1">
      <c r="A59" s="1" t="s">
        <v>224</v>
      </c>
    </row>
    <row r="60" spans="1:27" s="1" customFormat="1">
      <c r="A60" s="1" t="s">
        <v>225</v>
      </c>
    </row>
    <row r="61" spans="1:27" s="1" customFormat="1"/>
    <row r="62" spans="1:27" s="1" customFormat="1">
      <c r="B62" s="1" t="s">
        <v>19</v>
      </c>
      <c r="C62" s="1" t="s">
        <v>19</v>
      </c>
      <c r="D62" s="1" t="s">
        <v>20</v>
      </c>
      <c r="E62" s="1" t="s">
        <v>20</v>
      </c>
    </row>
    <row r="63" spans="1:27" s="1" customFormat="1">
      <c r="B63" s="1" t="s">
        <v>254</v>
      </c>
      <c r="C63" s="1" t="s">
        <v>250</v>
      </c>
      <c r="D63" s="1" t="s">
        <v>254</v>
      </c>
      <c r="E63" s="1" t="s">
        <v>250</v>
      </c>
    </row>
    <row r="64" spans="1:27" s="1" customFormat="1">
      <c r="A64" s="1" t="s">
        <v>156</v>
      </c>
      <c r="B64" s="1">
        <v>1.0429999999999999</v>
      </c>
      <c r="C64" s="477">
        <v>-6.0209999999999999</v>
      </c>
    </row>
    <row r="65" spans="1:5" s="1" customFormat="1">
      <c r="A65" s="1" t="s">
        <v>176</v>
      </c>
      <c r="D65" s="1">
        <v>1.179</v>
      </c>
      <c r="E65" s="477">
        <v>-7.9729999999999999</v>
      </c>
    </row>
    <row r="66" spans="1:5" s="1" customFormat="1">
      <c r="A66" s="1" t="s">
        <v>177</v>
      </c>
      <c r="D66" s="1">
        <v>0.84499999999999997</v>
      </c>
      <c r="E66" s="1">
        <v>0</v>
      </c>
    </row>
    <row r="67" spans="1:5" s="1" customFormat="1"/>
    <row r="68" spans="1:5" s="1" customFormat="1">
      <c r="A68" s="1" t="s">
        <v>159</v>
      </c>
      <c r="B68" s="1">
        <v>1.0580000000000001</v>
      </c>
      <c r="C68" s="477">
        <v>-6.9930000000000003</v>
      </c>
    </row>
    <row r="69" spans="1:5" s="1" customFormat="1">
      <c r="A69" s="1" t="s">
        <v>176</v>
      </c>
      <c r="D69" s="1">
        <v>1.123</v>
      </c>
      <c r="E69" s="477">
        <v>-9.1630000000000003</v>
      </c>
    </row>
    <row r="70" spans="1:5" s="1" customFormat="1">
      <c r="A70" s="1" t="s">
        <v>177</v>
      </c>
      <c r="D70" s="1">
        <v>0.93100000000000005</v>
      </c>
      <c r="E70" s="1">
        <v>0</v>
      </c>
    </row>
    <row r="71" spans="1:5" s="1" customFormat="1"/>
    <row r="72" spans="1:5" s="1" customFormat="1">
      <c r="A72" s="1" t="s">
        <v>238</v>
      </c>
      <c r="B72" s="1">
        <v>1.0529999999999999</v>
      </c>
      <c r="D72" s="1">
        <v>1.0169999999999999</v>
      </c>
    </row>
    <row r="73" spans="1:5" s="1" customFormat="1"/>
    <row r="74" spans="1:5" s="1" customFormat="1">
      <c r="A74" s="1" t="s">
        <v>450</v>
      </c>
    </row>
    <row r="75" spans="1:5" s="1" customFormat="1">
      <c r="A75" s="1" t="s">
        <v>451</v>
      </c>
    </row>
    <row r="76" spans="1:5" s="1" customFormat="1">
      <c r="A76" s="1" t="s">
        <v>452</v>
      </c>
      <c r="D76" s="1" t="s">
        <v>360</v>
      </c>
    </row>
    <row r="77" spans="1:5" s="1" customFormat="1">
      <c r="A77" s="1" t="s">
        <v>453</v>
      </c>
      <c r="D77" s="1" t="s">
        <v>361</v>
      </c>
      <c r="E77" s="1" t="s">
        <v>362</v>
      </c>
    </row>
    <row r="78" spans="1:5" s="1" customFormat="1">
      <c r="A78" s="1" t="s">
        <v>363</v>
      </c>
      <c r="D78" s="1" t="s">
        <v>364</v>
      </c>
    </row>
    <row r="79" spans="1:5" s="1" customFormat="1">
      <c r="A79" s="1" t="s">
        <v>50</v>
      </c>
      <c r="B79" s="473">
        <v>13742.938732367707</v>
      </c>
      <c r="D79" s="1">
        <v>1.01359</v>
      </c>
    </row>
    <row r="80" spans="1:5" s="1" customFormat="1">
      <c r="A80" s="1" t="s">
        <v>51</v>
      </c>
      <c r="B80" s="473">
        <v>-13535.287756596925</v>
      </c>
      <c r="D80" s="1">
        <v>0.99148999999999998</v>
      </c>
    </row>
    <row r="81" spans="1:5" s="1" customFormat="1">
      <c r="A81" s="1" t="s">
        <v>116</v>
      </c>
      <c r="B81" s="473">
        <v>207.65097577078268</v>
      </c>
    </row>
    <row r="82" spans="1:5" s="1" customFormat="1">
      <c r="B82" s="473"/>
    </row>
    <row r="83" spans="1:5" s="1" customFormat="1">
      <c r="A83" s="1" t="s">
        <v>454</v>
      </c>
      <c r="D83" s="1" t="s">
        <v>360</v>
      </c>
    </row>
    <row r="84" spans="1:5" s="1" customFormat="1">
      <c r="D84" s="1" t="s">
        <v>361</v>
      </c>
      <c r="E84" s="1" t="s">
        <v>362</v>
      </c>
    </row>
    <row r="85" spans="1:5" s="1" customFormat="1">
      <c r="A85" s="1" t="s">
        <v>363</v>
      </c>
      <c r="D85" s="1" t="s">
        <v>364</v>
      </c>
    </row>
    <row r="86" spans="1:5" s="1" customFormat="1">
      <c r="A86" s="1" t="s">
        <v>50</v>
      </c>
      <c r="B86" s="473">
        <v>5176.2906117331004</v>
      </c>
      <c r="D86" s="1">
        <v>1.0059800000000001</v>
      </c>
    </row>
    <row r="87" spans="1:5" s="1" customFormat="1">
      <c r="A87" s="1" t="s">
        <v>51</v>
      </c>
      <c r="B87" s="473">
        <v>-4792.6718330229633</v>
      </c>
      <c r="D87" s="1">
        <v>0.99634999999999996</v>
      </c>
    </row>
    <row r="88" spans="1:5" s="1" customFormat="1">
      <c r="B88" s="473">
        <v>383.61877871025354</v>
      </c>
    </row>
    <row r="89" spans="1:5" s="1" customFormat="1">
      <c r="D89" s="1" t="s">
        <v>456</v>
      </c>
    </row>
    <row r="90" spans="1:5" s="1" customFormat="1">
      <c r="D90" s="1" t="s">
        <v>364</v>
      </c>
    </row>
    <row r="91" spans="1:5" s="1" customFormat="1">
      <c r="A91" s="1" t="s">
        <v>455</v>
      </c>
      <c r="B91" s="222">
        <f>B79-B86</f>
        <v>8566.648120634607</v>
      </c>
      <c r="D91" s="1">
        <f>D79-D86</f>
        <v>7.6099999999998946E-3</v>
      </c>
    </row>
    <row r="92" spans="1:5" s="1" customFormat="1">
      <c r="B92" s="222">
        <f>B80-B87</f>
        <v>-8742.6159235739615</v>
      </c>
      <c r="D92" s="1">
        <f>D80-D87</f>
        <v>-4.8599999999999755E-3</v>
      </c>
    </row>
    <row r="93" spans="1:5" s="1" customFormat="1">
      <c r="B93" s="222">
        <f>B81-B88</f>
        <v>-175.96780293947086</v>
      </c>
    </row>
    <row r="94" spans="1:5" s="1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FA90-F1F0-4EEE-8633-ECD90D0633A1}">
  <sheetPr codeName="Sheet1"/>
  <dimension ref="A1:AN360"/>
  <sheetViews>
    <sheetView view="pageBreakPreview" zoomScaleNormal="70" zoomScaleSheetLayoutView="100" workbookViewId="0"/>
  </sheetViews>
  <sheetFormatPr defaultColWidth="9.26953125" defaultRowHeight="13"/>
  <cols>
    <col min="1" max="1" width="13.26953125" style="6" customWidth="1"/>
    <col min="2" max="2" width="36.40625" style="1" customWidth="1"/>
    <col min="3" max="9" width="13.26953125" style="1" customWidth="1"/>
    <col min="10" max="10" width="14.7265625" style="1" customWidth="1"/>
    <col min="11" max="11" width="13.26953125" style="1" customWidth="1"/>
    <col min="12" max="12" width="14.40625" style="1" customWidth="1"/>
    <col min="13" max="13" width="16.54296875" style="1" customWidth="1"/>
    <col min="14" max="14" width="15.26953125" style="1" bestFit="1" customWidth="1"/>
    <col min="15" max="16" width="11.54296875" style="1" customWidth="1"/>
    <col min="17" max="17" width="18.40625" style="1" customWidth="1"/>
    <col min="18" max="18" width="29" style="1" bestFit="1" customWidth="1"/>
    <col min="19" max="19" width="16.40625" style="1" customWidth="1"/>
    <col min="20" max="20" width="23.7265625" style="1" bestFit="1" customWidth="1"/>
    <col min="21" max="21" width="18" style="1" bestFit="1" customWidth="1"/>
    <col min="22" max="24" width="11.54296875" style="1" customWidth="1"/>
    <col min="25" max="25" width="11.40625" style="1" bestFit="1" customWidth="1"/>
    <col min="26" max="26" width="10.26953125" style="1" customWidth="1"/>
    <col min="27" max="27" width="10.54296875" style="1" customWidth="1"/>
    <col min="28" max="28" width="12.7265625" style="1" bestFit="1" customWidth="1"/>
    <col min="29" max="29" width="9.26953125" style="1"/>
    <col min="30" max="30" width="17.54296875" style="1" customWidth="1"/>
    <col min="31" max="31" width="9.26953125" style="1"/>
    <col min="32" max="32" width="10.40625" style="1" bestFit="1" customWidth="1"/>
    <col min="33" max="33" width="10.54296875" style="1" customWidth="1"/>
    <col min="34" max="16384" width="9.26953125" style="1"/>
  </cols>
  <sheetData>
    <row r="1" spans="1:24">
      <c r="A1" s="6" t="s">
        <v>2</v>
      </c>
      <c r="C1" s="7"/>
      <c r="D1" s="7"/>
      <c r="E1" s="7"/>
      <c r="F1" s="7"/>
      <c r="G1" s="7"/>
      <c r="H1" s="7"/>
      <c r="I1" s="7"/>
      <c r="J1" s="7"/>
      <c r="K1" s="7"/>
      <c r="L1" s="7"/>
      <c r="M1" s="10"/>
    </row>
    <row r="2" spans="1:24" ht="15.5">
      <c r="B2" s="9" t="str">
        <f>Inputs!B7</f>
        <v>Development of BGS-RSCP Cost and Bid Factors for 2026/2027 BGS Filing</v>
      </c>
      <c r="C2" s="10"/>
      <c r="D2" s="10"/>
      <c r="E2" s="10"/>
      <c r="F2" s="10"/>
    </row>
    <row r="3" spans="1:24">
      <c r="A3" s="11"/>
      <c r="B3" s="12" t="s">
        <v>4</v>
      </c>
      <c r="C3" s="10"/>
      <c r="D3" s="10"/>
      <c r="E3" s="10"/>
      <c r="F3" s="10"/>
    </row>
    <row r="4" spans="1:24">
      <c r="B4" s="10"/>
      <c r="C4" s="10"/>
      <c r="D4" s="10"/>
      <c r="E4" s="13" t="str">
        <f>+Inputs!E9</f>
        <v>Based on average of year 2022, 2023 &amp; 2024 Load Profile Information</v>
      </c>
      <c r="F4" s="10"/>
    </row>
    <row r="5" spans="1:24">
      <c r="A5" s="2" t="s">
        <v>5</v>
      </c>
      <c r="B5" s="14" t="s">
        <v>6</v>
      </c>
      <c r="C5" s="15"/>
      <c r="D5" s="10"/>
      <c r="E5" s="13" t="s">
        <v>7</v>
      </c>
      <c r="F5" s="10"/>
      <c r="N5" s="14"/>
      <c r="O5" s="14" t="s">
        <v>110</v>
      </c>
      <c r="P5" s="10"/>
      <c r="Q5" s="10"/>
      <c r="R5" s="10"/>
      <c r="S5" s="10"/>
      <c r="T5" s="10"/>
      <c r="U5" s="10"/>
      <c r="V5" s="10"/>
      <c r="W5" s="10"/>
      <c r="X5" s="10"/>
    </row>
    <row r="6" spans="1:24" ht="26">
      <c r="A6" s="16"/>
      <c r="B6" s="10"/>
      <c r="C6" s="21" t="s">
        <v>8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8</v>
      </c>
      <c r="I6" s="13" t="s">
        <v>9</v>
      </c>
      <c r="J6" s="22"/>
      <c r="K6" s="21" t="s">
        <v>8</v>
      </c>
      <c r="L6" s="21" t="s">
        <v>8</v>
      </c>
      <c r="M6" s="21"/>
      <c r="N6" s="13"/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13" t="s">
        <v>111</v>
      </c>
      <c r="V6" s="22"/>
      <c r="W6" s="21" t="s">
        <v>8</v>
      </c>
      <c r="X6" s="21" t="s">
        <v>8</v>
      </c>
    </row>
    <row r="7" spans="1:24">
      <c r="A7" s="16"/>
      <c r="B7" s="114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18</v>
      </c>
      <c r="K7" s="7" t="s">
        <v>19</v>
      </c>
      <c r="L7" s="7" t="s">
        <v>20</v>
      </c>
      <c r="M7" s="25"/>
      <c r="N7" s="26"/>
      <c r="O7" s="7" t="str">
        <f>+C7</f>
        <v>RS</v>
      </c>
      <c r="P7" s="7" t="str">
        <f t="shared" ref="P7:X7" si="0">+D7</f>
        <v>RHS</v>
      </c>
      <c r="Q7" s="7" t="str">
        <f t="shared" si="0"/>
        <v>RLM</v>
      </c>
      <c r="R7" s="7" t="str">
        <f t="shared" si="0"/>
        <v>WH</v>
      </c>
      <c r="S7" s="7" t="str">
        <f t="shared" si="0"/>
        <v>WHS</v>
      </c>
      <c r="T7" s="7" t="str">
        <f t="shared" si="0"/>
        <v>HS</v>
      </c>
      <c r="U7" s="7" t="str">
        <f t="shared" si="0"/>
        <v>PSAL</v>
      </c>
      <c r="V7" s="7" t="str">
        <f t="shared" si="0"/>
        <v>BPL</v>
      </c>
      <c r="W7" s="7" t="str">
        <f t="shared" si="0"/>
        <v>GLP</v>
      </c>
      <c r="X7" s="7" t="str">
        <f t="shared" si="0"/>
        <v>LPL-S</v>
      </c>
    </row>
    <row r="8" spans="1:24">
      <c r="A8" s="16"/>
      <c r="C8" s="7"/>
      <c r="D8" s="7"/>
      <c r="E8" s="7"/>
      <c r="F8" s="7"/>
      <c r="G8" s="7"/>
      <c r="H8" s="7"/>
      <c r="I8" s="7"/>
      <c r="J8" s="7"/>
      <c r="K8" s="7"/>
      <c r="L8" s="7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16"/>
      <c r="B9" s="33" t="s">
        <v>21</v>
      </c>
      <c r="C9" s="230">
        <f>Inputs!C14</f>
        <v>0.4758</v>
      </c>
      <c r="D9" s="230">
        <f>Inputs!D14</f>
        <v>0.46079999999999999</v>
      </c>
      <c r="E9" s="230">
        <f>Inputs!E14</f>
        <v>0.47070000000000001</v>
      </c>
      <c r="F9" s="230">
        <f>Inputs!F14</f>
        <v>0.4758</v>
      </c>
      <c r="G9" s="230">
        <f>Inputs!G14</f>
        <v>0.4758</v>
      </c>
      <c r="H9" s="230">
        <f>Inputs!H14</f>
        <v>0.46360000000000001</v>
      </c>
      <c r="I9" s="230">
        <f>Inputs!I14</f>
        <v>0.30330000000000001</v>
      </c>
      <c r="J9" s="230">
        <f>Inputs!J14</f>
        <v>0.30330000000000001</v>
      </c>
      <c r="K9" s="230">
        <f>Inputs!K14</f>
        <v>0.52059999999999995</v>
      </c>
      <c r="L9" s="230">
        <f>Inputs!L14</f>
        <v>0.50419999999999998</v>
      </c>
      <c r="M9" s="231"/>
      <c r="N9" s="232"/>
      <c r="O9" s="233">
        <f t="shared" ref="O9:X20" si="1">1-C9</f>
        <v>0.5242</v>
      </c>
      <c r="P9" s="233">
        <f t="shared" si="1"/>
        <v>0.53920000000000001</v>
      </c>
      <c r="Q9" s="233">
        <f t="shared" si="1"/>
        <v>0.52929999999999999</v>
      </c>
      <c r="R9" s="233">
        <f t="shared" si="1"/>
        <v>0.5242</v>
      </c>
      <c r="S9" s="233">
        <f t="shared" si="1"/>
        <v>0.5242</v>
      </c>
      <c r="T9" s="233">
        <f t="shared" si="1"/>
        <v>0.53639999999999999</v>
      </c>
      <c r="U9" s="233">
        <f t="shared" si="1"/>
        <v>0.69669999999999999</v>
      </c>
      <c r="V9" s="233">
        <f t="shared" si="1"/>
        <v>0.69669999999999999</v>
      </c>
      <c r="W9" s="233">
        <f t="shared" si="1"/>
        <v>0.47940000000000005</v>
      </c>
      <c r="X9" s="233">
        <f t="shared" si="1"/>
        <v>0.49580000000000002</v>
      </c>
    </row>
    <row r="10" spans="1:24">
      <c r="A10" s="16"/>
      <c r="B10" s="33" t="s">
        <v>22</v>
      </c>
      <c r="C10" s="230">
        <f>Inputs!C15</f>
        <v>0.49020000000000002</v>
      </c>
      <c r="D10" s="230">
        <f>Inputs!D15</f>
        <v>0.46600000000000003</v>
      </c>
      <c r="E10" s="230">
        <f>Inputs!E15</f>
        <v>0.48070000000000002</v>
      </c>
      <c r="F10" s="230">
        <f>Inputs!F15</f>
        <v>0.49020000000000002</v>
      </c>
      <c r="G10" s="230">
        <f>Inputs!G15</f>
        <v>0.49020000000000002</v>
      </c>
      <c r="H10" s="230">
        <f>Inputs!H15</f>
        <v>0.47010000000000002</v>
      </c>
      <c r="I10" s="230">
        <f>Inputs!I15</f>
        <v>0.2969</v>
      </c>
      <c r="J10" s="230">
        <f>Inputs!J15</f>
        <v>0.2969</v>
      </c>
      <c r="K10" s="230">
        <f>Inputs!K15</f>
        <v>0.53959999999999997</v>
      </c>
      <c r="L10" s="230">
        <f>Inputs!L15</f>
        <v>0.52390000000000003</v>
      </c>
      <c r="M10" s="231"/>
      <c r="N10" s="232"/>
      <c r="O10" s="233">
        <f t="shared" si="1"/>
        <v>0.50980000000000003</v>
      </c>
      <c r="P10" s="233">
        <f t="shared" si="1"/>
        <v>0.53400000000000003</v>
      </c>
      <c r="Q10" s="233">
        <f t="shared" si="1"/>
        <v>0.51929999999999998</v>
      </c>
      <c r="R10" s="233">
        <f t="shared" si="1"/>
        <v>0.50980000000000003</v>
      </c>
      <c r="S10" s="233">
        <f t="shared" si="1"/>
        <v>0.50980000000000003</v>
      </c>
      <c r="T10" s="233">
        <f t="shared" si="1"/>
        <v>0.52990000000000004</v>
      </c>
      <c r="U10" s="233">
        <f t="shared" si="1"/>
        <v>0.70310000000000006</v>
      </c>
      <c r="V10" s="233">
        <f t="shared" si="1"/>
        <v>0.70310000000000006</v>
      </c>
      <c r="W10" s="233">
        <f t="shared" si="1"/>
        <v>0.46040000000000003</v>
      </c>
      <c r="X10" s="233">
        <f t="shared" si="1"/>
        <v>0.47609999999999997</v>
      </c>
    </row>
    <row r="11" spans="1:24">
      <c r="A11" s="16"/>
      <c r="B11" s="33" t="s">
        <v>23</v>
      </c>
      <c r="C11" s="230">
        <f>Inputs!C16</f>
        <v>0.49980000000000002</v>
      </c>
      <c r="D11" s="230">
        <f>Inputs!D16</f>
        <v>0.48899999999999999</v>
      </c>
      <c r="E11" s="230">
        <f>Inputs!E16</f>
        <v>0.47910000000000003</v>
      </c>
      <c r="F11" s="230">
        <f>Inputs!F16</f>
        <v>0.49980000000000002</v>
      </c>
      <c r="G11" s="230">
        <f>Inputs!G16</f>
        <v>0.49980000000000002</v>
      </c>
      <c r="H11" s="230">
        <f>Inputs!H16</f>
        <v>0.49220000000000003</v>
      </c>
      <c r="I11" s="230">
        <f>Inputs!I16</f>
        <v>0.26079999999999998</v>
      </c>
      <c r="J11" s="230">
        <f>Inputs!J16</f>
        <v>0.26079999999999998</v>
      </c>
      <c r="K11" s="230">
        <f>Inputs!K16</f>
        <v>0.55689999999999995</v>
      </c>
      <c r="L11" s="230">
        <f>Inputs!L16</f>
        <v>0.53620000000000001</v>
      </c>
      <c r="M11" s="231"/>
      <c r="N11" s="232"/>
      <c r="O11" s="233">
        <f t="shared" si="1"/>
        <v>0.50019999999999998</v>
      </c>
      <c r="P11" s="233">
        <f t="shared" si="1"/>
        <v>0.51100000000000001</v>
      </c>
      <c r="Q11" s="233">
        <f t="shared" si="1"/>
        <v>0.52089999999999992</v>
      </c>
      <c r="R11" s="233">
        <f t="shared" si="1"/>
        <v>0.50019999999999998</v>
      </c>
      <c r="S11" s="233">
        <f t="shared" si="1"/>
        <v>0.50019999999999998</v>
      </c>
      <c r="T11" s="233">
        <f t="shared" si="1"/>
        <v>0.50780000000000003</v>
      </c>
      <c r="U11" s="233">
        <f t="shared" si="1"/>
        <v>0.73920000000000008</v>
      </c>
      <c r="V11" s="233">
        <f t="shared" si="1"/>
        <v>0.73920000000000008</v>
      </c>
      <c r="W11" s="233">
        <f t="shared" si="1"/>
        <v>0.44310000000000005</v>
      </c>
      <c r="X11" s="233">
        <f t="shared" si="1"/>
        <v>0.46379999999999999</v>
      </c>
    </row>
    <row r="12" spans="1:24">
      <c r="A12" s="16"/>
      <c r="B12" s="33" t="s">
        <v>24</v>
      </c>
      <c r="C12" s="230">
        <f>Inputs!C17</f>
        <v>0.48380000000000001</v>
      </c>
      <c r="D12" s="230">
        <f>Inputs!D17</f>
        <v>0.4788</v>
      </c>
      <c r="E12" s="230">
        <f>Inputs!E17</f>
        <v>0.46350000000000002</v>
      </c>
      <c r="F12" s="230">
        <f>Inputs!F17</f>
        <v>0.48380000000000001</v>
      </c>
      <c r="G12" s="230">
        <f>Inputs!G17</f>
        <v>0.48380000000000001</v>
      </c>
      <c r="H12" s="230">
        <f>Inputs!H17</f>
        <v>0.4985</v>
      </c>
      <c r="I12" s="230">
        <f>Inputs!I17</f>
        <v>0.22159999999999999</v>
      </c>
      <c r="J12" s="230">
        <f>Inputs!J17</f>
        <v>0.22159999999999999</v>
      </c>
      <c r="K12" s="230">
        <f>Inputs!K17</f>
        <v>0.53890000000000005</v>
      </c>
      <c r="L12" s="230">
        <f>Inputs!L17</f>
        <v>0.51880000000000004</v>
      </c>
      <c r="M12" s="231"/>
      <c r="N12" s="232"/>
      <c r="O12" s="233">
        <f t="shared" si="1"/>
        <v>0.51619999999999999</v>
      </c>
      <c r="P12" s="233">
        <f t="shared" si="1"/>
        <v>0.5212</v>
      </c>
      <c r="Q12" s="233">
        <f t="shared" si="1"/>
        <v>0.53649999999999998</v>
      </c>
      <c r="R12" s="233">
        <f t="shared" si="1"/>
        <v>0.51619999999999999</v>
      </c>
      <c r="S12" s="233">
        <f t="shared" si="1"/>
        <v>0.51619999999999999</v>
      </c>
      <c r="T12" s="233">
        <f t="shared" si="1"/>
        <v>0.50150000000000006</v>
      </c>
      <c r="U12" s="233">
        <f t="shared" si="1"/>
        <v>0.77839999999999998</v>
      </c>
      <c r="V12" s="233">
        <f t="shared" si="1"/>
        <v>0.77839999999999998</v>
      </c>
      <c r="W12" s="233">
        <f t="shared" si="1"/>
        <v>0.46109999999999995</v>
      </c>
      <c r="X12" s="233">
        <f t="shared" si="1"/>
        <v>0.48119999999999996</v>
      </c>
    </row>
    <row r="13" spans="1:24">
      <c r="A13" s="16"/>
      <c r="B13" s="33" t="s">
        <v>25</v>
      </c>
      <c r="C13" s="230">
        <f>Inputs!C18</f>
        <v>0.47510000000000002</v>
      </c>
      <c r="D13" s="230">
        <f>Inputs!D18</f>
        <v>0.48870000000000002</v>
      </c>
      <c r="E13" s="230">
        <f>Inputs!E18</f>
        <v>0.46889999999999998</v>
      </c>
      <c r="F13" s="230">
        <f>Inputs!F18</f>
        <v>0.47510000000000002</v>
      </c>
      <c r="G13" s="230">
        <f>Inputs!G18</f>
        <v>0.47510000000000002</v>
      </c>
      <c r="H13" s="230">
        <f>Inputs!H18</f>
        <v>0.52700000000000002</v>
      </c>
      <c r="I13" s="230">
        <f>Inputs!I18</f>
        <v>0.2109</v>
      </c>
      <c r="J13" s="230">
        <f>Inputs!J18</f>
        <v>0.2109</v>
      </c>
      <c r="K13" s="230">
        <f>Inputs!K18</f>
        <v>0.54469999999999996</v>
      </c>
      <c r="L13" s="230">
        <f>Inputs!L18</f>
        <v>0.52110000000000001</v>
      </c>
      <c r="M13" s="231"/>
      <c r="N13" s="232"/>
      <c r="O13" s="233">
        <f t="shared" si="1"/>
        <v>0.52489999999999992</v>
      </c>
      <c r="P13" s="233">
        <f t="shared" si="1"/>
        <v>0.51129999999999998</v>
      </c>
      <c r="Q13" s="233">
        <f t="shared" si="1"/>
        <v>0.53110000000000002</v>
      </c>
      <c r="R13" s="233">
        <f t="shared" si="1"/>
        <v>0.52489999999999992</v>
      </c>
      <c r="S13" s="233">
        <f t="shared" si="1"/>
        <v>0.52489999999999992</v>
      </c>
      <c r="T13" s="233">
        <f t="shared" si="1"/>
        <v>0.47299999999999998</v>
      </c>
      <c r="U13" s="233">
        <f t="shared" si="1"/>
        <v>0.78910000000000002</v>
      </c>
      <c r="V13" s="233">
        <f t="shared" si="1"/>
        <v>0.78910000000000002</v>
      </c>
      <c r="W13" s="233">
        <f t="shared" si="1"/>
        <v>0.45530000000000004</v>
      </c>
      <c r="X13" s="233">
        <f t="shared" si="1"/>
        <v>0.47889999999999999</v>
      </c>
    </row>
    <row r="14" spans="1:24">
      <c r="A14" s="16"/>
      <c r="B14" s="33" t="s">
        <v>26</v>
      </c>
      <c r="C14" s="230">
        <f>Inputs!C19</f>
        <v>0.5363</v>
      </c>
      <c r="D14" s="230">
        <f>Inputs!D19</f>
        <v>0.54310000000000003</v>
      </c>
      <c r="E14" s="230">
        <f>Inputs!E19</f>
        <v>0.53539999999999999</v>
      </c>
      <c r="F14" s="230">
        <f>Inputs!F19</f>
        <v>0.5363</v>
      </c>
      <c r="G14" s="230">
        <f>Inputs!G19</f>
        <v>0.5363</v>
      </c>
      <c r="H14" s="230">
        <f>Inputs!H19</f>
        <v>0.59330000000000005</v>
      </c>
      <c r="I14" s="230">
        <f>Inputs!I19</f>
        <v>0.20150000000000001</v>
      </c>
      <c r="J14" s="230">
        <f>Inputs!J19</f>
        <v>0.20150000000000001</v>
      </c>
      <c r="K14" s="230">
        <f>Inputs!K19</f>
        <v>0.58150000000000002</v>
      </c>
      <c r="L14" s="230">
        <f>Inputs!L19</f>
        <v>0.54969999999999997</v>
      </c>
      <c r="M14" s="231"/>
      <c r="N14" s="232"/>
      <c r="O14" s="233">
        <f t="shared" si="1"/>
        <v>0.4637</v>
      </c>
      <c r="P14" s="233">
        <f t="shared" si="1"/>
        <v>0.45689999999999997</v>
      </c>
      <c r="Q14" s="233">
        <f t="shared" si="1"/>
        <v>0.46460000000000001</v>
      </c>
      <c r="R14" s="233">
        <f t="shared" si="1"/>
        <v>0.4637</v>
      </c>
      <c r="S14" s="233">
        <f t="shared" si="1"/>
        <v>0.4637</v>
      </c>
      <c r="T14" s="233">
        <f t="shared" si="1"/>
        <v>0.40669999999999995</v>
      </c>
      <c r="U14" s="233">
        <f t="shared" si="1"/>
        <v>0.79849999999999999</v>
      </c>
      <c r="V14" s="233">
        <f t="shared" si="1"/>
        <v>0.79849999999999999</v>
      </c>
      <c r="W14" s="233">
        <f t="shared" si="1"/>
        <v>0.41849999999999998</v>
      </c>
      <c r="X14" s="233">
        <f t="shared" si="1"/>
        <v>0.45030000000000003</v>
      </c>
    </row>
    <row r="15" spans="1:24">
      <c r="A15" s="16"/>
      <c r="B15" s="33" t="s">
        <v>27</v>
      </c>
      <c r="C15" s="230">
        <f>Inputs!C20</f>
        <v>0.49409999999999998</v>
      </c>
      <c r="D15" s="230">
        <f>Inputs!D20</f>
        <v>0.49969999999999998</v>
      </c>
      <c r="E15" s="230">
        <f>Inputs!E20</f>
        <v>0.495</v>
      </c>
      <c r="F15" s="230">
        <f>Inputs!F20</f>
        <v>0.49409999999999998</v>
      </c>
      <c r="G15" s="230">
        <f>Inputs!G20</f>
        <v>0.49409999999999998</v>
      </c>
      <c r="H15" s="230">
        <f>Inputs!H20</f>
        <v>0.54749999999999999</v>
      </c>
      <c r="I15" s="230">
        <f>Inputs!I20</f>
        <v>0.18509999999999999</v>
      </c>
      <c r="J15" s="230">
        <f>Inputs!J20</f>
        <v>0.18509999999999999</v>
      </c>
      <c r="K15" s="230">
        <f>Inputs!K20</f>
        <v>0.52910000000000001</v>
      </c>
      <c r="L15" s="230">
        <f>Inputs!L20</f>
        <v>0.498</v>
      </c>
      <c r="M15" s="231"/>
      <c r="N15" s="232"/>
      <c r="O15" s="233">
        <f t="shared" si="1"/>
        <v>0.50590000000000002</v>
      </c>
      <c r="P15" s="233">
        <f t="shared" si="1"/>
        <v>0.50029999999999997</v>
      </c>
      <c r="Q15" s="233">
        <f t="shared" si="1"/>
        <v>0.505</v>
      </c>
      <c r="R15" s="233">
        <f t="shared" si="1"/>
        <v>0.50590000000000002</v>
      </c>
      <c r="S15" s="233">
        <f t="shared" si="1"/>
        <v>0.50590000000000002</v>
      </c>
      <c r="T15" s="233">
        <f t="shared" si="1"/>
        <v>0.45250000000000001</v>
      </c>
      <c r="U15" s="233">
        <f t="shared" si="1"/>
        <v>0.81489999999999996</v>
      </c>
      <c r="V15" s="233">
        <f t="shared" si="1"/>
        <v>0.81489999999999996</v>
      </c>
      <c r="W15" s="233">
        <f t="shared" si="1"/>
        <v>0.47089999999999999</v>
      </c>
      <c r="X15" s="233">
        <f t="shared" si="1"/>
        <v>0.502</v>
      </c>
    </row>
    <row r="16" spans="1:24">
      <c r="A16" s="16"/>
      <c r="B16" s="33" t="s">
        <v>28</v>
      </c>
      <c r="C16" s="230">
        <f>Inputs!C21</f>
        <v>0.53680000000000005</v>
      </c>
      <c r="D16" s="230">
        <f>Inputs!D21</f>
        <v>0.54990000000000006</v>
      </c>
      <c r="E16" s="230">
        <f>Inputs!E21</f>
        <v>0.54</v>
      </c>
      <c r="F16" s="230">
        <f>Inputs!F21</f>
        <v>0.53680000000000005</v>
      </c>
      <c r="G16" s="230">
        <f>Inputs!G21</f>
        <v>0.53680000000000005</v>
      </c>
      <c r="H16" s="230">
        <f>Inputs!H21</f>
        <v>0.59760000000000002</v>
      </c>
      <c r="I16" s="230">
        <f>Inputs!I21</f>
        <v>0.2223</v>
      </c>
      <c r="J16" s="230">
        <f>Inputs!J21</f>
        <v>0.2223</v>
      </c>
      <c r="K16" s="230">
        <f>Inputs!K21</f>
        <v>0.58379999999999999</v>
      </c>
      <c r="L16" s="230">
        <f>Inputs!L21</f>
        <v>0.55000000000000004</v>
      </c>
      <c r="M16" s="231"/>
      <c r="N16" s="232"/>
      <c r="O16" s="233">
        <f t="shared" si="1"/>
        <v>0.46319999999999995</v>
      </c>
      <c r="P16" s="233">
        <f t="shared" si="1"/>
        <v>0.45009999999999994</v>
      </c>
      <c r="Q16" s="233">
        <f t="shared" si="1"/>
        <v>0.45999999999999996</v>
      </c>
      <c r="R16" s="233">
        <f t="shared" si="1"/>
        <v>0.46319999999999995</v>
      </c>
      <c r="S16" s="233">
        <f t="shared" si="1"/>
        <v>0.46319999999999995</v>
      </c>
      <c r="T16" s="233">
        <f t="shared" si="1"/>
        <v>0.40239999999999998</v>
      </c>
      <c r="U16" s="233">
        <f t="shared" si="1"/>
        <v>0.77770000000000006</v>
      </c>
      <c r="V16" s="233">
        <f t="shared" si="1"/>
        <v>0.77770000000000006</v>
      </c>
      <c r="W16" s="233">
        <f t="shared" si="1"/>
        <v>0.41620000000000001</v>
      </c>
      <c r="X16" s="233">
        <f t="shared" si="1"/>
        <v>0.44999999999999996</v>
      </c>
    </row>
    <row r="17" spans="1:24">
      <c r="A17" s="16"/>
      <c r="B17" s="33" t="s">
        <v>29</v>
      </c>
      <c r="C17" s="230">
        <f>Inputs!C22</f>
        <v>0.48309999999999997</v>
      </c>
      <c r="D17" s="230">
        <f>Inputs!D22</f>
        <v>0.49940000000000001</v>
      </c>
      <c r="E17" s="230">
        <f>Inputs!E22</f>
        <v>0.4844</v>
      </c>
      <c r="F17" s="230">
        <f>Inputs!F22</f>
        <v>0.48309999999999997</v>
      </c>
      <c r="G17" s="230">
        <f>Inputs!G22</f>
        <v>0.48309999999999997</v>
      </c>
      <c r="H17" s="230">
        <f>Inputs!H22</f>
        <v>0.54790000000000005</v>
      </c>
      <c r="I17" s="230">
        <f>Inputs!I22</f>
        <v>0.23169999999999999</v>
      </c>
      <c r="J17" s="230">
        <f>Inputs!J22</f>
        <v>0.23169999999999999</v>
      </c>
      <c r="K17" s="230">
        <f>Inputs!K22</f>
        <v>0.54510000000000003</v>
      </c>
      <c r="L17" s="230">
        <f>Inputs!L22</f>
        <v>0.51680000000000004</v>
      </c>
      <c r="M17" s="231"/>
      <c r="N17" s="232"/>
      <c r="O17" s="233">
        <f t="shared" si="1"/>
        <v>0.51690000000000003</v>
      </c>
      <c r="P17" s="233">
        <f t="shared" si="1"/>
        <v>0.50059999999999993</v>
      </c>
      <c r="Q17" s="233">
        <f t="shared" si="1"/>
        <v>0.51560000000000006</v>
      </c>
      <c r="R17" s="233">
        <f t="shared" si="1"/>
        <v>0.51690000000000003</v>
      </c>
      <c r="S17" s="233">
        <f t="shared" si="1"/>
        <v>0.51690000000000003</v>
      </c>
      <c r="T17" s="233">
        <f t="shared" si="1"/>
        <v>0.45209999999999995</v>
      </c>
      <c r="U17" s="233">
        <f t="shared" si="1"/>
        <v>0.76829999999999998</v>
      </c>
      <c r="V17" s="233">
        <f t="shared" si="1"/>
        <v>0.76829999999999998</v>
      </c>
      <c r="W17" s="233">
        <f t="shared" si="1"/>
        <v>0.45489999999999997</v>
      </c>
      <c r="X17" s="233">
        <f t="shared" si="1"/>
        <v>0.48319999999999996</v>
      </c>
    </row>
    <row r="18" spans="1:24">
      <c r="A18" s="16"/>
      <c r="B18" s="33" t="s">
        <v>30</v>
      </c>
      <c r="C18" s="230">
        <f>Inputs!C23</f>
        <v>0.49330000000000002</v>
      </c>
      <c r="D18" s="230">
        <f>Inputs!D23</f>
        <v>0.49390000000000001</v>
      </c>
      <c r="E18" s="230">
        <f>Inputs!E23</f>
        <v>0.48259999999999997</v>
      </c>
      <c r="F18" s="230">
        <f>Inputs!F23</f>
        <v>0.49330000000000002</v>
      </c>
      <c r="G18" s="230">
        <f>Inputs!G23</f>
        <v>0.49330000000000002</v>
      </c>
      <c r="H18" s="230">
        <f>Inputs!H23</f>
        <v>0.52859999999999996</v>
      </c>
      <c r="I18" s="230">
        <f>Inputs!I23</f>
        <v>0.26769999999999999</v>
      </c>
      <c r="J18" s="230">
        <f>Inputs!J23</f>
        <v>0.26769999999999999</v>
      </c>
      <c r="K18" s="230">
        <f>Inputs!K23</f>
        <v>0.5524</v>
      </c>
      <c r="L18" s="230">
        <f>Inputs!L23</f>
        <v>0.52839999999999998</v>
      </c>
      <c r="M18" s="231"/>
      <c r="N18" s="232"/>
      <c r="O18" s="233">
        <f t="shared" si="1"/>
        <v>0.50669999999999993</v>
      </c>
      <c r="P18" s="233">
        <f t="shared" si="1"/>
        <v>0.50609999999999999</v>
      </c>
      <c r="Q18" s="233">
        <f t="shared" si="1"/>
        <v>0.51740000000000008</v>
      </c>
      <c r="R18" s="233">
        <f t="shared" si="1"/>
        <v>0.50669999999999993</v>
      </c>
      <c r="S18" s="233">
        <f t="shared" si="1"/>
        <v>0.50669999999999993</v>
      </c>
      <c r="T18" s="233">
        <f t="shared" si="1"/>
        <v>0.47140000000000004</v>
      </c>
      <c r="U18" s="233">
        <f t="shared" si="1"/>
        <v>0.73229999999999995</v>
      </c>
      <c r="V18" s="233">
        <f t="shared" si="1"/>
        <v>0.73229999999999995</v>
      </c>
      <c r="W18" s="233">
        <f t="shared" si="1"/>
        <v>0.4476</v>
      </c>
      <c r="X18" s="233">
        <f t="shared" si="1"/>
        <v>0.47160000000000002</v>
      </c>
    </row>
    <row r="19" spans="1:24">
      <c r="A19" s="16"/>
      <c r="B19" s="33" t="s">
        <v>31</v>
      </c>
      <c r="C19" s="230">
        <f>Inputs!C24</f>
        <v>0.48060000000000003</v>
      </c>
      <c r="D19" s="230">
        <f>Inputs!D24</f>
        <v>0.47189999999999999</v>
      </c>
      <c r="E19" s="230">
        <f>Inputs!E24</f>
        <v>0.47349999999999998</v>
      </c>
      <c r="F19" s="230">
        <f>Inputs!F24</f>
        <v>0.48060000000000003</v>
      </c>
      <c r="G19" s="230">
        <f>Inputs!G24</f>
        <v>0.48060000000000003</v>
      </c>
      <c r="H19" s="230">
        <f>Inputs!H24</f>
        <v>0.48599999999999999</v>
      </c>
      <c r="I19" s="230">
        <f>Inputs!I24</f>
        <v>0.30740000000000001</v>
      </c>
      <c r="J19" s="230">
        <f>Inputs!J24</f>
        <v>0.30740000000000001</v>
      </c>
      <c r="K19" s="230">
        <f>Inputs!K24</f>
        <v>0.5363</v>
      </c>
      <c r="L19" s="230">
        <f>Inputs!L24</f>
        <v>0.51639999999999997</v>
      </c>
      <c r="M19" s="231"/>
      <c r="N19" s="232"/>
      <c r="O19" s="233">
        <f t="shared" si="1"/>
        <v>0.51939999999999997</v>
      </c>
      <c r="P19" s="233">
        <f t="shared" si="1"/>
        <v>0.52810000000000001</v>
      </c>
      <c r="Q19" s="233">
        <f t="shared" si="1"/>
        <v>0.52649999999999997</v>
      </c>
      <c r="R19" s="233">
        <f t="shared" si="1"/>
        <v>0.51939999999999997</v>
      </c>
      <c r="S19" s="233">
        <f t="shared" si="1"/>
        <v>0.51939999999999997</v>
      </c>
      <c r="T19" s="233">
        <f t="shared" si="1"/>
        <v>0.51400000000000001</v>
      </c>
      <c r="U19" s="233">
        <f t="shared" si="1"/>
        <v>0.69259999999999999</v>
      </c>
      <c r="V19" s="233">
        <f t="shared" si="1"/>
        <v>0.69259999999999999</v>
      </c>
      <c r="W19" s="233">
        <f t="shared" si="1"/>
        <v>0.4637</v>
      </c>
      <c r="X19" s="233">
        <f t="shared" si="1"/>
        <v>0.48360000000000003</v>
      </c>
    </row>
    <row r="20" spans="1:24">
      <c r="A20" s="16"/>
      <c r="B20" s="33" t="s">
        <v>32</v>
      </c>
      <c r="C20" s="230">
        <f>Inputs!C25</f>
        <v>0.45789999999999997</v>
      </c>
      <c r="D20" s="230">
        <f>Inputs!D25</f>
        <v>0.44919999999999999</v>
      </c>
      <c r="E20" s="230">
        <f>Inputs!E25</f>
        <v>0.45529999999999998</v>
      </c>
      <c r="F20" s="230">
        <f>Inputs!F25</f>
        <v>0.45789999999999997</v>
      </c>
      <c r="G20" s="230">
        <f>Inputs!G25</f>
        <v>0.45789999999999997</v>
      </c>
      <c r="H20" s="230">
        <f>Inputs!H25</f>
        <v>0.45279999999999998</v>
      </c>
      <c r="I20" s="230">
        <f>Inputs!I25</f>
        <v>0.3034</v>
      </c>
      <c r="J20" s="230">
        <f>Inputs!J25</f>
        <v>0.3034</v>
      </c>
      <c r="K20" s="230">
        <f>Inputs!K25</f>
        <v>0.51049999999999995</v>
      </c>
      <c r="L20" s="230">
        <f>Inputs!L25</f>
        <v>0.49180000000000001</v>
      </c>
      <c r="M20" s="231"/>
      <c r="N20" s="232"/>
      <c r="O20" s="233">
        <f t="shared" si="1"/>
        <v>0.54210000000000003</v>
      </c>
      <c r="P20" s="233">
        <f t="shared" si="1"/>
        <v>0.55079999999999996</v>
      </c>
      <c r="Q20" s="233">
        <f t="shared" si="1"/>
        <v>0.54469999999999996</v>
      </c>
      <c r="R20" s="233">
        <f t="shared" si="1"/>
        <v>0.54210000000000003</v>
      </c>
      <c r="S20" s="233">
        <f t="shared" si="1"/>
        <v>0.54210000000000003</v>
      </c>
      <c r="T20" s="233">
        <f t="shared" si="1"/>
        <v>0.54720000000000002</v>
      </c>
      <c r="U20" s="233">
        <f t="shared" si="1"/>
        <v>0.6966</v>
      </c>
      <c r="V20" s="233">
        <f t="shared" si="1"/>
        <v>0.6966</v>
      </c>
      <c r="W20" s="233">
        <f t="shared" si="1"/>
        <v>0.48950000000000005</v>
      </c>
      <c r="X20" s="233">
        <f t="shared" si="1"/>
        <v>0.50819999999999999</v>
      </c>
    </row>
    <row r="21" spans="1:24">
      <c r="A21" s="16"/>
      <c r="B21" s="33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3"/>
      <c r="P21" s="233"/>
      <c r="Q21" s="233"/>
      <c r="R21" s="233"/>
      <c r="S21" s="233"/>
      <c r="T21" s="233"/>
      <c r="U21" s="233"/>
      <c r="V21" s="233"/>
      <c r="W21" s="233"/>
      <c r="X21" s="233"/>
    </row>
    <row r="22" spans="1:24">
      <c r="A22" s="16"/>
      <c r="B22" s="33"/>
      <c r="C22" s="232"/>
      <c r="D22" s="232"/>
      <c r="E22" s="13" t="str">
        <f>+Inputs!E9</f>
        <v>Based on average of year 2022, 2023 &amp; 2024 Load Profile Information</v>
      </c>
      <c r="K22" s="232"/>
      <c r="L22" s="232"/>
      <c r="M22" s="232"/>
      <c r="N22" s="232"/>
      <c r="O22" s="233"/>
      <c r="P22" s="233"/>
      <c r="Q22" s="233"/>
      <c r="R22" s="233"/>
      <c r="S22" s="233"/>
      <c r="T22" s="233"/>
      <c r="U22" s="233"/>
      <c r="V22" s="233"/>
      <c r="W22" s="233"/>
      <c r="X22" s="233"/>
    </row>
    <row r="23" spans="1:24">
      <c r="A23" s="2" t="s">
        <v>33</v>
      </c>
      <c r="B23" s="14" t="s">
        <v>34</v>
      </c>
      <c r="C23" s="232"/>
      <c r="D23" s="232"/>
      <c r="E23" s="234" t="str">
        <f>Inputs!E28</f>
        <v>On-Peak periods as defined in specified rate schedule (average of %s for 2022, 2023 &amp; 2024)</v>
      </c>
      <c r="G23" s="232"/>
      <c r="H23" s="232"/>
      <c r="I23" s="235"/>
      <c r="J23" s="235"/>
      <c r="K23" s="232"/>
      <c r="L23" s="232"/>
      <c r="M23" s="232"/>
      <c r="N23" s="232"/>
      <c r="O23" s="233"/>
      <c r="P23" s="233"/>
      <c r="Q23" s="233"/>
      <c r="R23" s="233"/>
      <c r="S23" s="233"/>
      <c r="T23" s="233"/>
      <c r="U23" s="233"/>
      <c r="V23" s="233"/>
      <c r="W23" s="233"/>
      <c r="X23" s="233"/>
    </row>
    <row r="24" spans="1:24" ht="26">
      <c r="A24" s="16"/>
      <c r="C24" s="21" t="s">
        <v>112</v>
      </c>
      <c r="D24" s="21" t="s">
        <v>112</v>
      </c>
      <c r="E24" s="21" t="s">
        <v>8</v>
      </c>
      <c r="F24" s="21" t="s">
        <v>112</v>
      </c>
      <c r="G24" s="21" t="s">
        <v>112</v>
      </c>
      <c r="H24" s="21" t="s">
        <v>112</v>
      </c>
      <c r="I24" s="21" t="s">
        <v>112</v>
      </c>
      <c r="J24" s="21" t="s">
        <v>112</v>
      </c>
      <c r="K24" s="21" t="s">
        <v>112</v>
      </c>
      <c r="L24" s="21" t="s">
        <v>8</v>
      </c>
      <c r="M24" s="21"/>
      <c r="N24" s="13"/>
      <c r="O24" s="21" t="s">
        <v>112</v>
      </c>
      <c r="P24" s="21" t="s">
        <v>112</v>
      </c>
      <c r="Q24" s="21" t="s">
        <v>113</v>
      </c>
      <c r="R24" s="21" t="s">
        <v>112</v>
      </c>
      <c r="S24" s="21" t="s">
        <v>112</v>
      </c>
      <c r="T24" s="21" t="s">
        <v>112</v>
      </c>
      <c r="U24" s="21" t="s">
        <v>112</v>
      </c>
      <c r="V24" s="21" t="s">
        <v>112</v>
      </c>
      <c r="W24" s="21" t="s">
        <v>112</v>
      </c>
      <c r="X24" s="21" t="s">
        <v>113</v>
      </c>
    </row>
    <row r="25" spans="1:24">
      <c r="A25" s="16"/>
      <c r="B25" s="114" t="s">
        <v>10</v>
      </c>
      <c r="C25" s="7" t="str">
        <f>+C7</f>
        <v>RS</v>
      </c>
      <c r="D25" s="7" t="str">
        <f t="shared" ref="D25:L25" si="2">+D7</f>
        <v>RHS</v>
      </c>
      <c r="E25" s="7" t="str">
        <f t="shared" si="2"/>
        <v>RLM</v>
      </c>
      <c r="F25" s="7" t="str">
        <f t="shared" si="2"/>
        <v>WH</v>
      </c>
      <c r="G25" s="7" t="str">
        <f t="shared" si="2"/>
        <v>WHS</v>
      </c>
      <c r="H25" s="7" t="str">
        <f t="shared" si="2"/>
        <v>HS</v>
      </c>
      <c r="I25" s="7" t="str">
        <f t="shared" si="2"/>
        <v>PSAL</v>
      </c>
      <c r="J25" s="7" t="str">
        <f t="shared" si="2"/>
        <v>BPL</v>
      </c>
      <c r="K25" s="7" t="str">
        <f t="shared" si="2"/>
        <v>GLP</v>
      </c>
      <c r="L25" s="7" t="str">
        <f t="shared" si="2"/>
        <v>LPL-S</v>
      </c>
      <c r="M25" s="7"/>
      <c r="N25" s="26"/>
      <c r="O25" s="7" t="str">
        <f>+C7</f>
        <v>RS</v>
      </c>
      <c r="P25" s="7" t="str">
        <f t="shared" ref="P25:X25" si="3">+D7</f>
        <v>RHS</v>
      </c>
      <c r="Q25" s="7" t="str">
        <f t="shared" si="3"/>
        <v>RLM</v>
      </c>
      <c r="R25" s="7" t="str">
        <f t="shared" si="3"/>
        <v>WH</v>
      </c>
      <c r="S25" s="7" t="str">
        <f t="shared" si="3"/>
        <v>WHS</v>
      </c>
      <c r="T25" s="7" t="str">
        <f t="shared" si="3"/>
        <v>HS</v>
      </c>
      <c r="U25" s="7" t="str">
        <f t="shared" si="3"/>
        <v>PSAL</v>
      </c>
      <c r="V25" s="7" t="str">
        <f t="shared" si="3"/>
        <v>BPL</v>
      </c>
      <c r="W25" s="7" t="str">
        <f t="shared" si="3"/>
        <v>GLP</v>
      </c>
      <c r="X25" s="7" t="str">
        <f t="shared" si="3"/>
        <v>LPL-S</v>
      </c>
    </row>
    <row r="26" spans="1:24">
      <c r="A26" s="16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>
      <c r="A27" s="16"/>
      <c r="B27" s="33" t="s">
        <v>21</v>
      </c>
      <c r="C27" s="236">
        <v>0</v>
      </c>
      <c r="D27" s="236">
        <v>0</v>
      </c>
      <c r="E27" s="236">
        <f>Inputs!C32</f>
        <v>0.42070000000000002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  <c r="L27" s="236">
        <f>Inputs!D32</f>
        <v>0.46029999999999999</v>
      </c>
      <c r="M27" s="231"/>
      <c r="N27" s="232"/>
      <c r="O27" s="233"/>
      <c r="P27" s="233"/>
      <c r="Q27" s="233">
        <f t="shared" ref="Q27:Q38" si="4">1-E27</f>
        <v>0.57929999999999993</v>
      </c>
      <c r="R27" s="233"/>
      <c r="S27" s="233"/>
      <c r="T27" s="233"/>
      <c r="U27" s="233"/>
      <c r="V27" s="233"/>
      <c r="W27" s="233"/>
      <c r="X27" s="233">
        <f t="shared" ref="X27:X38" si="5">1-L27</f>
        <v>0.53970000000000007</v>
      </c>
    </row>
    <row r="28" spans="1:24">
      <c r="A28" s="16"/>
      <c r="B28" s="33" t="s">
        <v>22</v>
      </c>
      <c r="C28" s="236">
        <v>0</v>
      </c>
      <c r="D28" s="236">
        <v>0</v>
      </c>
      <c r="E28" s="236">
        <f>Inputs!C33</f>
        <v>0.41270000000000001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  <c r="L28" s="236">
        <f>Inputs!D33</f>
        <v>0.46600000000000003</v>
      </c>
      <c r="M28" s="231"/>
      <c r="N28" s="232"/>
      <c r="O28" s="233"/>
      <c r="P28" s="233"/>
      <c r="Q28" s="233">
        <f t="shared" si="4"/>
        <v>0.58729999999999993</v>
      </c>
      <c r="R28" s="233"/>
      <c r="S28" s="233"/>
      <c r="T28" s="233"/>
      <c r="U28" s="233"/>
      <c r="V28" s="233"/>
      <c r="W28" s="233"/>
      <c r="X28" s="233">
        <f t="shared" si="5"/>
        <v>0.53400000000000003</v>
      </c>
    </row>
    <row r="29" spans="1:24">
      <c r="A29" s="16"/>
      <c r="B29" s="33" t="s">
        <v>23</v>
      </c>
      <c r="C29" s="236">
        <v>0</v>
      </c>
      <c r="D29" s="236">
        <v>0</v>
      </c>
      <c r="E29" s="236">
        <f>Inputs!C34</f>
        <v>0.40820000000000001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  <c r="L29" s="236">
        <f>Inputs!D34</f>
        <v>0.46389999999999998</v>
      </c>
      <c r="M29" s="231"/>
      <c r="N29" s="232"/>
      <c r="O29" s="233"/>
      <c r="P29" s="233"/>
      <c r="Q29" s="233">
        <f t="shared" si="4"/>
        <v>0.59179999999999999</v>
      </c>
      <c r="R29" s="233"/>
      <c r="S29" s="233"/>
      <c r="T29" s="233"/>
      <c r="U29" s="233"/>
      <c r="V29" s="233"/>
      <c r="W29" s="233"/>
      <c r="X29" s="233">
        <f t="shared" si="5"/>
        <v>0.53610000000000002</v>
      </c>
    </row>
    <row r="30" spans="1:24">
      <c r="A30" s="16"/>
      <c r="B30" s="33" t="s">
        <v>24</v>
      </c>
      <c r="C30" s="236">
        <v>0</v>
      </c>
      <c r="D30" s="236">
        <v>0</v>
      </c>
      <c r="E30" s="236">
        <f>Inputs!C35</f>
        <v>0.42249999999999999</v>
      </c>
      <c r="F30" s="236">
        <v>0</v>
      </c>
      <c r="G30" s="236">
        <v>0</v>
      </c>
      <c r="H30" s="236">
        <v>0</v>
      </c>
      <c r="I30" s="236">
        <v>0</v>
      </c>
      <c r="J30" s="236">
        <v>0</v>
      </c>
      <c r="K30" s="236">
        <v>0</v>
      </c>
      <c r="L30" s="236">
        <f>Inputs!D35</f>
        <v>0.46939999999999998</v>
      </c>
      <c r="M30" s="231"/>
      <c r="N30" s="232"/>
      <c r="O30" s="233"/>
      <c r="P30" s="233"/>
      <c r="Q30" s="233">
        <f t="shared" si="4"/>
        <v>0.57750000000000001</v>
      </c>
      <c r="R30" s="233"/>
      <c r="S30" s="233"/>
      <c r="T30" s="233"/>
      <c r="U30" s="233"/>
      <c r="V30" s="233"/>
      <c r="W30" s="233"/>
      <c r="X30" s="233">
        <f t="shared" si="5"/>
        <v>0.53059999999999996</v>
      </c>
    </row>
    <row r="31" spans="1:24">
      <c r="A31" s="16"/>
      <c r="B31" s="33" t="s">
        <v>25</v>
      </c>
      <c r="C31" s="236">
        <v>0</v>
      </c>
      <c r="D31" s="236">
        <v>0</v>
      </c>
      <c r="E31" s="236">
        <f>Inputs!C36</f>
        <v>0.44969999999999999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6">
        <v>0</v>
      </c>
      <c r="L31" s="236">
        <f>Inputs!D36</f>
        <v>0.48570000000000002</v>
      </c>
      <c r="M31" s="231"/>
      <c r="N31" s="237"/>
      <c r="O31" s="233"/>
      <c r="P31" s="233"/>
      <c r="Q31" s="233">
        <f t="shared" si="4"/>
        <v>0.55030000000000001</v>
      </c>
      <c r="R31" s="233"/>
      <c r="S31" s="233"/>
      <c r="T31" s="233"/>
      <c r="U31" s="233"/>
      <c r="V31" s="233"/>
      <c r="W31" s="233"/>
      <c r="X31" s="233">
        <f t="shared" si="5"/>
        <v>0.51429999999999998</v>
      </c>
    </row>
    <row r="32" spans="1:24">
      <c r="A32" s="16"/>
      <c r="B32" s="33" t="s">
        <v>26</v>
      </c>
      <c r="C32" s="236">
        <v>0</v>
      </c>
      <c r="D32" s="236">
        <v>0</v>
      </c>
      <c r="E32" s="236">
        <f>Inputs!C37</f>
        <v>0.48110000000000003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f>Inputs!D37</f>
        <v>0.4955</v>
      </c>
      <c r="M32" s="231"/>
      <c r="N32" s="237"/>
      <c r="O32" s="233"/>
      <c r="P32" s="233"/>
      <c r="Q32" s="233">
        <f t="shared" si="4"/>
        <v>0.51889999999999992</v>
      </c>
      <c r="R32" s="233"/>
      <c r="S32" s="233"/>
      <c r="T32" s="233"/>
      <c r="U32" s="233"/>
      <c r="V32" s="233"/>
      <c r="W32" s="233"/>
      <c r="X32" s="233">
        <f t="shared" si="5"/>
        <v>0.50449999999999995</v>
      </c>
    </row>
    <row r="33" spans="1:32">
      <c r="A33" s="16"/>
      <c r="B33" s="33" t="s">
        <v>27</v>
      </c>
      <c r="C33" s="236">
        <v>0</v>
      </c>
      <c r="D33" s="236">
        <v>0</v>
      </c>
      <c r="E33" s="236">
        <f>Inputs!C38</f>
        <v>0.4859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f>Inputs!D38</f>
        <v>0.48309999999999997</v>
      </c>
      <c r="M33" s="231"/>
      <c r="N33" s="237"/>
      <c r="O33" s="233"/>
      <c r="P33" s="233"/>
      <c r="Q33" s="233">
        <f t="shared" si="4"/>
        <v>0.5141</v>
      </c>
      <c r="R33" s="233"/>
      <c r="S33" s="233"/>
      <c r="T33" s="233"/>
      <c r="U33" s="233"/>
      <c r="V33" s="233"/>
      <c r="W33" s="233"/>
      <c r="X33" s="233">
        <f t="shared" si="5"/>
        <v>0.51690000000000003</v>
      </c>
    </row>
    <row r="34" spans="1:32">
      <c r="A34" s="16"/>
      <c r="B34" s="33" t="s">
        <v>28</v>
      </c>
      <c r="C34" s="236">
        <v>0</v>
      </c>
      <c r="D34" s="236">
        <v>0</v>
      </c>
      <c r="E34" s="236">
        <f>Inputs!C39</f>
        <v>0.4834</v>
      </c>
      <c r="F34" s="236">
        <v>0</v>
      </c>
      <c r="G34" s="236">
        <v>0</v>
      </c>
      <c r="H34" s="236">
        <v>0</v>
      </c>
      <c r="I34" s="236">
        <v>0</v>
      </c>
      <c r="J34" s="236">
        <v>0</v>
      </c>
      <c r="K34" s="236">
        <v>0</v>
      </c>
      <c r="L34" s="236">
        <f>Inputs!D39</f>
        <v>0.48399999999999999</v>
      </c>
      <c r="M34" s="231"/>
      <c r="N34" s="237"/>
      <c r="O34" s="233"/>
      <c r="P34" s="233"/>
      <c r="Q34" s="233">
        <f t="shared" si="4"/>
        <v>0.51659999999999995</v>
      </c>
      <c r="R34" s="233"/>
      <c r="S34" s="233"/>
      <c r="T34" s="233"/>
      <c r="U34" s="233"/>
      <c r="V34" s="233"/>
      <c r="W34" s="233"/>
      <c r="X34" s="233">
        <f t="shared" si="5"/>
        <v>0.51600000000000001</v>
      </c>
    </row>
    <row r="35" spans="1:32">
      <c r="A35" s="16"/>
      <c r="B35" s="33" t="s">
        <v>29</v>
      </c>
      <c r="C35" s="236">
        <v>0</v>
      </c>
      <c r="D35" s="236">
        <v>0</v>
      </c>
      <c r="E35" s="236">
        <f>Inputs!C40</f>
        <v>0.46679999999999999</v>
      </c>
      <c r="F35" s="236">
        <v>0</v>
      </c>
      <c r="G35" s="236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f>Inputs!D40</f>
        <v>0.48049999999999998</v>
      </c>
      <c r="M35" s="231"/>
      <c r="N35" s="237"/>
      <c r="O35" s="233"/>
      <c r="P35" s="233"/>
      <c r="Q35" s="233">
        <f t="shared" si="4"/>
        <v>0.53320000000000001</v>
      </c>
      <c r="R35" s="233"/>
      <c r="S35" s="233"/>
      <c r="T35" s="233"/>
      <c r="U35" s="233"/>
      <c r="V35" s="233"/>
      <c r="W35" s="233"/>
      <c r="X35" s="233">
        <f t="shared" si="5"/>
        <v>0.51950000000000007</v>
      </c>
    </row>
    <row r="36" spans="1:32">
      <c r="A36" s="16"/>
      <c r="B36" s="33" t="s">
        <v>30</v>
      </c>
      <c r="C36" s="236">
        <v>0</v>
      </c>
      <c r="D36" s="236">
        <v>0</v>
      </c>
      <c r="E36" s="236">
        <f>Inputs!C41</f>
        <v>0.442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f>Inputs!D41</f>
        <v>0.48370000000000002</v>
      </c>
      <c r="M36" s="231"/>
      <c r="N36" s="237"/>
      <c r="O36" s="233"/>
      <c r="P36" s="233"/>
      <c r="Q36" s="233">
        <f t="shared" si="4"/>
        <v>0.55800000000000005</v>
      </c>
      <c r="R36" s="233"/>
      <c r="S36" s="233"/>
      <c r="T36" s="233"/>
      <c r="U36" s="233"/>
      <c r="V36" s="233"/>
      <c r="W36" s="233"/>
      <c r="X36" s="233">
        <f t="shared" si="5"/>
        <v>0.51629999999999998</v>
      </c>
    </row>
    <row r="37" spans="1:32">
      <c r="A37" s="16"/>
      <c r="B37" s="33" t="s">
        <v>31</v>
      </c>
      <c r="C37" s="236">
        <v>0</v>
      </c>
      <c r="D37" s="236">
        <v>0</v>
      </c>
      <c r="E37" s="236">
        <f>Inputs!C42</f>
        <v>0.42299999999999999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0</v>
      </c>
      <c r="L37" s="236">
        <f>Inputs!D42</f>
        <v>0.48930000000000001</v>
      </c>
      <c r="M37" s="231"/>
      <c r="N37" s="237"/>
      <c r="O37" s="233"/>
      <c r="P37" s="233"/>
      <c r="Q37" s="233">
        <f t="shared" si="4"/>
        <v>0.57699999999999996</v>
      </c>
      <c r="R37" s="233"/>
      <c r="S37" s="233"/>
      <c r="T37" s="233"/>
      <c r="U37" s="233"/>
      <c r="V37" s="233"/>
      <c r="W37" s="233"/>
      <c r="X37" s="233">
        <f t="shared" si="5"/>
        <v>0.51069999999999993</v>
      </c>
    </row>
    <row r="38" spans="1:32">
      <c r="A38" s="16"/>
      <c r="B38" s="33" t="s">
        <v>32</v>
      </c>
      <c r="C38" s="236">
        <v>0</v>
      </c>
      <c r="D38" s="236">
        <v>0</v>
      </c>
      <c r="E38" s="236">
        <f>Inputs!C43</f>
        <v>0.41289999999999999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f>Inputs!D43</f>
        <v>0.4662</v>
      </c>
      <c r="M38" s="231"/>
      <c r="N38" s="237"/>
      <c r="O38" s="233"/>
      <c r="P38" s="233"/>
      <c r="Q38" s="233">
        <f t="shared" si="4"/>
        <v>0.58709999999999996</v>
      </c>
      <c r="R38" s="233"/>
      <c r="S38" s="233"/>
      <c r="T38" s="233"/>
      <c r="U38" s="233"/>
      <c r="V38" s="233"/>
      <c r="W38" s="233"/>
      <c r="X38" s="233">
        <f t="shared" si="5"/>
        <v>0.53380000000000005</v>
      </c>
    </row>
    <row r="39" spans="1:32">
      <c r="A39" s="16"/>
      <c r="B39" s="33"/>
      <c r="C39" s="232"/>
      <c r="D39" s="232"/>
      <c r="E39" s="232"/>
      <c r="F39" s="232"/>
      <c r="G39" s="232"/>
      <c r="H39" s="232"/>
      <c r="I39" s="235"/>
      <c r="J39" s="235"/>
      <c r="K39" s="232"/>
      <c r="L39" s="232"/>
      <c r="M39" s="232"/>
      <c r="N39" s="237"/>
      <c r="O39" s="233"/>
      <c r="P39" s="233"/>
      <c r="Q39" s="233"/>
      <c r="R39" s="233"/>
      <c r="S39" s="233"/>
      <c r="T39" s="233"/>
      <c r="U39" s="233"/>
      <c r="V39" s="233"/>
      <c r="W39" s="233"/>
      <c r="X39" s="233"/>
    </row>
    <row r="40" spans="1:32">
      <c r="A40" s="16"/>
      <c r="B40" s="33"/>
      <c r="C40" s="232"/>
      <c r="D40" s="232"/>
      <c r="E40" s="232"/>
      <c r="F40" s="232"/>
      <c r="G40" s="232"/>
      <c r="H40" s="232"/>
      <c r="I40" s="235"/>
      <c r="J40" s="235"/>
      <c r="K40" s="232"/>
      <c r="L40" s="232"/>
      <c r="M40" s="232"/>
      <c r="N40" s="237"/>
      <c r="O40" s="233"/>
      <c r="P40" s="233"/>
      <c r="Q40" s="233"/>
      <c r="R40" s="233"/>
      <c r="S40" s="233"/>
      <c r="T40" s="233"/>
      <c r="U40" s="233"/>
      <c r="V40" s="233"/>
      <c r="W40" s="233"/>
      <c r="X40" s="233"/>
    </row>
    <row r="41" spans="1:32">
      <c r="A41" s="2" t="s">
        <v>35</v>
      </c>
      <c r="B41" s="40" t="s">
        <v>36</v>
      </c>
      <c r="C41" s="7"/>
      <c r="D41" s="7"/>
      <c r="E41" s="7"/>
      <c r="F41" s="7"/>
      <c r="G41" s="7"/>
      <c r="H41" s="7"/>
      <c r="I41" s="7"/>
      <c r="J41" s="7"/>
      <c r="K41" s="7"/>
      <c r="L41" s="7"/>
      <c r="O41" s="12" t="s">
        <v>114</v>
      </c>
    </row>
    <row r="42" spans="1:32">
      <c r="A42" s="16"/>
      <c r="B42" s="238" t="str">
        <f>Inputs!B47</f>
        <v>Calendar month sales forecasted for 2025, less % for LPL-Sec &gt; 500 kW Peak Load Share</v>
      </c>
      <c r="G42" s="239"/>
      <c r="L42" s="7" t="s">
        <v>115</v>
      </c>
      <c r="AB42" s="42" t="s">
        <v>116</v>
      </c>
      <c r="AD42" s="12" t="s">
        <v>38</v>
      </c>
    </row>
    <row r="43" spans="1:32">
      <c r="A43" s="16"/>
      <c r="B43" s="13" t="s">
        <v>37</v>
      </c>
      <c r="C43" s="7" t="str">
        <f>+C7</f>
        <v>RS</v>
      </c>
      <c r="D43" s="7" t="str">
        <f t="shared" ref="D43:L43" si="6">+D7</f>
        <v>RHS</v>
      </c>
      <c r="E43" s="7" t="str">
        <f t="shared" si="6"/>
        <v>RLM</v>
      </c>
      <c r="F43" s="7" t="str">
        <f t="shared" si="6"/>
        <v>WH</v>
      </c>
      <c r="G43" s="7" t="str">
        <f t="shared" si="6"/>
        <v>WHS</v>
      </c>
      <c r="H43" s="7" t="str">
        <f t="shared" si="6"/>
        <v>HS</v>
      </c>
      <c r="I43" s="7" t="str">
        <f t="shared" si="6"/>
        <v>PSAL</v>
      </c>
      <c r="J43" s="7" t="str">
        <f t="shared" si="6"/>
        <v>BPL</v>
      </c>
      <c r="K43" s="7" t="str">
        <f t="shared" si="6"/>
        <v>GLP</v>
      </c>
      <c r="L43" s="7" t="str">
        <f t="shared" si="6"/>
        <v>LPL-S</v>
      </c>
      <c r="M43" s="7"/>
      <c r="N43" s="7"/>
      <c r="O43" s="7" t="str">
        <f>+C7</f>
        <v>RS</v>
      </c>
      <c r="P43" s="7" t="str">
        <f t="shared" ref="P43:X43" si="7">+D7</f>
        <v>RHS</v>
      </c>
      <c r="Q43" s="7" t="str">
        <f t="shared" si="7"/>
        <v>RLM</v>
      </c>
      <c r="R43" s="7" t="str">
        <f t="shared" si="7"/>
        <v>WH</v>
      </c>
      <c r="S43" s="7" t="str">
        <f t="shared" si="7"/>
        <v>WHS</v>
      </c>
      <c r="T43" s="7" t="str">
        <f t="shared" si="7"/>
        <v>HS</v>
      </c>
      <c r="U43" s="7" t="str">
        <f t="shared" si="7"/>
        <v>PSAL</v>
      </c>
      <c r="V43" s="7" t="str">
        <f t="shared" si="7"/>
        <v>BPL</v>
      </c>
      <c r="W43" s="7" t="str">
        <f t="shared" si="7"/>
        <v>GLP</v>
      </c>
      <c r="X43" s="7" t="str">
        <f t="shared" si="7"/>
        <v>LPL-S</v>
      </c>
      <c r="Y43" s="7"/>
      <c r="Z43" s="7" t="s">
        <v>117</v>
      </c>
      <c r="AB43" s="42" t="s">
        <v>20</v>
      </c>
      <c r="AD43" s="240" t="s">
        <v>39</v>
      </c>
      <c r="AE43" s="240" t="s">
        <v>39</v>
      </c>
      <c r="AF43" s="42" t="s">
        <v>39</v>
      </c>
    </row>
    <row r="44" spans="1:32">
      <c r="A44" s="16"/>
      <c r="C44" s="7"/>
      <c r="D44" s="7"/>
      <c r="E44" s="7"/>
      <c r="F44" s="7"/>
      <c r="G44" s="7"/>
      <c r="H44" s="7"/>
      <c r="I44" s="7"/>
      <c r="J44" s="7"/>
      <c r="K44" s="7"/>
      <c r="L44" s="7"/>
      <c r="Y44" s="43"/>
      <c r="AB44" s="42"/>
      <c r="AD44" s="42" t="s">
        <v>40</v>
      </c>
      <c r="AE44" s="42" t="s">
        <v>41</v>
      </c>
      <c r="AF44" s="42" t="s">
        <v>118</v>
      </c>
    </row>
    <row r="45" spans="1:32">
      <c r="A45" s="16"/>
      <c r="B45" s="33" t="s">
        <v>21</v>
      </c>
      <c r="C45" s="241">
        <f>Inputs!C50</f>
        <v>1241003.8436743093</v>
      </c>
      <c r="D45" s="241">
        <f>Inputs!D50</f>
        <v>12154.925390531822</v>
      </c>
      <c r="E45" s="241">
        <f>Inputs!E50</f>
        <v>14456.854408861696</v>
      </c>
      <c r="F45" s="241">
        <f>Inputs!F50</f>
        <v>24</v>
      </c>
      <c r="G45" s="241">
        <f>Inputs!G50</f>
        <v>1</v>
      </c>
      <c r="H45" s="241">
        <f>Inputs!H50</f>
        <v>1456.4688734030196</v>
      </c>
      <c r="I45" s="241">
        <f>Inputs!I50</f>
        <v>16007</v>
      </c>
      <c r="J45" s="241">
        <f>Inputs!J50</f>
        <v>33689</v>
      </c>
      <c r="K45" s="241">
        <f>Inputs!K50</f>
        <v>533140.57393587544</v>
      </c>
      <c r="L45" s="242">
        <f>AB45*$M$45</f>
        <v>441957.08634937543</v>
      </c>
      <c r="M45" s="243">
        <f>(1-AD45)</f>
        <v>0.70384277450938582</v>
      </c>
      <c r="N45" s="100" t="s">
        <v>119</v>
      </c>
      <c r="O45" s="69">
        <f>SUM(C45:C49,C54:C56)</f>
        <v>7804059.2575487085</v>
      </c>
      <c r="P45" s="43">
        <f t="shared" ref="P45:X45" si="8">SUM(D45:D49,D54:D56)</f>
        <v>56658.312282022591</v>
      </c>
      <c r="Q45" s="43">
        <f t="shared" si="8"/>
        <v>92255.21314087903</v>
      </c>
      <c r="R45" s="43">
        <f t="shared" si="8"/>
        <v>167</v>
      </c>
      <c r="S45" s="43">
        <f t="shared" si="8"/>
        <v>7</v>
      </c>
      <c r="T45" s="43">
        <f t="shared" si="8"/>
        <v>7094.8693207725728</v>
      </c>
      <c r="U45" s="43">
        <f t="shared" si="8"/>
        <v>97539</v>
      </c>
      <c r="V45" s="43">
        <f t="shared" si="8"/>
        <v>220689</v>
      </c>
      <c r="W45" s="43">
        <f t="shared" si="8"/>
        <v>3893583.2432799879</v>
      </c>
      <c r="X45" s="43">
        <f t="shared" si="8"/>
        <v>3283859.9115976067</v>
      </c>
      <c r="Y45" s="43">
        <f>SUM(O45:X45)</f>
        <v>15455912.807169978</v>
      </c>
      <c r="Z45" s="244">
        <f>+Y45/(Y45+Y49)</f>
        <v>0.61104402940398916</v>
      </c>
      <c r="AB45" s="245">
        <f>Inputs!L50</f>
        <v>627920.18666021258</v>
      </c>
      <c r="AD45" s="246">
        <f>Inputs!C66</f>
        <v>0.29615722549061424</v>
      </c>
      <c r="AE45" s="247">
        <f>Inputs!D66</f>
        <v>0.28303013209232364</v>
      </c>
      <c r="AF45" s="47">
        <f>AE45</f>
        <v>0.28303013209232364</v>
      </c>
    </row>
    <row r="46" spans="1:32">
      <c r="A46" s="16"/>
      <c r="B46" s="33" t="s">
        <v>22</v>
      </c>
      <c r="C46" s="241">
        <f>Inputs!C51</f>
        <v>1000259.3917750381</v>
      </c>
      <c r="D46" s="241">
        <f>Inputs!D51</f>
        <v>9229.0465827203188</v>
      </c>
      <c r="E46" s="241">
        <f>Inputs!E51</f>
        <v>11890.728484059684</v>
      </c>
      <c r="F46" s="241">
        <f>Inputs!F51</f>
        <v>19</v>
      </c>
      <c r="G46" s="241">
        <f>Inputs!G51</f>
        <v>1</v>
      </c>
      <c r="H46" s="241">
        <f>Inputs!H51</f>
        <v>1322.0528025121521</v>
      </c>
      <c r="I46" s="241">
        <f>Inputs!I51</f>
        <v>11363</v>
      </c>
      <c r="J46" s="241">
        <f>Inputs!J51</f>
        <v>27773</v>
      </c>
      <c r="K46" s="241">
        <f>Inputs!K51</f>
        <v>486962.45517886471</v>
      </c>
      <c r="L46" s="242">
        <f t="shared" ref="L46:L56" si="9">AB46*$M$45</f>
        <v>394674.67583824444</v>
      </c>
      <c r="M46" s="49"/>
      <c r="N46" s="100" t="s">
        <v>120</v>
      </c>
      <c r="O46" s="43"/>
      <c r="P46" s="43"/>
      <c r="Q46" s="43">
        <f>SUMPRODUCT(E27:E31,E45:E49)+SUMPRODUCT(E36:E38,E54:E56)</f>
        <v>39075.621720067647</v>
      </c>
      <c r="R46" s="43"/>
      <c r="X46" s="43">
        <f>SUMPRODUCT(L27:L31,L45:L49)+SUMPRODUCT(L36:L38,L54:L56)</f>
        <v>1552730.1573699911</v>
      </c>
      <c r="Y46" s="43"/>
      <c r="Z46" s="244"/>
      <c r="AB46" s="245">
        <f>Inputs!L51</f>
        <v>560742.66886287602</v>
      </c>
      <c r="AD46" s="48"/>
    </row>
    <row r="47" spans="1:32">
      <c r="A47" s="16"/>
      <c r="B47" s="33" t="s">
        <v>23</v>
      </c>
      <c r="C47" s="241">
        <f>Inputs!C52</f>
        <v>979307.01201027271</v>
      </c>
      <c r="D47" s="241">
        <f>Inputs!D52</f>
        <v>7612.5497272216617</v>
      </c>
      <c r="E47" s="241">
        <f>Inputs!E52</f>
        <v>11527.495856016361</v>
      </c>
      <c r="F47" s="241">
        <f>Inputs!F52</f>
        <v>21</v>
      </c>
      <c r="G47" s="241">
        <f>Inputs!G52</f>
        <v>1</v>
      </c>
      <c r="H47" s="241">
        <f>Inputs!H52</f>
        <v>1084.1717296855509</v>
      </c>
      <c r="I47" s="241">
        <f>Inputs!I52</f>
        <v>12009</v>
      </c>
      <c r="J47" s="241">
        <f>Inputs!J52</f>
        <v>31037</v>
      </c>
      <c r="K47" s="241">
        <f>Inputs!K52</f>
        <v>521645.52362982713</v>
      </c>
      <c r="L47" s="242">
        <f t="shared" si="9"/>
        <v>431945.20757142006</v>
      </c>
      <c r="M47" s="49"/>
      <c r="N47" s="100" t="s">
        <v>121</v>
      </c>
      <c r="O47" s="43">
        <f>+O45-O46</f>
        <v>7804059.2575487085</v>
      </c>
      <c r="P47" s="43">
        <f>+P45-P46</f>
        <v>56658.312282022591</v>
      </c>
      <c r="Q47" s="43">
        <f>+Q45-Q46</f>
        <v>53179.591420811383</v>
      </c>
      <c r="R47" s="43">
        <f>+R45-R46</f>
        <v>167</v>
      </c>
      <c r="X47" s="43">
        <f>+X45-X46</f>
        <v>1731129.7542276157</v>
      </c>
      <c r="Y47" s="43"/>
      <c r="Z47" s="50"/>
      <c r="AB47" s="245">
        <f>Inputs!L52</f>
        <v>613695.59113895544</v>
      </c>
    </row>
    <row r="48" spans="1:32">
      <c r="A48" s="16"/>
      <c r="B48" s="33" t="s">
        <v>24</v>
      </c>
      <c r="C48" s="241">
        <f>Inputs!C53</f>
        <v>819857.47976373206</v>
      </c>
      <c r="D48" s="241">
        <f>Inputs!D53</f>
        <v>4050.0168502662377</v>
      </c>
      <c r="E48" s="241">
        <f>Inputs!E53</f>
        <v>10057.921261156454</v>
      </c>
      <c r="F48" s="241">
        <f>Inputs!F53</f>
        <v>21</v>
      </c>
      <c r="G48" s="241">
        <f>Inputs!G53</f>
        <v>1</v>
      </c>
      <c r="H48" s="241">
        <f>Inputs!H53</f>
        <v>612.83116531165308</v>
      </c>
      <c r="I48" s="241">
        <f>Inputs!I53</f>
        <v>10071</v>
      </c>
      <c r="J48" s="241">
        <f>Inputs!J53</f>
        <v>23847</v>
      </c>
      <c r="K48" s="241">
        <f>Inputs!K53</f>
        <v>454663.19345650577</v>
      </c>
      <c r="L48" s="242">
        <f t="shared" si="9"/>
        <v>373137.09647042735</v>
      </c>
      <c r="M48" s="49"/>
      <c r="Y48" s="43"/>
      <c r="AB48" s="245">
        <f>Inputs!L53</f>
        <v>530142.68240591499</v>
      </c>
    </row>
    <row r="49" spans="1:28">
      <c r="A49" s="16"/>
      <c r="B49" s="33" t="s">
        <v>25</v>
      </c>
      <c r="C49" s="241">
        <f>Inputs!C54</f>
        <v>893270.24831323198</v>
      </c>
      <c r="D49" s="241">
        <f>Inputs!D54</f>
        <v>2871.2806028006908</v>
      </c>
      <c r="E49" s="241">
        <f>Inputs!E54</f>
        <v>11876.042528747959</v>
      </c>
      <c r="F49" s="241">
        <f>Inputs!F54</f>
        <v>18</v>
      </c>
      <c r="G49" s="241">
        <f>Inputs!G54</f>
        <v>1</v>
      </c>
      <c r="H49" s="241">
        <f>Inputs!H54</f>
        <v>441.27381167462465</v>
      </c>
      <c r="I49" s="241">
        <f>Inputs!I54</f>
        <v>8784</v>
      </c>
      <c r="J49" s="241">
        <f>Inputs!J54</f>
        <v>22335</v>
      </c>
      <c r="K49" s="241">
        <f>Inputs!K54</f>
        <v>456088.19969279272</v>
      </c>
      <c r="L49" s="242">
        <f t="shared" si="9"/>
        <v>409687.30435206858</v>
      </c>
      <c r="N49" s="100" t="s">
        <v>122</v>
      </c>
      <c r="O49" s="69">
        <f>SUM(C50:C53)</f>
        <v>5589842.6767123863</v>
      </c>
      <c r="P49" s="43">
        <f t="shared" ref="P49:X49" si="10">+SUM(D50:D53)</f>
        <v>15882.227850466301</v>
      </c>
      <c r="Q49" s="43">
        <f t="shared" si="10"/>
        <v>73168.366554074295</v>
      </c>
      <c r="R49" s="43">
        <f t="shared" si="10"/>
        <v>66</v>
      </c>
      <c r="S49" s="43">
        <f t="shared" si="10"/>
        <v>1</v>
      </c>
      <c r="T49" s="43">
        <f t="shared" si="10"/>
        <v>2143.5826042069943</v>
      </c>
      <c r="U49" s="43">
        <f t="shared" si="10"/>
        <v>37181</v>
      </c>
      <c r="V49" s="43">
        <f t="shared" si="10"/>
        <v>80025</v>
      </c>
      <c r="W49" s="43">
        <f t="shared" si="10"/>
        <v>2206634.4717590902</v>
      </c>
      <c r="X49" s="43">
        <f t="shared" si="10"/>
        <v>1833413.1055282757</v>
      </c>
      <c r="Y49" s="43">
        <f>SUM(O49:X49)</f>
        <v>9838357.4310084991</v>
      </c>
      <c r="Z49" s="50">
        <f>1-Z45</f>
        <v>0.38895597059601084</v>
      </c>
      <c r="AB49" s="245">
        <f>Inputs!L54</f>
        <v>582072.18883171945</v>
      </c>
    </row>
    <row r="50" spans="1:28">
      <c r="A50" s="16"/>
      <c r="B50" s="33" t="s">
        <v>26</v>
      </c>
      <c r="C50" s="241">
        <f>Inputs!C55</f>
        <v>1288316.364953649</v>
      </c>
      <c r="D50" s="241">
        <f>Inputs!D55</f>
        <v>3622.0059216993436</v>
      </c>
      <c r="E50" s="241">
        <f>Inputs!E55</f>
        <v>17758.257162937385</v>
      </c>
      <c r="F50" s="241">
        <f>Inputs!F55</f>
        <v>18</v>
      </c>
      <c r="G50" s="241">
        <f>Inputs!G55</f>
        <v>1</v>
      </c>
      <c r="H50" s="241">
        <f>Inputs!H55</f>
        <v>517.32500967866815</v>
      </c>
      <c r="I50" s="241">
        <f>Inputs!I55</f>
        <v>8414</v>
      </c>
      <c r="J50" s="241">
        <f>Inputs!J55</f>
        <v>19512</v>
      </c>
      <c r="K50" s="241">
        <f>Inputs!K55</f>
        <v>522199.69272171654</v>
      </c>
      <c r="L50" s="242">
        <f t="shared" si="9"/>
        <v>434847.26158999384</v>
      </c>
      <c r="M50" s="49"/>
      <c r="N50" s="100" t="s">
        <v>120</v>
      </c>
      <c r="O50" s="69"/>
      <c r="Q50" s="43">
        <f>+SUMPRODUCT(E32:E35,E50:E53)</f>
        <v>35138.410993201906</v>
      </c>
      <c r="X50" s="43">
        <f>+SUMPRODUCT(L32:L35,L50:L53)</f>
        <v>890459.83000916615</v>
      </c>
      <c r="Y50" s="43"/>
      <c r="Z50" s="244"/>
      <c r="AB50" s="245">
        <f>Inputs!L55</f>
        <v>617818.74779222463</v>
      </c>
    </row>
    <row r="51" spans="1:28">
      <c r="A51" s="16"/>
      <c r="B51" s="33" t="s">
        <v>27</v>
      </c>
      <c r="C51" s="241">
        <f>Inputs!C56</f>
        <v>1648474.866663716</v>
      </c>
      <c r="D51" s="241">
        <f>Inputs!D56</f>
        <v>4772.4680987128631</v>
      </c>
      <c r="E51" s="241">
        <f>Inputs!E56</f>
        <v>21283.865501438737</v>
      </c>
      <c r="F51" s="241">
        <f>Inputs!F56</f>
        <v>15</v>
      </c>
      <c r="G51" s="241">
        <f>Inputs!G56</f>
        <v>0</v>
      </c>
      <c r="H51" s="241">
        <f>Inputs!H56</f>
        <v>475.76214565320254</v>
      </c>
      <c r="I51" s="241">
        <f>Inputs!I56</f>
        <v>8404</v>
      </c>
      <c r="J51" s="241">
        <f>Inputs!J56</f>
        <v>18630</v>
      </c>
      <c r="K51" s="241">
        <f>Inputs!K56</f>
        <v>581742.08292805322</v>
      </c>
      <c r="L51" s="242">
        <f t="shared" si="9"/>
        <v>478148.68920118205</v>
      </c>
      <c r="M51" s="49"/>
      <c r="N51" s="100" t="s">
        <v>121</v>
      </c>
      <c r="O51" s="69"/>
      <c r="Q51" s="43">
        <f>+Q49-Q50</f>
        <v>38029.955560872389</v>
      </c>
      <c r="X51" s="43">
        <f>+X49-X50</f>
        <v>942953.27551910956</v>
      </c>
      <c r="Y51" s="43"/>
      <c r="Z51" s="50"/>
      <c r="AB51" s="245">
        <f>Inputs!L56</f>
        <v>679340.19715479214</v>
      </c>
    </row>
    <row r="52" spans="1:28">
      <c r="A52" s="16"/>
      <c r="B52" s="33" t="s">
        <v>28</v>
      </c>
      <c r="C52" s="241">
        <f>Inputs!C57</f>
        <v>1569321.8678781567</v>
      </c>
      <c r="D52" s="241">
        <f>Inputs!D57</f>
        <v>4410.7549905162396</v>
      </c>
      <c r="E52" s="241">
        <f>Inputs!E57</f>
        <v>19454.974533285302</v>
      </c>
      <c r="F52" s="241">
        <f>Inputs!F57</f>
        <v>14</v>
      </c>
      <c r="G52" s="241">
        <f>Inputs!G57</f>
        <v>0</v>
      </c>
      <c r="H52" s="241">
        <f>Inputs!H57</f>
        <v>565.07808749516062</v>
      </c>
      <c r="I52" s="241">
        <f>Inputs!I57</f>
        <v>9656</v>
      </c>
      <c r="J52" s="241">
        <f>Inputs!J57</f>
        <v>19365</v>
      </c>
      <c r="K52" s="241">
        <f>Inputs!K57</f>
        <v>590332.58348581777</v>
      </c>
      <c r="L52" s="242">
        <f t="shared" si="9"/>
        <v>496839.22487338108</v>
      </c>
      <c r="M52" s="49"/>
      <c r="AB52" s="245">
        <f>Inputs!L57</f>
        <v>705895.18407673261</v>
      </c>
    </row>
    <row r="53" spans="1:28">
      <c r="A53" s="16"/>
      <c r="B53" s="33" t="s">
        <v>29</v>
      </c>
      <c r="C53" s="241">
        <f>Inputs!C58</f>
        <v>1083729.5772168648</v>
      </c>
      <c r="D53" s="241">
        <f>Inputs!D58</f>
        <v>3076.9988395378541</v>
      </c>
      <c r="E53" s="241">
        <f>Inputs!E58</f>
        <v>14671.269356412875</v>
      </c>
      <c r="F53" s="241">
        <f>Inputs!F58</f>
        <v>19</v>
      </c>
      <c r="G53" s="241">
        <f>Inputs!G58</f>
        <v>0</v>
      </c>
      <c r="H53" s="241">
        <f>Inputs!H58</f>
        <v>585.41736137996304</v>
      </c>
      <c r="I53" s="241">
        <f>Inputs!I58</f>
        <v>10707</v>
      </c>
      <c r="J53" s="241">
        <f>Inputs!J58</f>
        <v>22518</v>
      </c>
      <c r="K53" s="241">
        <f>Inputs!K58</f>
        <v>512360.11262350285</v>
      </c>
      <c r="L53" s="242">
        <f t="shared" si="9"/>
        <v>423577.92986371863</v>
      </c>
      <c r="M53" s="49"/>
      <c r="N53" s="100" t="s">
        <v>123</v>
      </c>
      <c r="O53" s="69">
        <f>+O49*C169</f>
        <v>3611038.3691562018</v>
      </c>
      <c r="P53" s="69">
        <f>+P49*D169</f>
        <v>10498.152609158225</v>
      </c>
      <c r="AB53" s="245">
        <f>Inputs!L58</f>
        <v>601807.59852081165</v>
      </c>
    </row>
    <row r="54" spans="1:28">
      <c r="A54" s="16"/>
      <c r="B54" s="33" t="s">
        <v>30</v>
      </c>
      <c r="C54" s="241">
        <f>Inputs!C59</f>
        <v>858721.96700011683</v>
      </c>
      <c r="D54" s="241">
        <f>Inputs!D59</f>
        <v>4338.6073624662395</v>
      </c>
      <c r="E54" s="241">
        <f>Inputs!E59</f>
        <v>10135.26729246487</v>
      </c>
      <c r="F54" s="241">
        <f>Inputs!F59</f>
        <v>19</v>
      </c>
      <c r="G54" s="241">
        <f>Inputs!G59</f>
        <v>0</v>
      </c>
      <c r="H54" s="241">
        <f>Inputs!H59</f>
        <v>446.57970920979051</v>
      </c>
      <c r="I54" s="241">
        <f>Inputs!I59</f>
        <v>12013</v>
      </c>
      <c r="J54" s="241">
        <f>Inputs!J59</f>
        <v>24926</v>
      </c>
      <c r="K54" s="241">
        <f>Inputs!K59</f>
        <v>471350.72019020963</v>
      </c>
      <c r="L54" s="242">
        <f t="shared" si="9"/>
        <v>418224.28371643543</v>
      </c>
      <c r="M54" s="49"/>
      <c r="N54" s="100" t="s">
        <v>124</v>
      </c>
      <c r="O54" s="43">
        <f>+O49-O53</f>
        <v>1978804.3075561845</v>
      </c>
      <c r="P54" s="43">
        <f>+P49-P53</f>
        <v>5384.0752413080754</v>
      </c>
      <c r="AB54" s="245">
        <f>Inputs!L59</f>
        <v>594201.28878634726</v>
      </c>
    </row>
    <row r="55" spans="1:28">
      <c r="A55" s="16"/>
      <c r="B55" s="33" t="s">
        <v>31</v>
      </c>
      <c r="C55" s="241">
        <f>Inputs!C60</f>
        <v>876219.22441367141</v>
      </c>
      <c r="D55" s="241">
        <f>Inputs!D60</f>
        <v>6786.7518764331444</v>
      </c>
      <c r="E55" s="241">
        <f>Inputs!E60</f>
        <v>9773.0137281089974</v>
      </c>
      <c r="F55" s="241">
        <f>Inputs!F60</f>
        <v>23</v>
      </c>
      <c r="G55" s="241">
        <f>Inputs!G60</f>
        <v>1</v>
      </c>
      <c r="H55" s="241">
        <f>Inputs!H60</f>
        <v>626.09590914956766</v>
      </c>
      <c r="I55" s="241">
        <f>Inputs!I60</f>
        <v>12924</v>
      </c>
      <c r="J55" s="241">
        <f>Inputs!J60</f>
        <v>25965</v>
      </c>
      <c r="K55" s="241">
        <f>Inputs!K60</f>
        <v>444445.37096224062</v>
      </c>
      <c r="L55" s="242">
        <f t="shared" si="9"/>
        <v>388431.0041827613</v>
      </c>
      <c r="M55" s="49"/>
      <c r="AB55" s="245">
        <f>Inputs!L60</f>
        <v>551871.83594165253</v>
      </c>
    </row>
    <row r="56" spans="1:28">
      <c r="A56" s="16"/>
      <c r="B56" s="33" t="s">
        <v>32</v>
      </c>
      <c r="C56" s="241">
        <f>Inputs!C61</f>
        <v>1135420.090598335</v>
      </c>
      <c r="D56" s="241">
        <f>Inputs!D61</f>
        <v>9615.1338895824829</v>
      </c>
      <c r="E56" s="241">
        <f>Inputs!E61</f>
        <v>12537.889581463014</v>
      </c>
      <c r="F56" s="241">
        <f>Inputs!F61</f>
        <v>22</v>
      </c>
      <c r="G56" s="241">
        <f>Inputs!G61</f>
        <v>1</v>
      </c>
      <c r="H56" s="241">
        <f>Inputs!H61</f>
        <v>1105.3953198262141</v>
      </c>
      <c r="I56" s="241">
        <f>Inputs!I61</f>
        <v>14368</v>
      </c>
      <c r="J56" s="241">
        <f>Inputs!J61</f>
        <v>31117</v>
      </c>
      <c r="K56" s="241">
        <f>Inputs!K61</f>
        <v>525287.20623367163</v>
      </c>
      <c r="L56" s="242">
        <f t="shared" si="9"/>
        <v>425803.25311687402</v>
      </c>
      <c r="M56" s="49"/>
      <c r="AB56" s="245">
        <f>Inputs!L61</f>
        <v>604969.27515336149</v>
      </c>
    </row>
    <row r="57" spans="1:28">
      <c r="A57" s="16"/>
      <c r="B57" s="248" t="s">
        <v>116</v>
      </c>
      <c r="C57" s="43">
        <f>SUM(C45:C56)</f>
        <v>13393901.934261097</v>
      </c>
      <c r="D57" s="43">
        <f>SUM(D45:D56)</f>
        <v>72540.540132488895</v>
      </c>
      <c r="E57" s="43">
        <f t="shared" ref="E57:K57" si="11">SUM(E45:E56)</f>
        <v>165423.57969495334</v>
      </c>
      <c r="F57" s="43">
        <f t="shared" si="11"/>
        <v>233</v>
      </c>
      <c r="G57" s="43">
        <f t="shared" si="11"/>
        <v>8</v>
      </c>
      <c r="H57" s="43">
        <f>SUM(H45:H56)</f>
        <v>9238.4519249795667</v>
      </c>
      <c r="I57" s="43">
        <f>SUM(I45:I56)</f>
        <v>134720</v>
      </c>
      <c r="J57" s="43">
        <f>SUM(J45:J56)</f>
        <v>300714</v>
      </c>
      <c r="K57" s="43">
        <f t="shared" si="11"/>
        <v>6100217.7150390781</v>
      </c>
      <c r="L57" s="43">
        <f>SUM(L45:L56)</f>
        <v>5117273.0171258831</v>
      </c>
      <c r="M57" s="43"/>
      <c r="O57" s="12" t="s">
        <v>125</v>
      </c>
      <c r="AB57" s="43">
        <f>SUM(AB45:AB56)</f>
        <v>7270477.4453256009</v>
      </c>
    </row>
    <row r="58" spans="1:28">
      <c r="A58" s="16"/>
      <c r="B58" s="33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O58" s="13" t="s">
        <v>126</v>
      </c>
      <c r="AB58" s="60"/>
    </row>
    <row r="59" spans="1:28">
      <c r="A59" s="16"/>
      <c r="L59" s="43"/>
      <c r="Y59" s="7" t="s">
        <v>116</v>
      </c>
      <c r="Z59" s="7" t="s">
        <v>117</v>
      </c>
      <c r="AB59" s="60"/>
    </row>
    <row r="60" spans="1:28">
      <c r="A60" s="2" t="s">
        <v>42</v>
      </c>
      <c r="B60" s="12" t="s">
        <v>43</v>
      </c>
      <c r="G60" s="250" t="s">
        <v>44</v>
      </c>
      <c r="H60" s="12" t="s">
        <v>45</v>
      </c>
      <c r="N60" s="42" t="s">
        <v>51</v>
      </c>
    </row>
    <row r="61" spans="1:28">
      <c r="A61" s="16"/>
      <c r="B61" s="13" t="s">
        <v>46</v>
      </c>
      <c r="D61" s="7" t="s">
        <v>47</v>
      </c>
      <c r="E61" s="7" t="s">
        <v>127</v>
      </c>
      <c r="G61" s="10"/>
      <c r="N61" s="100" t="s">
        <v>120</v>
      </c>
      <c r="O61" s="69">
        <f>SUMPRODUCT(C9:C13,C45:C49)+SUMPRODUCT(C18:C20,C54:C56)</f>
        <v>3755921.5360137504</v>
      </c>
      <c r="P61" s="69">
        <f t="shared" ref="P61:X61" si="12">SUMPRODUCT(D9:D13,D45:D49)+SUMPRODUCT(D18:D20,D54:D56)</f>
        <v>26631.229572623626</v>
      </c>
      <c r="Q61" s="69">
        <f t="shared" si="12"/>
        <v>43501.363785475332</v>
      </c>
      <c r="R61" s="69">
        <f t="shared" si="12"/>
        <v>80.440699999999993</v>
      </c>
      <c r="S61" s="69">
        <f t="shared" si="12"/>
        <v>3.3632</v>
      </c>
      <c r="T61" s="69">
        <f t="shared" si="12"/>
        <v>3409.2605991345122</v>
      </c>
      <c r="U61" s="69">
        <f t="shared" si="12"/>
        <v>26992.793099999995</v>
      </c>
      <c r="V61" s="69">
        <f t="shared" si="12"/>
        <v>60648.3027</v>
      </c>
      <c r="W61" s="69">
        <f t="shared" si="12"/>
        <v>2091160.8621037686</v>
      </c>
      <c r="X61" s="69">
        <f t="shared" si="12"/>
        <v>1699270.9478141484</v>
      </c>
      <c r="Y61" s="43">
        <f>SUM(O61:X61)</f>
        <v>7707620.0995889008</v>
      </c>
      <c r="Z61" s="244">
        <f>+Y61/(Y61+Y62)</f>
        <v>0.49868423791918298</v>
      </c>
    </row>
    <row r="62" spans="1:28">
      <c r="A62" s="16"/>
      <c r="C62" s="7" t="s">
        <v>48</v>
      </c>
      <c r="D62" s="7" t="s">
        <v>49</v>
      </c>
      <c r="E62" s="7" t="s">
        <v>53</v>
      </c>
      <c r="G62" s="7"/>
      <c r="H62" s="7" t="s">
        <v>48</v>
      </c>
      <c r="I62" s="7" t="s">
        <v>53</v>
      </c>
      <c r="N62" s="100" t="s">
        <v>121</v>
      </c>
      <c r="O62" s="43">
        <f>+O45-O61</f>
        <v>4048137.7215349581</v>
      </c>
      <c r="P62" s="43">
        <f t="shared" ref="P62:X62" si="13">+P45-P61</f>
        <v>30027.082709398965</v>
      </c>
      <c r="Q62" s="43">
        <f t="shared" si="13"/>
        <v>48753.849355403698</v>
      </c>
      <c r="R62" s="43">
        <f t="shared" si="13"/>
        <v>86.559300000000007</v>
      </c>
      <c r="S62" s="43">
        <f t="shared" si="13"/>
        <v>3.6368</v>
      </c>
      <c r="T62" s="43">
        <f t="shared" si="13"/>
        <v>3685.6087216380606</v>
      </c>
      <c r="U62" s="43">
        <f t="shared" si="13"/>
        <v>70546.206900000005</v>
      </c>
      <c r="V62" s="43">
        <f t="shared" si="13"/>
        <v>160040.6973</v>
      </c>
      <c r="W62" s="43">
        <f t="shared" si="13"/>
        <v>1802422.3811762193</v>
      </c>
      <c r="X62" s="43">
        <f t="shared" si="13"/>
        <v>1584588.9637834583</v>
      </c>
      <c r="Y62" s="43">
        <f t="shared" ref="Y62:Y69" si="14">SUM(O62:X62)</f>
        <v>7748292.7075810768</v>
      </c>
      <c r="Z62" s="50">
        <f>1-Z61</f>
        <v>0.50131576208081707</v>
      </c>
    </row>
    <row r="63" spans="1:28">
      <c r="A63" s="16"/>
      <c r="B63" s="33" t="s">
        <v>21</v>
      </c>
      <c r="C63" s="251">
        <f>Inputs!C73</f>
        <v>90</v>
      </c>
      <c r="D63" s="252">
        <f>Inputs!F74</f>
        <v>0.80409862816764077</v>
      </c>
      <c r="E63" s="75">
        <f>ROUND(+C63*D63,3)</f>
        <v>72.369</v>
      </c>
      <c r="H63" s="235">
        <f>Inputs!F81</f>
        <v>0.82769080959809849</v>
      </c>
      <c r="I63" s="235">
        <f>Inputs!G81</f>
        <v>0.88353490202947005</v>
      </c>
      <c r="J63" s="111" t="s">
        <v>128</v>
      </c>
      <c r="K63" s="111" t="s">
        <v>432</v>
      </c>
      <c r="L63" s="111" t="s">
        <v>129</v>
      </c>
      <c r="Y63" s="43"/>
    </row>
    <row r="64" spans="1:28">
      <c r="A64" s="16"/>
      <c r="B64" s="33" t="s">
        <v>22</v>
      </c>
      <c r="C64" s="251">
        <f>Inputs!C74</f>
        <v>77.25</v>
      </c>
      <c r="D64" s="74">
        <f>+$D$63</f>
        <v>0.80409862816764077</v>
      </c>
      <c r="E64" s="75">
        <f>ROUND(+C64*D64,3)</f>
        <v>62.116999999999997</v>
      </c>
      <c r="H64" s="253">
        <f>+$H$63</f>
        <v>0.82769080959809849</v>
      </c>
      <c r="I64" s="253">
        <f>+$I$63</f>
        <v>0.88353490202947005</v>
      </c>
      <c r="J64" s="13"/>
      <c r="N64" s="42" t="s">
        <v>50</v>
      </c>
      <c r="Y64" s="43"/>
    </row>
    <row r="65" spans="1:26">
      <c r="A65" s="16"/>
      <c r="B65" s="33" t="s">
        <v>23</v>
      </c>
      <c r="C65" s="251">
        <f>Inputs!C75</f>
        <v>51.35</v>
      </c>
      <c r="D65" s="74">
        <f>+$D$63</f>
        <v>0.80409862816764077</v>
      </c>
      <c r="E65" s="75">
        <f t="shared" ref="E65:E74" si="15">ROUND(+C65*D65,3)</f>
        <v>41.29</v>
      </c>
      <c r="H65" s="253">
        <f>+$H$63</f>
        <v>0.82769080959809849</v>
      </c>
      <c r="I65" s="253">
        <f>+$I$63</f>
        <v>0.88353490202947005</v>
      </c>
      <c r="J65" s="112" t="s">
        <v>130</v>
      </c>
      <c r="N65" s="100" t="s">
        <v>120</v>
      </c>
      <c r="O65" s="69">
        <f>SUMPRODUCT(C14:C17,C50:C53)</f>
        <v>2871397.2355736457</v>
      </c>
      <c r="P65" s="69">
        <f t="shared" ref="P65:X65" si="16">SUMPRODUCT(D14:D17,D50:D53)</f>
        <v>8314.0411147518153</v>
      </c>
      <c r="Q65" s="69">
        <f t="shared" si="16"/>
        <v>37655.733432469307</v>
      </c>
      <c r="R65" s="69">
        <f t="shared" si="16"/>
        <v>33.759</v>
      </c>
      <c r="S65" s="69">
        <f t="shared" si="16"/>
        <v>0.5363</v>
      </c>
      <c r="T65" s="69">
        <f t="shared" si="16"/>
        <v>1225.849540374672</v>
      </c>
      <c r="U65" s="69">
        <f t="shared" si="16"/>
        <v>7878.3420999999998</v>
      </c>
      <c r="V65" s="69">
        <f t="shared" si="16"/>
        <v>16902.341099999998</v>
      </c>
      <c r="W65" s="69">
        <f t="shared" si="16"/>
        <v>1235382.517025003</v>
      </c>
      <c r="X65" s="69">
        <f t="shared" si="16"/>
        <v>969320.23475213768</v>
      </c>
      <c r="Y65" s="43">
        <f t="shared" si="14"/>
        <v>5148110.5899383817</v>
      </c>
      <c r="Z65" s="244">
        <f>+Y65/(Y65+Y66)</f>
        <v>0.5232693186885633</v>
      </c>
    </row>
    <row r="66" spans="1:26" ht="13.15" customHeight="1">
      <c r="A66" s="16"/>
      <c r="B66" s="33" t="s">
        <v>24</v>
      </c>
      <c r="C66" s="251">
        <f>Inputs!C76</f>
        <v>49.85</v>
      </c>
      <c r="D66" s="74">
        <f>+$D$63</f>
        <v>0.80409862816764077</v>
      </c>
      <c r="E66" s="75">
        <f t="shared" si="15"/>
        <v>40.084000000000003</v>
      </c>
      <c r="H66" s="253">
        <f>+$H$63</f>
        <v>0.82769080959809849</v>
      </c>
      <c r="I66" s="76">
        <f>+$I$63</f>
        <v>0.88353490202947005</v>
      </c>
      <c r="J66" s="254" t="s">
        <v>131</v>
      </c>
      <c r="K66" s="255" t="s">
        <v>433</v>
      </c>
      <c r="L66" s="256"/>
      <c r="M66" s="257"/>
      <c r="N66" s="100" t="s">
        <v>121</v>
      </c>
      <c r="O66" s="43">
        <f>+O49-O65</f>
        <v>2718445.4411387406</v>
      </c>
      <c r="P66" s="43">
        <f t="shared" ref="P66:X66" si="17">+P49-P65</f>
        <v>7568.1867357144856</v>
      </c>
      <c r="Q66" s="43">
        <f t="shared" si="17"/>
        <v>35512.633121604988</v>
      </c>
      <c r="R66" s="43">
        <f t="shared" si="17"/>
        <v>32.241</v>
      </c>
      <c r="S66" s="43">
        <f t="shared" si="17"/>
        <v>0.4637</v>
      </c>
      <c r="T66" s="43">
        <f t="shared" si="17"/>
        <v>917.73306383232239</v>
      </c>
      <c r="U66" s="43">
        <f t="shared" si="17"/>
        <v>29302.657899999998</v>
      </c>
      <c r="V66" s="43">
        <f t="shared" si="17"/>
        <v>63122.658900000002</v>
      </c>
      <c r="W66" s="43">
        <f t="shared" si="17"/>
        <v>971251.95473408722</v>
      </c>
      <c r="X66" s="43">
        <f t="shared" si="17"/>
        <v>864092.87077613804</v>
      </c>
      <c r="Y66" s="43">
        <f t="shared" si="14"/>
        <v>4690246.8410701184</v>
      </c>
      <c r="Z66" s="50">
        <f>1-Z65</f>
        <v>0.4767306813114367</v>
      </c>
    </row>
    <row r="67" spans="1:26" ht="13.15" customHeight="1">
      <c r="A67" s="16"/>
      <c r="B67" s="33" t="s">
        <v>25</v>
      </c>
      <c r="C67" s="251">
        <f>Inputs!C77</f>
        <v>50.55</v>
      </c>
      <c r="D67" s="74">
        <f>+$D$63</f>
        <v>0.80409862816764077</v>
      </c>
      <c r="E67" s="75">
        <f t="shared" si="15"/>
        <v>40.646999999999998</v>
      </c>
      <c r="H67" s="253">
        <f>+$H$63</f>
        <v>0.82769080959809849</v>
      </c>
      <c r="I67" s="76">
        <f>+$I$63</f>
        <v>0.88353490202947005</v>
      </c>
      <c r="J67" s="254" t="s">
        <v>132</v>
      </c>
      <c r="K67" s="254" t="s">
        <v>434</v>
      </c>
      <c r="L67" s="256"/>
      <c r="Y67" s="43"/>
    </row>
    <row r="68" spans="1:26">
      <c r="A68" s="16"/>
      <c r="B68" s="33" t="s">
        <v>26</v>
      </c>
      <c r="C68" s="251">
        <f>Inputs!C78</f>
        <v>56.7</v>
      </c>
      <c r="D68" s="258">
        <f>Inputs!F73</f>
        <v>0.59347901294292971</v>
      </c>
      <c r="E68" s="75">
        <f t="shared" si="15"/>
        <v>33.65</v>
      </c>
      <c r="H68" s="259">
        <f>Inputs!F80</f>
        <v>0.79052284206421664</v>
      </c>
      <c r="I68" s="259">
        <f>Inputs!G80</f>
        <v>0.87147923693666829</v>
      </c>
      <c r="N68" s="100" t="s">
        <v>133</v>
      </c>
      <c r="O68" s="43">
        <f>+O61+O65</f>
        <v>6627318.771587396</v>
      </c>
      <c r="P68" s="43">
        <f t="shared" ref="P68:X69" si="18">+P61+P65</f>
        <v>34945.270687375443</v>
      </c>
      <c r="Q68" s="43">
        <f t="shared" si="18"/>
        <v>81157.09721794464</v>
      </c>
      <c r="R68" s="43">
        <f t="shared" si="18"/>
        <v>114.19969999999999</v>
      </c>
      <c r="S68" s="43">
        <f t="shared" si="18"/>
        <v>3.8994999999999997</v>
      </c>
      <c r="T68" s="43">
        <f t="shared" si="18"/>
        <v>4635.1101395091846</v>
      </c>
      <c r="U68" s="43">
        <f t="shared" si="18"/>
        <v>34871.135199999997</v>
      </c>
      <c r="V68" s="43">
        <f t="shared" si="18"/>
        <v>77550.643799999991</v>
      </c>
      <c r="W68" s="43">
        <f t="shared" si="18"/>
        <v>3326543.3791287718</v>
      </c>
      <c r="X68" s="43">
        <f t="shared" si="18"/>
        <v>2668591.1825662861</v>
      </c>
      <c r="Y68" s="43">
        <f t="shared" si="14"/>
        <v>12855730.689527281</v>
      </c>
      <c r="Z68" s="244">
        <f>+Y68/(Y68+Y69)</f>
        <v>0.50824675187201862</v>
      </c>
    </row>
    <row r="69" spans="1:26">
      <c r="A69" s="16"/>
      <c r="B69" s="33" t="s">
        <v>27</v>
      </c>
      <c r="C69" s="251">
        <f>Inputs!C79</f>
        <v>86.8</v>
      </c>
      <c r="D69" s="260">
        <f>+$D$68</f>
        <v>0.59347901294292971</v>
      </c>
      <c r="E69" s="75">
        <f t="shared" si="15"/>
        <v>51.514000000000003</v>
      </c>
      <c r="H69" s="261">
        <f>+$H$68</f>
        <v>0.79052284206421664</v>
      </c>
      <c r="I69" s="261">
        <f>+$I$68</f>
        <v>0.87147923693666829</v>
      </c>
      <c r="N69" s="100" t="s">
        <v>134</v>
      </c>
      <c r="O69" s="43">
        <f>+O62+O66</f>
        <v>6766583.1626736987</v>
      </c>
      <c r="P69" s="43">
        <f t="shared" si="18"/>
        <v>37595.269445113452</v>
      </c>
      <c r="Q69" s="43">
        <f t="shared" si="18"/>
        <v>84266.482477008685</v>
      </c>
      <c r="R69" s="43">
        <f t="shared" si="18"/>
        <v>118.80030000000001</v>
      </c>
      <c r="S69" s="43">
        <f t="shared" si="18"/>
        <v>4.1005000000000003</v>
      </c>
      <c r="T69" s="43">
        <f t="shared" si="18"/>
        <v>4603.341785470383</v>
      </c>
      <c r="U69" s="43">
        <f t="shared" si="18"/>
        <v>99848.86480000001</v>
      </c>
      <c r="V69" s="43">
        <f t="shared" si="18"/>
        <v>223163.35620000001</v>
      </c>
      <c r="W69" s="43">
        <f t="shared" si="18"/>
        <v>2773674.3359103063</v>
      </c>
      <c r="X69" s="43">
        <f t="shared" si="18"/>
        <v>2448681.8345595961</v>
      </c>
      <c r="Y69" s="43">
        <f t="shared" si="14"/>
        <v>12438539.548651192</v>
      </c>
      <c r="Z69" s="50">
        <f>1-Z68</f>
        <v>0.49175324812798138</v>
      </c>
    </row>
    <row r="70" spans="1:26">
      <c r="A70" s="16"/>
      <c r="B70" s="33" t="s">
        <v>28</v>
      </c>
      <c r="C70" s="251">
        <f>Inputs!C80</f>
        <v>75.349999999999994</v>
      </c>
      <c r="D70" s="260">
        <f>+$D$68</f>
        <v>0.59347901294292971</v>
      </c>
      <c r="E70" s="75">
        <f t="shared" si="15"/>
        <v>44.719000000000001</v>
      </c>
      <c r="H70" s="261">
        <f>+$H$68</f>
        <v>0.79052284206421664</v>
      </c>
      <c r="I70" s="261">
        <f>+$I$68</f>
        <v>0.87147923693666829</v>
      </c>
    </row>
    <row r="71" spans="1:26">
      <c r="A71" s="16"/>
      <c r="B71" s="33" t="s">
        <v>29</v>
      </c>
      <c r="C71" s="251">
        <f>Inputs!C81</f>
        <v>58.5</v>
      </c>
      <c r="D71" s="262">
        <f>+$D$68</f>
        <v>0.59347901294292971</v>
      </c>
      <c r="E71" s="75">
        <f t="shared" si="15"/>
        <v>34.719000000000001</v>
      </c>
      <c r="H71" s="263">
        <f>+$H$68</f>
        <v>0.79052284206421664</v>
      </c>
      <c r="I71" s="263">
        <f>+$I$68</f>
        <v>0.87147923693666829</v>
      </c>
    </row>
    <row r="72" spans="1:26">
      <c r="A72" s="16"/>
      <c r="B72" s="33" t="s">
        <v>30</v>
      </c>
      <c r="C72" s="251">
        <f>Inputs!C82</f>
        <v>56.25</v>
      </c>
      <c r="D72" s="78">
        <f>+$D$63</f>
        <v>0.80409862816764077</v>
      </c>
      <c r="E72" s="75">
        <f t="shared" si="15"/>
        <v>45.231000000000002</v>
      </c>
      <c r="H72" s="253">
        <f>+$H$63</f>
        <v>0.82769080959809849</v>
      </c>
      <c r="I72" s="253">
        <f>+$I$63</f>
        <v>0.88353490202947005</v>
      </c>
    </row>
    <row r="73" spans="1:26">
      <c r="A73" s="16"/>
      <c r="B73" s="33" t="s">
        <v>31</v>
      </c>
      <c r="C73" s="251">
        <f>Inputs!C83</f>
        <v>55.4</v>
      </c>
      <c r="D73" s="74">
        <f>+$D$63</f>
        <v>0.80409862816764077</v>
      </c>
      <c r="E73" s="75">
        <f t="shared" si="15"/>
        <v>44.546999999999997</v>
      </c>
      <c r="H73" s="253">
        <f>+$H$63</f>
        <v>0.82769080959809849</v>
      </c>
      <c r="I73" s="253">
        <f>+$I$63</f>
        <v>0.88353490202947005</v>
      </c>
    </row>
    <row r="74" spans="1:26">
      <c r="A74" s="16"/>
      <c r="B74" s="33" t="s">
        <v>32</v>
      </c>
      <c r="C74" s="251">
        <f>Inputs!C84</f>
        <v>64.7</v>
      </c>
      <c r="D74" s="74">
        <f>+$D$63</f>
        <v>0.80409862816764077</v>
      </c>
      <c r="E74" s="75">
        <f t="shared" si="15"/>
        <v>52.024999999999999</v>
      </c>
      <c r="H74" s="253">
        <f>+$H$63</f>
        <v>0.82769080959809849</v>
      </c>
      <c r="I74" s="253">
        <f>+$I$63</f>
        <v>0.88353490202947005</v>
      </c>
    </row>
    <row r="75" spans="1:26">
      <c r="A75" s="16"/>
      <c r="B75" s="33"/>
      <c r="C75" s="81"/>
      <c r="D75" s="81"/>
      <c r="G75" s="235"/>
      <c r="K75" s="235"/>
    </row>
    <row r="76" spans="1:26">
      <c r="A76" s="16"/>
      <c r="B76" s="82"/>
      <c r="C76" s="82"/>
      <c r="D76" s="81"/>
      <c r="G76" s="235"/>
      <c r="K76" s="235"/>
    </row>
    <row r="77" spans="1:26">
      <c r="A77" s="2" t="s">
        <v>54</v>
      </c>
      <c r="B77" s="40" t="s">
        <v>135</v>
      </c>
      <c r="C77" s="7" t="str">
        <f>+C7</f>
        <v>RS</v>
      </c>
      <c r="D77" s="7" t="str">
        <f t="shared" ref="D77:L77" si="19">+D7</f>
        <v>RHS</v>
      </c>
      <c r="E77" s="7" t="str">
        <f t="shared" si="19"/>
        <v>RLM</v>
      </c>
      <c r="F77" s="7" t="str">
        <f t="shared" si="19"/>
        <v>WH</v>
      </c>
      <c r="G77" s="7" t="str">
        <f t="shared" si="19"/>
        <v>WHS</v>
      </c>
      <c r="H77" s="7" t="str">
        <f t="shared" si="19"/>
        <v>HS</v>
      </c>
      <c r="I77" s="7" t="str">
        <f t="shared" si="19"/>
        <v>PSAL</v>
      </c>
      <c r="J77" s="7" t="str">
        <f t="shared" si="19"/>
        <v>BPL</v>
      </c>
      <c r="K77" s="7" t="str">
        <f t="shared" si="19"/>
        <v>GLP</v>
      </c>
      <c r="L77" s="7" t="str">
        <f t="shared" si="19"/>
        <v>LPL-S</v>
      </c>
      <c r="M77" s="7"/>
      <c r="P77" s="264" t="s">
        <v>55</v>
      </c>
      <c r="Q77" s="264" t="s">
        <v>56</v>
      </c>
      <c r="R77" s="264" t="s">
        <v>57</v>
      </c>
    </row>
    <row r="78" spans="1:26">
      <c r="A78" s="16"/>
      <c r="B78" s="238" t="s">
        <v>136</v>
      </c>
      <c r="C78" s="265"/>
      <c r="D78" s="42"/>
      <c r="E78" s="42"/>
      <c r="F78" s="42"/>
      <c r="P78" s="1" t="s">
        <v>58</v>
      </c>
      <c r="Q78" s="266">
        <f>Inputs!C89</f>
        <v>5.8326999999999997E-2</v>
      </c>
      <c r="R78" s="10" t="s">
        <v>137</v>
      </c>
    </row>
    <row r="79" spans="1:26">
      <c r="A79" s="16"/>
      <c r="B79" s="33" t="s">
        <v>138</v>
      </c>
      <c r="C79" s="85">
        <f>1-((1-$Q$78)*(1-$Q$79))</f>
        <v>6.2621028879999985E-2</v>
      </c>
      <c r="D79" s="85">
        <f>+$C79</f>
        <v>6.2621028879999985E-2</v>
      </c>
      <c r="E79" s="85">
        <f t="shared" ref="E79:L79" si="20">+$C79</f>
        <v>6.2621028879999985E-2</v>
      </c>
      <c r="F79" s="85">
        <f t="shared" si="20"/>
        <v>6.2621028879999985E-2</v>
      </c>
      <c r="G79" s="85">
        <f t="shared" si="20"/>
        <v>6.2621028879999985E-2</v>
      </c>
      <c r="H79" s="85">
        <f t="shared" si="20"/>
        <v>6.2621028879999985E-2</v>
      </c>
      <c r="I79" s="85">
        <f t="shared" si="20"/>
        <v>6.2621028879999985E-2</v>
      </c>
      <c r="J79" s="85">
        <f t="shared" si="20"/>
        <v>6.2621028879999985E-2</v>
      </c>
      <c r="K79" s="85">
        <f t="shared" si="20"/>
        <v>6.2621028879999985E-2</v>
      </c>
      <c r="L79" s="85">
        <f t="shared" si="20"/>
        <v>6.2621028879999985E-2</v>
      </c>
      <c r="M79" s="82"/>
      <c r="N79" s="116"/>
      <c r="P79" s="1" t="s">
        <v>59</v>
      </c>
      <c r="Q79" s="266">
        <f>Inputs!C90</f>
        <v>4.5599999999999998E-3</v>
      </c>
      <c r="R79" s="1" t="s">
        <v>139</v>
      </c>
    </row>
    <row r="80" spans="1:26">
      <c r="A80" s="16"/>
      <c r="B80" s="1" t="s">
        <v>140</v>
      </c>
      <c r="C80" s="86">
        <f>ROUND(1/(1-C79),6)</f>
        <v>1.0668040000000001</v>
      </c>
      <c r="D80" s="86">
        <f t="shared" ref="D80:L80" si="21">ROUND(1/(1-D79),6)</f>
        <v>1.0668040000000001</v>
      </c>
      <c r="E80" s="86">
        <f t="shared" si="21"/>
        <v>1.0668040000000001</v>
      </c>
      <c r="F80" s="86">
        <f t="shared" si="21"/>
        <v>1.0668040000000001</v>
      </c>
      <c r="G80" s="86">
        <f t="shared" si="21"/>
        <v>1.0668040000000001</v>
      </c>
      <c r="H80" s="86">
        <f t="shared" si="21"/>
        <v>1.0668040000000001</v>
      </c>
      <c r="I80" s="86">
        <f t="shared" si="21"/>
        <v>1.0668040000000001</v>
      </c>
      <c r="J80" s="86">
        <f t="shared" si="21"/>
        <v>1.0668040000000001</v>
      </c>
      <c r="K80" s="86">
        <f t="shared" si="21"/>
        <v>1.0668040000000001</v>
      </c>
      <c r="L80" s="86">
        <f t="shared" si="21"/>
        <v>1.0668040000000001</v>
      </c>
      <c r="M80" s="83"/>
      <c r="P80" s="1" t="s">
        <v>61</v>
      </c>
      <c r="Q80" s="266">
        <f>+Inputs!C91</f>
        <v>1.3768262128193421E-2</v>
      </c>
      <c r="R80" s="1" t="s">
        <v>141</v>
      </c>
    </row>
    <row r="81" spans="1:17">
      <c r="A81" s="16"/>
      <c r="B81" s="1" t="s">
        <v>142</v>
      </c>
      <c r="C81" s="86">
        <f>1/C80</f>
        <v>0.93737931241352668</v>
      </c>
      <c r="D81" s="86">
        <f t="shared" ref="D81:L81" si="22">1/D80</f>
        <v>0.93737931241352668</v>
      </c>
      <c r="E81" s="86">
        <f t="shared" si="22"/>
        <v>0.93737931241352668</v>
      </c>
      <c r="F81" s="86">
        <f t="shared" si="22"/>
        <v>0.93737931241352668</v>
      </c>
      <c r="G81" s="86">
        <f t="shared" si="22"/>
        <v>0.93737931241352668</v>
      </c>
      <c r="H81" s="86">
        <f t="shared" si="22"/>
        <v>0.93737931241352668</v>
      </c>
      <c r="I81" s="86">
        <f t="shared" si="22"/>
        <v>0.93737931241352668</v>
      </c>
      <c r="J81" s="86">
        <f t="shared" si="22"/>
        <v>0.93737931241352668</v>
      </c>
      <c r="K81" s="86">
        <f t="shared" si="22"/>
        <v>0.93737931241352668</v>
      </c>
      <c r="L81" s="86">
        <f t="shared" si="22"/>
        <v>0.93737931241352668</v>
      </c>
      <c r="M81" s="83"/>
      <c r="P81" s="1" t="s">
        <v>143</v>
      </c>
      <c r="Q81" s="267">
        <f>ROUND(1-((1-Q80)/(1-Q79)),7)</f>
        <v>9.2504000000000006E-3</v>
      </c>
    </row>
    <row r="82" spans="1:17">
      <c r="A82" s="16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1:17">
      <c r="A83" s="16"/>
      <c r="B83" s="238" t="s">
        <v>144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</row>
    <row r="84" spans="1:17">
      <c r="A84" s="16"/>
      <c r="B84" s="33" t="s">
        <v>138</v>
      </c>
      <c r="C84" s="85">
        <f>1-((1-$Q$78)/((1-$Q$80)/(1-$Q$79)))</f>
        <v>4.9534774511745261E-2</v>
      </c>
      <c r="D84" s="85">
        <f>+$C84</f>
        <v>4.9534774511745261E-2</v>
      </c>
      <c r="E84" s="85">
        <f t="shared" ref="E84:L84" si="23">+$C84</f>
        <v>4.9534774511745261E-2</v>
      </c>
      <c r="F84" s="85">
        <f t="shared" si="23"/>
        <v>4.9534774511745261E-2</v>
      </c>
      <c r="G84" s="85">
        <f t="shared" si="23"/>
        <v>4.9534774511745261E-2</v>
      </c>
      <c r="H84" s="85">
        <f t="shared" si="23"/>
        <v>4.9534774511745261E-2</v>
      </c>
      <c r="I84" s="85">
        <f t="shared" si="23"/>
        <v>4.9534774511745261E-2</v>
      </c>
      <c r="J84" s="85">
        <f t="shared" si="23"/>
        <v>4.9534774511745261E-2</v>
      </c>
      <c r="K84" s="85">
        <f t="shared" si="23"/>
        <v>4.9534774511745261E-2</v>
      </c>
      <c r="L84" s="85">
        <f t="shared" si="23"/>
        <v>4.9534774511745261E-2</v>
      </c>
      <c r="M84" s="83"/>
      <c r="P84" s="10" t="s">
        <v>145</v>
      </c>
    </row>
    <row r="85" spans="1:17">
      <c r="A85" s="16"/>
      <c r="B85" s="1" t="s">
        <v>140</v>
      </c>
      <c r="C85" s="86">
        <f>ROUND(1/(1-C84),6)</f>
        <v>1.0521160000000001</v>
      </c>
      <c r="D85" s="86">
        <f>+$C$85</f>
        <v>1.0521160000000001</v>
      </c>
      <c r="E85" s="86">
        <f t="shared" ref="E85:L85" si="24">+$C$85</f>
        <v>1.0521160000000001</v>
      </c>
      <c r="F85" s="86">
        <f t="shared" si="24"/>
        <v>1.0521160000000001</v>
      </c>
      <c r="G85" s="86">
        <f t="shared" si="24"/>
        <v>1.0521160000000001</v>
      </c>
      <c r="H85" s="86">
        <f t="shared" si="24"/>
        <v>1.0521160000000001</v>
      </c>
      <c r="I85" s="86">
        <f t="shared" si="24"/>
        <v>1.0521160000000001</v>
      </c>
      <c r="J85" s="86">
        <f t="shared" si="24"/>
        <v>1.0521160000000001</v>
      </c>
      <c r="K85" s="86">
        <f t="shared" si="24"/>
        <v>1.0521160000000001</v>
      </c>
      <c r="L85" s="86">
        <f t="shared" si="24"/>
        <v>1.0521160000000001</v>
      </c>
      <c r="M85" s="83"/>
      <c r="Q85" s="10" t="s">
        <v>146</v>
      </c>
    </row>
    <row r="86" spans="1:17">
      <c r="A86" s="16"/>
      <c r="B86" s="1" t="s">
        <v>142</v>
      </c>
      <c r="C86" s="86">
        <f>1/C85</f>
        <v>0.95046553802052236</v>
      </c>
      <c r="D86" s="86">
        <f t="shared" ref="D86:L86" si="25">1/D85</f>
        <v>0.95046553802052236</v>
      </c>
      <c r="E86" s="86">
        <f t="shared" si="25"/>
        <v>0.95046553802052236</v>
      </c>
      <c r="F86" s="86">
        <f t="shared" si="25"/>
        <v>0.95046553802052236</v>
      </c>
      <c r="G86" s="86">
        <f t="shared" si="25"/>
        <v>0.95046553802052236</v>
      </c>
      <c r="H86" s="86">
        <f t="shared" si="25"/>
        <v>0.95046553802052236</v>
      </c>
      <c r="I86" s="86">
        <f t="shared" si="25"/>
        <v>0.95046553802052236</v>
      </c>
      <c r="J86" s="86">
        <f t="shared" si="25"/>
        <v>0.95046553802052236</v>
      </c>
      <c r="K86" s="86">
        <f t="shared" si="25"/>
        <v>0.95046553802052236</v>
      </c>
      <c r="L86" s="86">
        <f t="shared" si="25"/>
        <v>0.95046553802052236</v>
      </c>
      <c r="M86" s="83"/>
      <c r="P86" s="10" t="s">
        <v>147</v>
      </c>
      <c r="Q86" s="10" t="s">
        <v>148</v>
      </c>
    </row>
    <row r="87" spans="1:17">
      <c r="A87" s="1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3"/>
      <c r="P87" s="10"/>
      <c r="Q87" s="10"/>
    </row>
    <row r="88" spans="1:17">
      <c r="A88" s="16"/>
      <c r="B88" s="223" t="s">
        <v>55</v>
      </c>
      <c r="C88" s="268" t="s">
        <v>56</v>
      </c>
      <c r="D88" s="268" t="s">
        <v>57</v>
      </c>
      <c r="E88" s="86"/>
      <c r="F88" s="86"/>
      <c r="G88" s="86"/>
      <c r="H88" s="86"/>
      <c r="I88" s="86"/>
      <c r="J88" s="86"/>
      <c r="K88" s="86"/>
      <c r="L88" s="86"/>
      <c r="M88" s="83"/>
      <c r="P88" s="10" t="s">
        <v>149</v>
      </c>
    </row>
    <row r="89" spans="1:17">
      <c r="A89" s="16"/>
      <c r="B89" s="1" t="s">
        <v>58</v>
      </c>
      <c r="C89" s="269">
        <f>Inputs!C89</f>
        <v>5.8326999999999997E-2</v>
      </c>
      <c r="D89" s="86" t="s">
        <v>137</v>
      </c>
      <c r="E89" s="86"/>
      <c r="F89" s="86"/>
      <c r="G89" s="86"/>
      <c r="H89" s="86"/>
      <c r="I89" s="86"/>
      <c r="J89" s="86"/>
      <c r="K89" s="86"/>
      <c r="L89" s="86"/>
      <c r="M89" s="83"/>
      <c r="Q89" s="10" t="s">
        <v>150</v>
      </c>
    </row>
    <row r="90" spans="1:17">
      <c r="A90" s="16"/>
      <c r="B90" s="1" t="s">
        <v>59</v>
      </c>
      <c r="C90" s="269">
        <f>Inputs!C90</f>
        <v>4.5599999999999998E-3</v>
      </c>
      <c r="D90" s="86" t="s">
        <v>139</v>
      </c>
      <c r="E90" s="86"/>
      <c r="F90" s="86"/>
      <c r="G90" s="86"/>
      <c r="H90" s="86"/>
      <c r="I90" s="86"/>
      <c r="J90" s="86"/>
      <c r="K90" s="86"/>
      <c r="L90" s="86"/>
      <c r="M90" s="83"/>
      <c r="Q90" s="10" t="s">
        <v>151</v>
      </c>
    </row>
    <row r="91" spans="1:17">
      <c r="A91" s="16"/>
      <c r="B91" s="1" t="s">
        <v>61</v>
      </c>
      <c r="C91" s="269">
        <f>+Inputs!C91</f>
        <v>1.3768262128193421E-2</v>
      </c>
      <c r="D91" s="86" t="s">
        <v>141</v>
      </c>
      <c r="E91" s="86"/>
      <c r="F91" s="86"/>
      <c r="G91" s="86"/>
      <c r="H91" s="86"/>
      <c r="I91" s="86"/>
      <c r="J91" s="86"/>
      <c r="K91" s="86"/>
      <c r="L91" s="86"/>
      <c r="M91" s="83"/>
      <c r="P91" s="10"/>
      <c r="Q91" s="10"/>
    </row>
    <row r="92" spans="1:17">
      <c r="A92" s="16"/>
      <c r="B92" s="1" t="s">
        <v>143</v>
      </c>
      <c r="C92" s="493">
        <f>ROUND(1-((1-C91)/(1-C90)),7)</f>
        <v>9.2504000000000006E-3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</row>
    <row r="93" spans="1:17">
      <c r="A93" s="16"/>
      <c r="C93" s="88"/>
      <c r="D93" s="83"/>
      <c r="E93" s="83"/>
      <c r="F93" s="83"/>
      <c r="G93" s="83"/>
      <c r="H93" s="83"/>
      <c r="I93" s="83"/>
      <c r="J93" s="83"/>
      <c r="K93" s="83"/>
      <c r="L93" s="83"/>
      <c r="M93" s="83"/>
    </row>
    <row r="94" spans="1:17">
      <c r="A94" s="16"/>
    </row>
    <row r="95" spans="1:17">
      <c r="A95" s="2" t="s">
        <v>152</v>
      </c>
      <c r="B95" s="12" t="s">
        <v>153</v>
      </c>
    </row>
    <row r="96" spans="1:17">
      <c r="B96" s="13" t="s">
        <v>154</v>
      </c>
    </row>
    <row r="97" spans="1:13">
      <c r="A97" s="16"/>
      <c r="B97" s="13" t="s">
        <v>155</v>
      </c>
    </row>
    <row r="98" spans="1:13">
      <c r="A98" s="16"/>
      <c r="B98" s="12"/>
      <c r="C98" s="7" t="str">
        <f>+C7</f>
        <v>RS</v>
      </c>
      <c r="D98" s="7" t="str">
        <f t="shared" ref="D98:L98" si="26">+D7</f>
        <v>RHS</v>
      </c>
      <c r="E98" s="7" t="str">
        <f t="shared" si="26"/>
        <v>RLM</v>
      </c>
      <c r="F98" s="7" t="str">
        <f t="shared" si="26"/>
        <v>WH</v>
      </c>
      <c r="G98" s="7" t="str">
        <f t="shared" si="26"/>
        <v>WHS</v>
      </c>
      <c r="H98" s="7" t="str">
        <f t="shared" si="26"/>
        <v>HS</v>
      </c>
      <c r="I98" s="7" t="str">
        <f t="shared" si="26"/>
        <v>PSAL</v>
      </c>
      <c r="J98" s="7" t="str">
        <f t="shared" si="26"/>
        <v>BPL</v>
      </c>
      <c r="K98" s="7" t="str">
        <f t="shared" si="26"/>
        <v>GLP</v>
      </c>
      <c r="L98" s="7" t="str">
        <f t="shared" si="26"/>
        <v>LPL-S</v>
      </c>
      <c r="M98" s="7"/>
    </row>
    <row r="99" spans="1:13">
      <c r="A99" s="16"/>
    </row>
    <row r="100" spans="1:13">
      <c r="A100" s="16"/>
      <c r="B100" s="33" t="s">
        <v>156</v>
      </c>
      <c r="C100" s="270">
        <f t="shared" ref="C100:L100" si="27">(SUMPRODUCT(C14:C17,C50:C53,$C68:$C71,$H68:$H71)*C80+SUMPRODUCT(O14:O17,C50:C53,$E68:$E71,$I68:$I71)*C80)/SUM(C50:C53)</f>
        <v>49.903767906157221</v>
      </c>
      <c r="D100" s="270">
        <f t="shared" si="27"/>
        <v>50.178794436496005</v>
      </c>
      <c r="E100" s="270">
        <f t="shared" si="27"/>
        <v>49.654728811392687</v>
      </c>
      <c r="F100" s="270">
        <f>(SUMPRODUCT(F14:F17,F50:F53,$C68:$C71,$H68:$H71)*F80+SUMPRODUCT(R14:R17,F50:F53,$E68:$E71,$I68:$I71)*F80)/SUM(F50:F53)</f>
        <v>47.661911594626204</v>
      </c>
      <c r="G100" s="270">
        <f t="shared" si="27"/>
        <v>40.150784985128411</v>
      </c>
      <c r="H100" s="270">
        <f t="shared" si="27"/>
        <v>49.4106483965355</v>
      </c>
      <c r="I100" s="270">
        <f t="shared" si="27"/>
        <v>42.216186092681568</v>
      </c>
      <c r="J100" s="270">
        <f t="shared" si="27"/>
        <v>42.117393796161259</v>
      </c>
      <c r="K100" s="270">
        <f t="shared" si="27"/>
        <v>50.042124789794755</v>
      </c>
      <c r="L100" s="270">
        <f t="shared" si="27"/>
        <v>49.387590469393608</v>
      </c>
      <c r="M100" s="270"/>
    </row>
    <row r="101" spans="1:13">
      <c r="A101" s="16"/>
      <c r="B101" s="271" t="s">
        <v>157</v>
      </c>
      <c r="C101" s="270">
        <f t="shared" ref="C101:L101" si="28">(SUMPRODUCT(C14:C17,C50:C53,$C68:$C71,$H68:$H71)*C80)/SUMPRODUCT(C14:C17,C50:C53)</f>
        <v>59.908706267637982</v>
      </c>
      <c r="D101" s="270">
        <f t="shared" si="28"/>
        <v>59.967202106920247</v>
      </c>
      <c r="E101" s="270">
        <f t="shared" si="28"/>
        <v>59.593670409190679</v>
      </c>
      <c r="F101" s="270">
        <f t="shared" si="28"/>
        <v>57.303920514196861</v>
      </c>
      <c r="G101" s="270">
        <f t="shared" si="28"/>
        <v>47.816977131310416</v>
      </c>
      <c r="H101" s="270">
        <f t="shared" si="28"/>
        <v>57.94077528804592</v>
      </c>
      <c r="I101" s="270">
        <f t="shared" si="28"/>
        <v>57.592405613074177</v>
      </c>
      <c r="J101" s="270">
        <f t="shared" si="28"/>
        <v>57.470247270892337</v>
      </c>
      <c r="K101" s="270">
        <f t="shared" si="28"/>
        <v>58.872450072279108</v>
      </c>
      <c r="L101" s="270">
        <f t="shared" si="28"/>
        <v>58.829503097920508</v>
      </c>
      <c r="M101" s="270"/>
    </row>
    <row r="102" spans="1:13">
      <c r="A102" s="16"/>
      <c r="B102" s="271" t="s">
        <v>158</v>
      </c>
      <c r="C102" s="270">
        <f t="shared" ref="C102:L102" si="29">(SUMPRODUCT(O14:O17,C50:C53,$E68:$E71,$I68:$I71)*C80)/SUMPRODUCT(O14:O17,C50:C53)</f>
        <v>39.335907349350713</v>
      </c>
      <c r="D102" s="270">
        <f t="shared" si="29"/>
        <v>39.425726804612815</v>
      </c>
      <c r="E102" s="270">
        <f t="shared" si="29"/>
        <v>39.115996464343134</v>
      </c>
      <c r="F102" s="270">
        <f t="shared" si="29"/>
        <v>37.565928867174023</v>
      </c>
      <c r="G102" s="270">
        <f t="shared" si="29"/>
        <v>31.284322082395164</v>
      </c>
      <c r="H102" s="270">
        <f t="shared" si="29"/>
        <v>38.016646653119835</v>
      </c>
      <c r="I102" s="270">
        <f t="shared" si="29"/>
        <v>38.082120234227446</v>
      </c>
      <c r="J102" s="270">
        <f t="shared" si="29"/>
        <v>38.006363449684123</v>
      </c>
      <c r="K102" s="270">
        <f t="shared" si="29"/>
        <v>38.810405336924568</v>
      </c>
      <c r="L102" s="270">
        <f t="shared" si="29"/>
        <v>38.795862108792477</v>
      </c>
      <c r="M102" s="270"/>
    </row>
    <row r="103" spans="1:13">
      <c r="A103" s="16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</row>
    <row r="104" spans="1:13">
      <c r="A104" s="16"/>
      <c r="B104" s="33" t="s">
        <v>159</v>
      </c>
      <c r="C104" s="270">
        <f t="shared" ref="C104:L104" si="30">(SUMPRODUCT(C9:C13,C45:C49,$C63:$C67,$H63:$H67)*C80+SUMPRODUCT(O9:O13,C45:C49,$E63:$E67,$I63:$I67)*C80+SUMPRODUCT(C18:C20,C54:C56,$C72:$C74,$H72:$H74)*C80+SUMPRODUCT(O18:O20,C54:C56,$E72:$E74,$I72:$I74)*C80)/SUM(C45:C49,C54:C56)</f>
        <v>51.946595395542346</v>
      </c>
      <c r="D104" s="270">
        <f t="shared" si="30"/>
        <v>54.570381730735328</v>
      </c>
      <c r="E104" s="270">
        <f t="shared" si="30"/>
        <v>51.676821923764166</v>
      </c>
      <c r="F104" s="270">
        <f t="shared" si="30"/>
        <v>51.088628995794309</v>
      </c>
      <c r="G104" s="270">
        <f t="shared" si="30"/>
        <v>51.307998231012142</v>
      </c>
      <c r="H104" s="270">
        <f t="shared" si="30"/>
        <v>54.513658300725119</v>
      </c>
      <c r="I104" s="270">
        <f t="shared" si="30"/>
        <v>50.434617545347535</v>
      </c>
      <c r="J104" s="270">
        <f t="shared" si="30"/>
        <v>50.095272678348245</v>
      </c>
      <c r="K104" s="270">
        <f t="shared" si="30"/>
        <v>51.52745017183279</v>
      </c>
      <c r="L104" s="270">
        <f t="shared" si="30"/>
        <v>51.180040624673865</v>
      </c>
      <c r="M104" s="270"/>
    </row>
    <row r="105" spans="1:13">
      <c r="A105" s="16"/>
      <c r="B105" s="271" t="s">
        <v>157</v>
      </c>
      <c r="C105" s="270">
        <f t="shared" ref="C105:L105" si="31">(SUMPRODUCT(C9:C13,C45:C49,$C63:$C67,$H63:$H67)*C80+SUMPRODUCT(C18:C20,C54:C56,$C72:$C74,$H72:$H74)*C80)/(SUMPRODUCT(C9:C13,C45:C49)+SUMPRODUCT(C18:C20,C54:C56))</f>
        <v>55.992871702685065</v>
      </c>
      <c r="D105" s="270">
        <f t="shared" si="31"/>
        <v>58.768288310198827</v>
      </c>
      <c r="E105" s="270">
        <f t="shared" si="31"/>
        <v>55.866013584624511</v>
      </c>
      <c r="F105" s="270">
        <f t="shared" si="31"/>
        <v>55.063154951125</v>
      </c>
      <c r="G105" s="270">
        <f t="shared" si="31"/>
        <v>55.328208305351772</v>
      </c>
      <c r="H105" s="270">
        <f t="shared" si="31"/>
        <v>58.451773695650822</v>
      </c>
      <c r="I105" s="270">
        <f t="shared" si="31"/>
        <v>57.125174443612366</v>
      </c>
      <c r="J105" s="270">
        <f t="shared" si="31"/>
        <v>56.81159532734938</v>
      </c>
      <c r="K105" s="270">
        <f t="shared" si="31"/>
        <v>54.963300415186588</v>
      </c>
      <c r="L105" s="270">
        <f t="shared" si="31"/>
        <v>54.797145593525208</v>
      </c>
      <c r="M105" s="270"/>
    </row>
    <row r="106" spans="1:13">
      <c r="A106" s="16"/>
      <c r="B106" s="271" t="s">
        <v>158</v>
      </c>
      <c r="C106" s="270">
        <f t="shared" ref="C106:L106" si="32">(SUMPRODUCT(O9:O13,C45:C49,$E63:$E67,$I63:$I67)*C80+SUMPRODUCT(O18:O20,C54:C56,$E72:$E74,$I72:$I74)*C80)/(SUMPRODUCT(O9:O13,C45:C49)+SUMPRODUCT(O18:O20,C54:C56))</f>
        <v>48.19240090709571</v>
      </c>
      <c r="D106" s="270">
        <f t="shared" si="32"/>
        <v>50.847229038078773</v>
      </c>
      <c r="E106" s="270">
        <f t="shared" si="32"/>
        <v>47.938951933689893</v>
      </c>
      <c r="F106" s="270">
        <f t="shared" si="32"/>
        <v>47.395049565103797</v>
      </c>
      <c r="G106" s="270">
        <f t="shared" si="32"/>
        <v>47.590232469348308</v>
      </c>
      <c r="H106" s="270">
        <f t="shared" si="32"/>
        <v>50.870824059547694</v>
      </c>
      <c r="I106" s="270">
        <f t="shared" si="32"/>
        <v>47.874638405226804</v>
      </c>
      <c r="J106" s="270">
        <f t="shared" si="32"/>
        <v>47.55008526090073</v>
      </c>
      <c r="K106" s="270">
        <f t="shared" si="32"/>
        <v>47.541194989924513</v>
      </c>
      <c r="L106" s="270">
        <f t="shared" si="32"/>
        <v>47.301153715044201</v>
      </c>
      <c r="M106" s="270"/>
    </row>
    <row r="107" spans="1:13">
      <c r="A107" s="16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</row>
    <row r="108" spans="1:13">
      <c r="A108" s="16"/>
      <c r="B108" s="1" t="s">
        <v>160</v>
      </c>
      <c r="C108" s="270">
        <f t="shared" ref="C108:L108" si="33">(C100*SUM(C50:C53)+C104*SUM(C45:C49,C54:C56))/C57</f>
        <v>51.094036944885282</v>
      </c>
      <c r="D108" s="273">
        <f t="shared" si="33"/>
        <v>53.608875379873687</v>
      </c>
      <c r="E108" s="273">
        <f t="shared" si="33"/>
        <v>50.782431593647409</v>
      </c>
      <c r="F108" s="273">
        <f t="shared" si="33"/>
        <v>50.117970847823948</v>
      </c>
      <c r="G108" s="273">
        <f t="shared" si="33"/>
        <v>49.913346575276677</v>
      </c>
      <c r="H108" s="273">
        <f t="shared" si="33"/>
        <v>53.329615416858395</v>
      </c>
      <c r="I108" s="273">
        <f t="shared" si="33"/>
        <v>48.166435390941551</v>
      </c>
      <c r="J108" s="273">
        <f t="shared" si="33"/>
        <v>47.972226336817712</v>
      </c>
      <c r="K108" s="273">
        <f t="shared" si="33"/>
        <v>50.990162759663292</v>
      </c>
      <c r="L108" s="273">
        <f t="shared" si="33"/>
        <v>50.537842798859444</v>
      </c>
      <c r="M108" s="273"/>
    </row>
    <row r="109" spans="1:13">
      <c r="A109" s="16"/>
      <c r="C109" s="270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</row>
    <row r="110" spans="1:13">
      <c r="A110" s="16"/>
      <c r="B110" s="1" t="s">
        <v>161</v>
      </c>
      <c r="C110" s="270">
        <f>SUMPRODUCT(C108:L108,C57:L57)/SUM(C57:L57)</f>
        <v>50.909736953142776</v>
      </c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</row>
    <row r="111" spans="1:13">
      <c r="A111" s="16"/>
      <c r="C111" s="270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</row>
    <row r="112" spans="1:13">
      <c r="A112" s="16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</row>
    <row r="113" spans="1:13">
      <c r="A113" s="2" t="s">
        <v>162</v>
      </c>
      <c r="B113" s="12" t="s">
        <v>163</v>
      </c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</row>
    <row r="114" spans="1:13">
      <c r="A114" s="16"/>
      <c r="B114" s="13" t="s">
        <v>164</v>
      </c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</row>
    <row r="115" spans="1:13">
      <c r="A115" s="16"/>
      <c r="B115" s="13" t="s">
        <v>165</v>
      </c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</row>
    <row r="116" spans="1:13">
      <c r="A116" s="16"/>
      <c r="B116" s="12"/>
      <c r="C116" s="7" t="str">
        <f>+C7</f>
        <v>RS</v>
      </c>
      <c r="D116" s="7" t="str">
        <f t="shared" ref="D116:L116" si="34">+D7</f>
        <v>RHS</v>
      </c>
      <c r="E116" s="7" t="str">
        <f t="shared" si="34"/>
        <v>RLM</v>
      </c>
      <c r="F116" s="7" t="str">
        <f t="shared" si="34"/>
        <v>WH</v>
      </c>
      <c r="G116" s="7" t="str">
        <f t="shared" si="34"/>
        <v>WHS</v>
      </c>
      <c r="H116" s="7" t="str">
        <f t="shared" si="34"/>
        <v>HS</v>
      </c>
      <c r="I116" s="7" t="str">
        <f t="shared" si="34"/>
        <v>PSAL</v>
      </c>
      <c r="J116" s="7" t="str">
        <f t="shared" si="34"/>
        <v>BPL</v>
      </c>
      <c r="K116" s="7" t="str">
        <f t="shared" si="34"/>
        <v>GLP</v>
      </c>
      <c r="L116" s="7" t="str">
        <f t="shared" si="34"/>
        <v>LPL-S</v>
      </c>
      <c r="M116" s="7"/>
    </row>
    <row r="117" spans="1:13">
      <c r="A117" s="16"/>
      <c r="C117" s="214"/>
    </row>
    <row r="118" spans="1:13">
      <c r="A118" s="16"/>
      <c r="B118" s="33" t="s">
        <v>156</v>
      </c>
      <c r="C118" s="274">
        <f t="shared" ref="C118:L118" si="35">SUM(C50:C53)*C100/1000</f>
        <v>278954.21157058759</v>
      </c>
      <c r="D118" s="274">
        <f t="shared" si="35"/>
        <v>796.95104650214034</v>
      </c>
      <c r="E118" s="274">
        <f t="shared" si="35"/>
        <v>3633.155398815134</v>
      </c>
      <c r="F118" s="274">
        <f t="shared" si="35"/>
        <v>3.1456861652453294</v>
      </c>
      <c r="G118" s="274">
        <f t="shared" si="35"/>
        <v>4.0150784985128411E-2</v>
      </c>
      <c r="H118" s="274">
        <f t="shared" si="35"/>
        <v>105.91580636540172</v>
      </c>
      <c r="I118" s="274">
        <f t="shared" si="35"/>
        <v>1569.6400151119933</v>
      </c>
      <c r="J118" s="274">
        <f t="shared" si="35"/>
        <v>3370.4444385378047</v>
      </c>
      <c r="K118" s="274">
        <f t="shared" si="35"/>
        <v>110424.67760123122</v>
      </c>
      <c r="L118" s="274">
        <f t="shared" si="35"/>
        <v>90547.855617049601</v>
      </c>
      <c r="M118" s="274"/>
    </row>
    <row r="119" spans="1:13">
      <c r="A119" s="16"/>
      <c r="B119" s="271" t="s">
        <v>157</v>
      </c>
      <c r="C119" s="274">
        <f t="shared" ref="C119:L119" si="36">SUMPRODUCT(C50:C53,C14:C17)*C101/1000</f>
        <v>172021.69356368924</v>
      </c>
      <c r="D119" s="274">
        <f t="shared" si="36"/>
        <v>498.56978385356661</v>
      </c>
      <c r="E119" s="274">
        <f t="shared" si="36"/>
        <v>2244.0433671909186</v>
      </c>
      <c r="F119" s="274">
        <f t="shared" si="36"/>
        <v>1.9345230526387718</v>
      </c>
      <c r="G119" s="274">
        <f t="shared" si="36"/>
        <v>2.5644244835521773E-2</v>
      </c>
      <c r="H119" s="274">
        <f t="shared" si="36"/>
        <v>71.026672755803247</v>
      </c>
      <c r="I119" s="274">
        <f t="shared" si="36"/>
        <v>453.73267378175859</v>
      </c>
      <c r="J119" s="274">
        <f t="shared" si="36"/>
        <v>971.38172247396631</v>
      </c>
      <c r="K119" s="274">
        <f t="shared" si="36"/>
        <v>72729.995553720975</v>
      </c>
      <c r="L119" s="274">
        <f t="shared" si="36"/>
        <v>57024.62775322792</v>
      </c>
      <c r="M119" s="274"/>
    </row>
    <row r="120" spans="1:13">
      <c r="A120" s="16"/>
      <c r="B120" s="271" t="s">
        <v>158</v>
      </c>
      <c r="C120" s="274">
        <f t="shared" ref="C120:L120" si="37">SUMPRODUCT(C50:C53,O14:O17)*C102/1000</f>
        <v>106932.51800689833</v>
      </c>
      <c r="D120" s="274">
        <f t="shared" si="37"/>
        <v>298.38126264857368</v>
      </c>
      <c r="E120" s="274">
        <f t="shared" si="37"/>
        <v>1389.1120316242157</v>
      </c>
      <c r="F120" s="274">
        <f t="shared" si="37"/>
        <v>1.2111631126065576</v>
      </c>
      <c r="G120" s="274">
        <f t="shared" si="37"/>
        <v>1.4506540149606638E-2</v>
      </c>
      <c r="H120" s="274">
        <f t="shared" si="37"/>
        <v>34.889133609598474</v>
      </c>
      <c r="I120" s="274">
        <f t="shared" si="37"/>
        <v>1115.9073413302347</v>
      </c>
      <c r="J120" s="274">
        <f t="shared" si="37"/>
        <v>2399.0627160638383</v>
      </c>
      <c r="K120" s="274">
        <f t="shared" si="37"/>
        <v>37694.682047510243</v>
      </c>
      <c r="L120" s="274">
        <f t="shared" si="37"/>
        <v>33523.227863821681</v>
      </c>
      <c r="M120" s="274"/>
    </row>
    <row r="121" spans="1:13">
      <c r="A121" s="16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</row>
    <row r="122" spans="1:13">
      <c r="A122" s="16"/>
      <c r="B122" s="33" t="s">
        <v>159</v>
      </c>
      <c r="C122" s="275">
        <f t="shared" ref="C122:L122" si="38">SUM(C45:C49,C54:C56)*C104/1000</f>
        <v>405394.3086947194</v>
      </c>
      <c r="D122" s="275">
        <f t="shared" si="38"/>
        <v>3091.8657294491827</v>
      </c>
      <c r="E122" s="275">
        <f t="shared" si="38"/>
        <v>4767.4562210201138</v>
      </c>
      <c r="F122" s="275">
        <f t="shared" si="38"/>
        <v>8.5318010422976496</v>
      </c>
      <c r="G122" s="275">
        <f t="shared" si="38"/>
        <v>0.35915598761708495</v>
      </c>
      <c r="H122" s="275">
        <f t="shared" si="38"/>
        <v>386.76728184089376</v>
      </c>
      <c r="I122" s="275">
        <f t="shared" si="38"/>
        <v>4919.3421607556529</v>
      </c>
      <c r="J122" s="275">
        <f t="shared" si="38"/>
        <v>11055.475632111997</v>
      </c>
      <c r="K122" s="275">
        <f t="shared" si="38"/>
        <v>200626.41655799269</v>
      </c>
      <c r="L122" s="275">
        <f t="shared" si="38"/>
        <v>168068.08368130345</v>
      </c>
      <c r="M122" s="275"/>
    </row>
    <row r="123" spans="1:13">
      <c r="A123" s="16"/>
      <c r="B123" s="271" t="s">
        <v>157</v>
      </c>
      <c r="C123" s="274">
        <f t="shared" ref="C123:L123" si="39">(SUMPRODUCT(C45:C49,C9:C13)+SUMPRODUCT(C54:C56,C18:C20))*C105/1000</f>
        <v>210304.83269136975</v>
      </c>
      <c r="D123" s="274">
        <f t="shared" si="39"/>
        <v>1565.0717775790383</v>
      </c>
      <c r="E123" s="274">
        <f t="shared" si="39"/>
        <v>2430.2477801890577</v>
      </c>
      <c r="F123" s="274">
        <f t="shared" si="39"/>
        <v>4.42931872847696</v>
      </c>
      <c r="G123" s="274">
        <f t="shared" si="39"/>
        <v>0.18607983017255908</v>
      </c>
      <c r="H123" s="274">
        <f t="shared" si="39"/>
        <v>199.27732901010944</v>
      </c>
      <c r="I123" s="274">
        <f t="shared" si="39"/>
        <v>1541.9680145578359</v>
      </c>
      <c r="J123" s="274">
        <f t="shared" si="39"/>
        <v>3445.5268302829909</v>
      </c>
      <c r="K123" s="274">
        <f t="shared" si="39"/>
        <v>114937.10268029002</v>
      </c>
      <c r="L123" s="274">
        <f t="shared" si="39"/>
        <v>93115.197530219462</v>
      </c>
      <c r="M123" s="274"/>
    </row>
    <row r="124" spans="1:13">
      <c r="A124" s="16"/>
      <c r="B124" s="271" t="s">
        <v>158</v>
      </c>
      <c r="C124" s="274">
        <f t="shared" ref="C124:L124" si="40">+(SUMPRODUCT(C45:C49,O9:O13)+SUMPRODUCT(C54:C56,O18:O20))*C106/1000</f>
        <v>195089.47600334964</v>
      </c>
      <c r="D124" s="274">
        <f t="shared" si="40"/>
        <v>1526.7939518701444</v>
      </c>
      <c r="E124" s="274">
        <f t="shared" si="40"/>
        <v>2337.2084408310557</v>
      </c>
      <c r="F124" s="274">
        <f t="shared" si="40"/>
        <v>4.1024823138206896</v>
      </c>
      <c r="G124" s="274">
        <f t="shared" si="40"/>
        <v>0.1730761574445259</v>
      </c>
      <c r="H124" s="274">
        <f t="shared" si="40"/>
        <v>187.48995283078429</v>
      </c>
      <c r="I124" s="274">
        <f t="shared" si="40"/>
        <v>3377.3741461978166</v>
      </c>
      <c r="J124" s="274">
        <f t="shared" si="40"/>
        <v>7609.9488018290058</v>
      </c>
      <c r="K124" s="274">
        <f t="shared" si="40"/>
        <v>85689.313877702662</v>
      </c>
      <c r="L124" s="274">
        <f t="shared" si="40"/>
        <v>74952.886151083963</v>
      </c>
      <c r="M124" s="274"/>
    </row>
    <row r="125" spans="1:13">
      <c r="A125" s="16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</row>
    <row r="126" spans="1:13">
      <c r="A126" s="16"/>
      <c r="B126" s="1" t="s">
        <v>160</v>
      </c>
      <c r="C126" s="275">
        <f>+C118+C122</f>
        <v>684348.52026530704</v>
      </c>
      <c r="D126" s="275">
        <f t="shared" ref="D126:L126" si="41">+D118+D122</f>
        <v>3888.8167759513231</v>
      </c>
      <c r="E126" s="275">
        <f t="shared" si="41"/>
        <v>8400.6116198352483</v>
      </c>
      <c r="F126" s="275">
        <f t="shared" si="41"/>
        <v>11.677487207542979</v>
      </c>
      <c r="G126" s="275">
        <f t="shared" si="41"/>
        <v>0.39930677260221337</v>
      </c>
      <c r="H126" s="275">
        <f t="shared" si="41"/>
        <v>492.68308820629545</v>
      </c>
      <c r="I126" s="275">
        <f t="shared" si="41"/>
        <v>6488.9821758676462</v>
      </c>
      <c r="J126" s="275">
        <f t="shared" si="41"/>
        <v>14425.920070649801</v>
      </c>
      <c r="K126" s="275">
        <f t="shared" si="41"/>
        <v>311051.0941592239</v>
      </c>
      <c r="L126" s="275">
        <f t="shared" si="41"/>
        <v>258615.93929835304</v>
      </c>
      <c r="M126" s="275"/>
    </row>
    <row r="127" spans="1:13">
      <c r="A127" s="16"/>
    </row>
    <row r="128" spans="1:13">
      <c r="A128" s="16"/>
      <c r="B128" s="1" t="s">
        <v>161</v>
      </c>
      <c r="C128" s="274">
        <f>SUM(C126:L126)</f>
        <v>1287724.6442473745</v>
      </c>
      <c r="E128" s="276"/>
      <c r="F128" s="270"/>
    </row>
    <row r="129" spans="1:30">
      <c r="A129" s="16"/>
    </row>
    <row r="130" spans="1:30">
      <c r="A130" s="16"/>
    </row>
    <row r="131" spans="1:30">
      <c r="A131" s="2" t="s">
        <v>166</v>
      </c>
      <c r="B131" s="12" t="s">
        <v>167</v>
      </c>
      <c r="C131" s="273"/>
      <c r="Q131" s="1" t="s">
        <v>168</v>
      </c>
      <c r="T131" s="1" t="s">
        <v>169</v>
      </c>
      <c r="W131" s="1" t="s">
        <v>170</v>
      </c>
      <c r="Z131" s="1" t="s">
        <v>171</v>
      </c>
    </row>
    <row r="132" spans="1:30">
      <c r="A132" s="16"/>
      <c r="B132" s="13" t="s">
        <v>172</v>
      </c>
      <c r="C132" s="273"/>
      <c r="W132" s="1" t="s">
        <v>173</v>
      </c>
      <c r="Z132" s="1" t="s">
        <v>174</v>
      </c>
      <c r="AC132" s="1" t="s">
        <v>175</v>
      </c>
    </row>
    <row r="133" spans="1:30">
      <c r="A133" s="16"/>
      <c r="B133" s="13" t="s">
        <v>155</v>
      </c>
      <c r="C133" s="273"/>
    </row>
    <row r="134" spans="1:30">
      <c r="A134" s="16"/>
      <c r="B134" s="12"/>
      <c r="C134" s="7" t="str">
        <f>+C7</f>
        <v>RS</v>
      </c>
      <c r="D134" s="7" t="str">
        <f t="shared" ref="D134:L134" si="42">+D7</f>
        <v>RHS</v>
      </c>
      <c r="E134" s="7" t="str">
        <f t="shared" si="42"/>
        <v>RLM</v>
      </c>
      <c r="F134" s="7" t="str">
        <f t="shared" si="42"/>
        <v>WH</v>
      </c>
      <c r="G134" s="7" t="str">
        <f t="shared" si="42"/>
        <v>WHS</v>
      </c>
      <c r="H134" s="7" t="str">
        <f t="shared" si="42"/>
        <v>HS</v>
      </c>
      <c r="I134" s="7" t="str">
        <f t="shared" si="42"/>
        <v>PSAL</v>
      </c>
      <c r="J134" s="7" t="str">
        <f t="shared" si="42"/>
        <v>BPL</v>
      </c>
      <c r="K134" s="7" t="str">
        <f t="shared" si="42"/>
        <v>GLP</v>
      </c>
      <c r="L134" s="7" t="str">
        <f t="shared" si="42"/>
        <v>LPL-S</v>
      </c>
      <c r="M134" s="7"/>
      <c r="O134" s="7"/>
      <c r="P134" s="7"/>
      <c r="Q134" s="7" t="str">
        <f>+E134</f>
        <v>RLM</v>
      </c>
      <c r="R134" s="7" t="str">
        <f>+L134</f>
        <v>LPL-S</v>
      </c>
      <c r="S134" s="7"/>
      <c r="T134" s="7" t="str">
        <f>+E134</f>
        <v>RLM</v>
      </c>
      <c r="U134" s="7" t="str">
        <f>+L134</f>
        <v>LPL-S</v>
      </c>
      <c r="V134" s="7"/>
      <c r="W134" s="7" t="str">
        <f>+E134</f>
        <v>RLM</v>
      </c>
      <c r="X134" s="7" t="str">
        <f>+L134</f>
        <v>LPL-S</v>
      </c>
      <c r="Z134" s="7" t="str">
        <f>+E134</f>
        <v>RLM</v>
      </c>
      <c r="AA134" s="7" t="str">
        <f>+L134</f>
        <v>LPL-S</v>
      </c>
      <c r="AC134" s="277" t="str">
        <f>+E134</f>
        <v>RLM</v>
      </c>
      <c r="AD134" s="7" t="str">
        <f>+L134</f>
        <v>LPL-S</v>
      </c>
    </row>
    <row r="135" spans="1:30">
      <c r="A135" s="16"/>
      <c r="C135" s="214"/>
      <c r="E135"/>
    </row>
    <row r="136" spans="1:30">
      <c r="A136" s="16"/>
      <c r="B136" s="33" t="s">
        <v>156</v>
      </c>
      <c r="C136" s="270">
        <f t="shared" ref="C136:L136" si="43">+C118/SUM(C50:C53)*1000</f>
        <v>49.903767906157228</v>
      </c>
      <c r="D136" s="270">
        <f t="shared" si="43"/>
        <v>50.178794436496005</v>
      </c>
      <c r="E136" s="270">
        <f t="shared" si="43"/>
        <v>49.654728811392694</v>
      </c>
      <c r="F136" s="270">
        <f t="shared" si="43"/>
        <v>47.661911594626204</v>
      </c>
      <c r="G136" s="270">
        <f t="shared" si="43"/>
        <v>40.150784985128411</v>
      </c>
      <c r="H136" s="270">
        <f t="shared" si="43"/>
        <v>49.4106483965355</v>
      </c>
      <c r="I136" s="270">
        <f t="shared" si="43"/>
        <v>42.216186092681568</v>
      </c>
      <c r="J136" s="270">
        <f t="shared" si="43"/>
        <v>42.117393796161259</v>
      </c>
      <c r="K136" s="270">
        <f t="shared" si="43"/>
        <v>50.042124789794748</v>
      </c>
      <c r="L136" s="270">
        <f t="shared" si="43"/>
        <v>49.387590469393601</v>
      </c>
      <c r="M136" s="270"/>
    </row>
    <row r="137" spans="1:30">
      <c r="A137" s="16"/>
      <c r="B137" s="271" t="s">
        <v>176</v>
      </c>
      <c r="C137" s="274"/>
      <c r="E137" s="270">
        <f>+(E119*1000-W137*AVERAGE(E$101,E$102))/Q137</f>
        <v>60.327182635104073</v>
      </c>
      <c r="F137" s="270"/>
      <c r="G137" s="274"/>
      <c r="H137" s="274"/>
      <c r="I137" s="274"/>
      <c r="J137" s="274"/>
      <c r="K137" s="274"/>
      <c r="L137" s="270">
        <f>+(L119*1000-X137*AVERAGE(L$101,L$102))/R137</f>
        <v>59.716607144411725</v>
      </c>
      <c r="M137" s="270"/>
      <c r="N137" s="270"/>
      <c r="Q137" s="43">
        <f>SUMPRODUCT(E50:E53,E32:E35)</f>
        <v>35138.410993201906</v>
      </c>
      <c r="R137" s="43">
        <f>SUMPRODUCT(L50:L53,L32:L35)</f>
        <v>890459.83000916615</v>
      </c>
      <c r="T137" s="43">
        <f>SUMPRODUCT(E50:E53,E14:E17)</f>
        <v>37655.733432469307</v>
      </c>
      <c r="U137" s="43">
        <f>SUMPRODUCT(L50:L53,L14:L17)</f>
        <v>969320.23475213768</v>
      </c>
      <c r="W137" s="43">
        <f>+T137-Q137</f>
        <v>2517.3224392674019</v>
      </c>
      <c r="X137" s="43">
        <f>+U137-R137</f>
        <v>78860.404742971528</v>
      </c>
      <c r="Z137" s="278">
        <f>+E137*Q137/1000</f>
        <v>2119.8013374942402</v>
      </c>
      <c r="AA137" s="278">
        <f>+L137*R137/1000</f>
        <v>53175.239846537021</v>
      </c>
    </row>
    <row r="138" spans="1:30" ht="15.25">
      <c r="A138" s="16"/>
      <c r="B138" s="271" t="s">
        <v>177</v>
      </c>
      <c r="C138" s="270"/>
      <c r="D138" s="270"/>
      <c r="E138" s="270">
        <f>+(E120*1000-W138*AVERAGE(E$101,E$102))/Q138</f>
        <v>39.793737305281731</v>
      </c>
      <c r="F138" s="274"/>
      <c r="G138" s="274"/>
      <c r="H138" s="274"/>
      <c r="I138" s="274"/>
      <c r="J138" s="274"/>
      <c r="K138" s="274"/>
      <c r="L138" s="270">
        <f>+(L120*1000-X138*AVERAGE(L$101,L$102))/R138</f>
        <v>39.633581791142738</v>
      </c>
      <c r="M138" s="270"/>
      <c r="N138" s="270"/>
      <c r="Q138" s="43">
        <f>SUMPRODUCT(E50:E53,Q32:Q35)</f>
        <v>38029.955560872397</v>
      </c>
      <c r="R138" s="43">
        <f>SUMPRODUCT(L50:L53,X32:X35)</f>
        <v>942953.27551910933</v>
      </c>
      <c r="T138" s="43">
        <f>SUMPRODUCT(E50:E53,Q14:Q17)</f>
        <v>35512.633121604988</v>
      </c>
      <c r="U138" s="43">
        <f>SUMPRODUCT(L50:L53,X14:X17)</f>
        <v>864092.87077613792</v>
      </c>
      <c r="W138" s="43">
        <f>+T138-Q138</f>
        <v>-2517.3224392674092</v>
      </c>
      <c r="X138" s="43">
        <f>+U138-R138</f>
        <v>-78860.404742971412</v>
      </c>
      <c r="Z138" s="279">
        <f>+E138*Q138/1000</f>
        <v>1513.3540613208943</v>
      </c>
      <c r="AA138" s="279">
        <f>+L138*R138/1000</f>
        <v>37372.615770512573</v>
      </c>
    </row>
    <row r="139" spans="1:30">
      <c r="A139" s="16"/>
      <c r="C139" s="270"/>
      <c r="D139" s="270"/>
      <c r="E139" s="275"/>
      <c r="F139" s="275"/>
      <c r="G139" s="275"/>
      <c r="H139" s="275"/>
      <c r="I139" s="275"/>
      <c r="J139" s="275"/>
      <c r="K139" s="275"/>
      <c r="L139" s="275"/>
      <c r="M139" s="275"/>
      <c r="Q139" s="43"/>
      <c r="R139" s="43"/>
      <c r="T139" s="43"/>
      <c r="U139" s="43"/>
      <c r="W139" s="43"/>
      <c r="X139" s="43"/>
      <c r="Z139" s="278">
        <f>+Z138+Z137</f>
        <v>3633.1553988151345</v>
      </c>
      <c r="AA139" s="278">
        <f>+AA138+AA137</f>
        <v>90547.855617049587</v>
      </c>
      <c r="AC139" s="214">
        <f>+E118</f>
        <v>3633.155398815134</v>
      </c>
      <c r="AD139" s="214">
        <f>+L118</f>
        <v>90547.855617049601</v>
      </c>
    </row>
    <row r="140" spans="1:30">
      <c r="A140" s="16"/>
      <c r="B140" s="33" t="s">
        <v>159</v>
      </c>
      <c r="C140" s="273">
        <f t="shared" ref="C140:L140" si="44">+C122/SUM(C45:C49,C54:C56)*1000</f>
        <v>51.946595395542353</v>
      </c>
      <c r="D140" s="273">
        <f t="shared" si="44"/>
        <v>54.570381730735328</v>
      </c>
      <c r="E140" s="273">
        <f t="shared" si="44"/>
        <v>51.676821923764166</v>
      </c>
      <c r="F140" s="273">
        <f t="shared" si="44"/>
        <v>51.088628995794309</v>
      </c>
      <c r="G140" s="273">
        <f t="shared" si="44"/>
        <v>51.307998231012135</v>
      </c>
      <c r="H140" s="273">
        <f t="shared" si="44"/>
        <v>54.513658300725119</v>
      </c>
      <c r="I140" s="273">
        <f t="shared" si="44"/>
        <v>50.434617545347535</v>
      </c>
      <c r="J140" s="273">
        <f t="shared" si="44"/>
        <v>50.095272678348252</v>
      </c>
      <c r="K140" s="273">
        <f t="shared" si="44"/>
        <v>51.527450171832797</v>
      </c>
      <c r="L140" s="273">
        <f t="shared" si="44"/>
        <v>51.180040624673872</v>
      </c>
      <c r="M140" s="273"/>
      <c r="Q140" s="43"/>
      <c r="R140" s="43"/>
      <c r="T140" s="43"/>
      <c r="U140" s="43"/>
      <c r="W140" s="43"/>
      <c r="X140" s="43"/>
      <c r="Z140" s="278"/>
      <c r="AA140" s="278"/>
      <c r="AC140" s="214"/>
    </row>
    <row r="141" spans="1:30">
      <c r="A141" s="16"/>
      <c r="B141" s="271" t="s">
        <v>176</v>
      </c>
      <c r="C141" s="274"/>
      <c r="D141" s="274"/>
      <c r="E141" s="270">
        <f>+(E123*1000-W141*AVERAGE(E$105,E$106))/Q141</f>
        <v>56.314926854065909</v>
      </c>
      <c r="F141" s="270"/>
      <c r="G141" s="270"/>
      <c r="H141" s="274"/>
      <c r="I141" s="274"/>
      <c r="J141" s="274"/>
      <c r="K141" s="274"/>
      <c r="L141" s="270">
        <f>+(L123*1000-X141*AVERAGE(L$105,L$106))/R141</f>
        <v>55.150867252701381</v>
      </c>
      <c r="M141" s="270"/>
      <c r="N141" s="270"/>
      <c r="Q141" s="43">
        <f>SUMPRODUCT(E45:E49,E27:E31)+SUMPRODUCT(E54:E56,E36:E38)</f>
        <v>39075.621720067647</v>
      </c>
      <c r="R141" s="43">
        <f>SUMPRODUCT(L45:L49,L27:L31)+SUMPRODUCT(L54:L56,L36:L38)</f>
        <v>1552730.1573699911</v>
      </c>
      <c r="T141" s="43">
        <f>SUMPRODUCT(E45:E49,E9:E13)+SUMPRODUCT(E54:E56,E18:E20)</f>
        <v>43501.363785475332</v>
      </c>
      <c r="U141" s="43">
        <f>SUMPRODUCT(L45:L49,L9:L13)+SUMPRODUCT(L54:L56,L18:L20)</f>
        <v>1699270.9478141484</v>
      </c>
      <c r="W141" s="43">
        <f>+T141-Q141</f>
        <v>4425.742065407685</v>
      </c>
      <c r="X141" s="43">
        <f>+U141-R141</f>
        <v>146540.79044415732</v>
      </c>
      <c r="Z141" s="278">
        <f>+E141*Q141/1000</f>
        <v>2200.5407789427586</v>
      </c>
      <c r="AA141" s="278">
        <f>+L141*R141/1000</f>
        <v>85634.414788378504</v>
      </c>
      <c r="AC141" s="214"/>
    </row>
    <row r="142" spans="1:30" ht="15.25">
      <c r="A142" s="16"/>
      <c r="B142" s="271" t="s">
        <v>177</v>
      </c>
      <c r="C142" s="274"/>
      <c r="D142" s="274"/>
      <c r="E142" s="270">
        <f>+(E124*1000-W142*AVERAGE(E$105,E$106))/Q142</f>
        <v>48.268807140041595</v>
      </c>
      <c r="F142" s="270"/>
      <c r="G142" s="270"/>
      <c r="H142" s="274"/>
      <c r="I142" s="274"/>
      <c r="J142" s="274"/>
      <c r="K142" s="274"/>
      <c r="L142" s="270">
        <f>+(L124*1000-X142*AVERAGE(L$105,L$106))/R142</f>
        <v>47.618422993199985</v>
      </c>
      <c r="M142" s="270"/>
      <c r="N142" s="270"/>
      <c r="Q142" s="43">
        <f>SUMPRODUCT(E45:E49,Q27:Q31)+SUMPRODUCT(E54:E56,Q36:Q38)</f>
        <v>53179.591420811397</v>
      </c>
      <c r="R142" s="43">
        <f>SUMPRODUCT(L45:L49,X27:X31)+SUMPRODUCT(L54:L56,X36:X38)</f>
        <v>1731129.7542276154</v>
      </c>
      <c r="T142" s="43">
        <f>SUMPRODUCT(E45:E49,Q9:Q13)+SUMPRODUCT(E54:E56,Q18:Q20)</f>
        <v>48753.849355403698</v>
      </c>
      <c r="U142" s="43">
        <f>SUMPRODUCT(L45:L49,X9:X13)+SUMPRODUCT(L54:L56,X18:X20)</f>
        <v>1584588.9637834581</v>
      </c>
      <c r="W142" s="43">
        <f>+T142-Q142</f>
        <v>-4425.7420654076996</v>
      </c>
      <c r="X142" s="43">
        <f>+U142-R142</f>
        <v>-146540.79044415732</v>
      </c>
      <c r="Z142" s="279">
        <f>+E142*Q142/1000</f>
        <v>2566.9154420773561</v>
      </c>
      <c r="AA142" s="279">
        <f>+L142*R142/1000</f>
        <v>82433.668892924921</v>
      </c>
      <c r="AC142" s="214"/>
    </row>
    <row r="143" spans="1:30">
      <c r="A143" s="16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Z143" s="278">
        <f>+Z142+Z141</f>
        <v>4767.4562210201148</v>
      </c>
      <c r="AA143" s="278">
        <f>+AA142+AA141</f>
        <v>168068.08368130343</v>
      </c>
      <c r="AC143" s="214">
        <f>+E122</f>
        <v>4767.4562210201138</v>
      </c>
      <c r="AD143" s="214">
        <f>+L122</f>
        <v>168068.08368130345</v>
      </c>
    </row>
    <row r="144" spans="1:30">
      <c r="A144" s="16"/>
      <c r="B144" s="1" t="s">
        <v>178</v>
      </c>
      <c r="C144" s="270">
        <f t="shared" ref="C144:L144" si="45">(C136*SUM(C50:C53)+C140*SUM(C45:C49,C54:C56))/C57</f>
        <v>51.094036944885282</v>
      </c>
      <c r="D144" s="270">
        <f t="shared" si="45"/>
        <v>53.608875379873687</v>
      </c>
      <c r="E144" s="270">
        <f t="shared" si="45"/>
        <v>50.782431593647409</v>
      </c>
      <c r="F144" s="270">
        <f t="shared" si="45"/>
        <v>50.117970847823948</v>
      </c>
      <c r="G144" s="270">
        <f t="shared" si="45"/>
        <v>49.913346575276677</v>
      </c>
      <c r="H144" s="270">
        <f t="shared" si="45"/>
        <v>53.329615416858395</v>
      </c>
      <c r="I144" s="270">
        <f t="shared" si="45"/>
        <v>48.166435390941551</v>
      </c>
      <c r="J144" s="270">
        <f t="shared" si="45"/>
        <v>47.97222633681772</v>
      </c>
      <c r="K144" s="270">
        <f t="shared" si="45"/>
        <v>50.990162759663292</v>
      </c>
      <c r="L144" s="270">
        <f t="shared" si="45"/>
        <v>50.537842798859451</v>
      </c>
      <c r="M144" s="270"/>
      <c r="AC144" s="214"/>
    </row>
    <row r="145" spans="1:40">
      <c r="A145" s="16"/>
      <c r="B145" s="1" t="s">
        <v>179</v>
      </c>
      <c r="C145" s="270">
        <f>+C128/SUM(C57:L57)*1000</f>
        <v>50.909736953142783</v>
      </c>
      <c r="T145" s="43"/>
      <c r="U145" s="43"/>
    </row>
    <row r="146" spans="1:40">
      <c r="A146" s="16"/>
      <c r="T146" s="43"/>
      <c r="U146" s="43"/>
    </row>
    <row r="147" spans="1:40">
      <c r="A147" s="16"/>
      <c r="T147" s="43"/>
      <c r="U147" s="43"/>
    </row>
    <row r="148" spans="1:40">
      <c r="A148" s="2" t="s">
        <v>62</v>
      </c>
      <c r="B148" s="12" t="s">
        <v>63</v>
      </c>
      <c r="L148" s="7" t="s">
        <v>180</v>
      </c>
      <c r="T148" s="43"/>
      <c r="U148" s="43"/>
    </row>
    <row r="149" spans="1:40">
      <c r="A149" s="16"/>
      <c r="B149" s="13" t="str">
        <f>Inputs!B97</f>
        <v>Obligations - Peak Load shares eff 6/1/25, scaling factors eff 6/1/25, Transmission Loads eff 1/1/25; costs are market estimates</v>
      </c>
      <c r="L149" s="7" t="s">
        <v>181</v>
      </c>
      <c r="T149" s="43"/>
      <c r="U149" s="43"/>
    </row>
    <row r="150" spans="1:40">
      <c r="A150" s="16"/>
      <c r="B150" s="13" t="s">
        <v>65</v>
      </c>
      <c r="C150" s="7" t="str">
        <f>+C7</f>
        <v>RS</v>
      </c>
      <c r="D150" s="7" t="str">
        <f t="shared" ref="D150:L150" si="46">+D7</f>
        <v>RHS</v>
      </c>
      <c r="E150" s="7" t="str">
        <f t="shared" si="46"/>
        <v>RLM</v>
      </c>
      <c r="F150" s="7" t="str">
        <f t="shared" si="46"/>
        <v>WH</v>
      </c>
      <c r="G150" s="7" t="str">
        <f t="shared" si="46"/>
        <v>WHS</v>
      </c>
      <c r="H150" s="7" t="str">
        <f t="shared" si="46"/>
        <v>HS</v>
      </c>
      <c r="I150" s="7" t="str">
        <f t="shared" si="46"/>
        <v>PSAL</v>
      </c>
      <c r="J150" s="7" t="str">
        <f t="shared" si="46"/>
        <v>BPL</v>
      </c>
      <c r="K150" s="7" t="str">
        <f t="shared" si="46"/>
        <v>GLP</v>
      </c>
      <c r="L150" s="7" t="str">
        <f t="shared" si="46"/>
        <v>LPL-S</v>
      </c>
      <c r="M150" s="7"/>
      <c r="T150" s="43"/>
      <c r="U150" s="43"/>
      <c r="AD150" s="7" t="s">
        <v>11</v>
      </c>
      <c r="AE150" s="7" t="s">
        <v>12</v>
      </c>
      <c r="AF150" s="7" t="s">
        <v>13</v>
      </c>
      <c r="AG150" s="7" t="s">
        <v>14</v>
      </c>
      <c r="AH150" s="7" t="s">
        <v>15</v>
      </c>
      <c r="AI150" s="7" t="s">
        <v>16</v>
      </c>
      <c r="AJ150" s="7" t="s">
        <v>17</v>
      </c>
      <c r="AK150" s="7" t="s">
        <v>18</v>
      </c>
      <c r="AL150" s="7" t="s">
        <v>19</v>
      </c>
      <c r="AM150" s="7" t="s">
        <v>20</v>
      </c>
    </row>
    <row r="151" spans="1:40">
      <c r="A151" s="16"/>
      <c r="B151" s="13"/>
      <c r="C151" s="7"/>
      <c r="D151" s="7"/>
      <c r="E151" s="7"/>
      <c r="F151" s="7"/>
      <c r="G151" s="7"/>
      <c r="H151" s="7"/>
      <c r="I151" s="7"/>
      <c r="J151" s="7"/>
      <c r="K151" s="7"/>
      <c r="M151" s="7"/>
      <c r="R151" s="508"/>
      <c r="S151" s="508"/>
      <c r="T151" s="508"/>
      <c r="U151" s="508"/>
      <c r="V151" s="508"/>
      <c r="AC151" s="106" t="s">
        <v>66</v>
      </c>
      <c r="AD151" s="98">
        <f>Inputs!C101</f>
        <v>4629.5728375434073</v>
      </c>
      <c r="AE151" s="98">
        <f>Inputs!D101</f>
        <v>13.082147866763224</v>
      </c>
      <c r="AF151" s="98">
        <f>Inputs!E101</f>
        <v>64.623468975916651</v>
      </c>
      <c r="AG151" s="98">
        <f>Inputs!F101</f>
        <v>0</v>
      </c>
      <c r="AH151" s="98">
        <f>Inputs!G101</f>
        <v>0</v>
      </c>
      <c r="AI151" s="98">
        <f>Inputs!H101</f>
        <v>1.5165110008062068</v>
      </c>
      <c r="AJ151" s="98">
        <f>Inputs!I101</f>
        <v>0</v>
      </c>
      <c r="AK151" s="98">
        <f>Inputs!J101</f>
        <v>0</v>
      </c>
      <c r="AL151" s="98">
        <f>Inputs!K101</f>
        <v>1538.0306361815803</v>
      </c>
      <c r="AM151" s="98">
        <f>Inputs!L101</f>
        <v>1383.0516178720507</v>
      </c>
      <c r="AN151" s="1">
        <f>SUM(AD151:AM151)</f>
        <v>7629.8772194405246</v>
      </c>
    </row>
    <row r="152" spans="1:40">
      <c r="A152" s="16"/>
      <c r="T152" s="10"/>
      <c r="AC152" s="100" t="s">
        <v>67</v>
      </c>
      <c r="AD152" s="98">
        <f>Inputs!C102</f>
        <v>4956.4021044689507</v>
      </c>
      <c r="AE152" s="98">
        <f>Inputs!D102</f>
        <v>13.84525330832356</v>
      </c>
      <c r="AF152" s="98">
        <f>Inputs!E102</f>
        <v>68.064355473561761</v>
      </c>
      <c r="AG152" s="98">
        <f>Inputs!F102</f>
        <v>0</v>
      </c>
      <c r="AH152" s="98">
        <f>Inputs!G102</f>
        <v>0</v>
      </c>
      <c r="AI152" s="98">
        <f>Inputs!H102</f>
        <v>1.5690983023498113</v>
      </c>
      <c r="AJ152" s="98">
        <f>Inputs!I102</f>
        <v>0</v>
      </c>
      <c r="AK152" s="98">
        <f>Inputs!J102</f>
        <v>0</v>
      </c>
      <c r="AL152" s="98">
        <f>Inputs!K102</f>
        <v>1546.3133706271058</v>
      </c>
      <c r="AM152" s="98">
        <f>Inputs!L102</f>
        <v>1414.6831457144353</v>
      </c>
    </row>
    <row r="153" spans="1:40">
      <c r="A153" s="89"/>
      <c r="B153" s="1" t="s">
        <v>182</v>
      </c>
      <c r="C153" s="94">
        <f>ROUND(AD151*$AD$154*$AD$155,1)</f>
        <v>4392.3999999999996</v>
      </c>
      <c r="D153" s="94">
        <f t="shared" ref="D153:K153" si="47">ROUND(AE151*$AD$154*$AD$155,1)</f>
        <v>12.4</v>
      </c>
      <c r="E153" s="94">
        <f t="shared" si="47"/>
        <v>61.3</v>
      </c>
      <c r="F153" s="94">
        <f t="shared" si="47"/>
        <v>0</v>
      </c>
      <c r="G153" s="94">
        <f t="shared" si="47"/>
        <v>0</v>
      </c>
      <c r="H153" s="94">
        <f t="shared" si="47"/>
        <v>1.4</v>
      </c>
      <c r="I153" s="94">
        <f t="shared" si="47"/>
        <v>0</v>
      </c>
      <c r="J153" s="94">
        <f t="shared" si="47"/>
        <v>0</v>
      </c>
      <c r="K153" s="94">
        <f t="shared" si="47"/>
        <v>1459.3</v>
      </c>
      <c r="L153" s="94">
        <f>ROUND(AM151*$AD$154*$AD$155*(1-AE45),1)</f>
        <v>940.8</v>
      </c>
      <c r="M153" s="95">
        <f>SUM(C153:L153)</f>
        <v>6867.5999999999995</v>
      </c>
      <c r="R153" s="103"/>
      <c r="S153" s="106"/>
      <c r="T153" s="103"/>
      <c r="U153" s="104"/>
      <c r="V153" s="229"/>
    </row>
    <row r="154" spans="1:40">
      <c r="A154" s="1"/>
      <c r="C154" s="280"/>
      <c r="D154" s="10"/>
      <c r="E154" s="10"/>
      <c r="F154" s="10"/>
      <c r="G154" s="10"/>
      <c r="H154" s="10"/>
      <c r="I154" s="10"/>
      <c r="J154" s="10"/>
      <c r="K154" s="10"/>
      <c r="L154" s="10"/>
      <c r="R154" s="103"/>
      <c r="S154" s="106"/>
      <c r="T154" s="103"/>
      <c r="U154" s="104"/>
      <c r="V154" s="229"/>
      <c r="AC154" s="100" t="s">
        <v>68</v>
      </c>
      <c r="AD154" s="281">
        <f>Inputs!C104</f>
        <v>1.01149256</v>
      </c>
    </row>
    <row r="155" spans="1:40">
      <c r="A155" s="89"/>
      <c r="B155" s="1" t="s">
        <v>183</v>
      </c>
      <c r="C155" s="94">
        <f>ROUND(AD152,1)</f>
        <v>4956.3999999999996</v>
      </c>
      <c r="D155" s="94">
        <f t="shared" ref="D155:K155" si="48">ROUND(AE152,1)</f>
        <v>13.8</v>
      </c>
      <c r="E155" s="94">
        <f t="shared" si="48"/>
        <v>68.099999999999994</v>
      </c>
      <c r="F155" s="94">
        <f t="shared" si="48"/>
        <v>0</v>
      </c>
      <c r="G155" s="94">
        <f t="shared" si="48"/>
        <v>0</v>
      </c>
      <c r="H155" s="94">
        <f t="shared" si="48"/>
        <v>1.6</v>
      </c>
      <c r="I155" s="94">
        <f t="shared" si="48"/>
        <v>0</v>
      </c>
      <c r="J155" s="94">
        <f t="shared" si="48"/>
        <v>0</v>
      </c>
      <c r="K155" s="94">
        <f t="shared" si="48"/>
        <v>1546.3</v>
      </c>
      <c r="L155" s="94">
        <f>ROUND(AM152*(1-AF45),1)</f>
        <v>1014.3</v>
      </c>
      <c r="M155" s="95"/>
      <c r="R155" s="103"/>
      <c r="S155" s="106"/>
      <c r="T155" s="103"/>
      <c r="U155" s="104"/>
      <c r="V155" s="282"/>
      <c r="X155" s="1" t="str">
        <f>+Inputs!B105</f>
        <v>PJM June 1, 2025 (through May 31, 2026) Forecast Pool Requirement</v>
      </c>
      <c r="AD155" s="281">
        <f>Inputs!C105</f>
        <v>0.93799999999999994</v>
      </c>
    </row>
    <row r="156" spans="1:40">
      <c r="A156" s="1"/>
      <c r="C156" s="98"/>
      <c r="D156" s="98"/>
      <c r="E156" s="98"/>
      <c r="F156" s="98"/>
      <c r="G156" s="98"/>
      <c r="H156" s="98"/>
      <c r="I156" s="98"/>
      <c r="J156" s="98"/>
      <c r="K156" s="98"/>
      <c r="M156" s="98"/>
      <c r="V156" s="229"/>
    </row>
    <row r="157" spans="1:40">
      <c r="A157" s="16"/>
      <c r="B157" s="1" t="s">
        <v>184</v>
      </c>
      <c r="I157" s="98"/>
      <c r="K157" s="7"/>
      <c r="M157" s="98"/>
      <c r="AD157" s="1">
        <f>AD151*$AD$154*$AD$155</f>
        <v>4392.4462153217437</v>
      </c>
      <c r="AE157" s="1">
        <f t="shared" ref="AE157:AM157" si="49">AE151*$AD$154*$AD$155</f>
        <v>12.412080531415716</v>
      </c>
      <c r="AF157" s="1">
        <f t="shared" si="49"/>
        <v>61.313456270157623</v>
      </c>
      <c r="AG157" s="1">
        <f t="shared" si="49"/>
        <v>0</v>
      </c>
      <c r="AH157" s="1">
        <f t="shared" si="49"/>
        <v>0</v>
      </c>
      <c r="AI157" s="1">
        <f t="shared" si="49"/>
        <v>1.438835339616267</v>
      </c>
      <c r="AJ157" s="1">
        <f t="shared" si="49"/>
        <v>0</v>
      </c>
      <c r="AK157" s="1">
        <f t="shared" si="49"/>
        <v>0</v>
      </c>
      <c r="AL157" s="1">
        <f t="shared" si="49"/>
        <v>1459.2527397256515</v>
      </c>
      <c r="AM157" s="1">
        <f t="shared" si="49"/>
        <v>1312.2117434359825</v>
      </c>
      <c r="AN157" s="1">
        <f>SUM(AD157:AL157)</f>
        <v>5926.8633271885856</v>
      </c>
    </row>
    <row r="158" spans="1:40">
      <c r="A158" s="16"/>
      <c r="D158" s="100" t="s">
        <v>185</v>
      </c>
      <c r="E158" s="101">
        <v>122</v>
      </c>
      <c r="G158" s="100" t="s">
        <v>186</v>
      </c>
      <c r="H158" s="10">
        <v>4</v>
      </c>
      <c r="I158" s="98"/>
      <c r="M158" s="98"/>
    </row>
    <row r="159" spans="1:40">
      <c r="A159" s="16"/>
      <c r="D159" s="283" t="s">
        <v>187</v>
      </c>
      <c r="E159" s="468">
        <v>243</v>
      </c>
      <c r="G159" s="283" t="s">
        <v>188</v>
      </c>
      <c r="H159" s="10">
        <v>8</v>
      </c>
      <c r="I159" s="98"/>
      <c r="K159" s="284"/>
      <c r="L159" s="284"/>
      <c r="M159" s="98"/>
    </row>
    <row r="160" spans="1:40">
      <c r="A160" s="16"/>
      <c r="G160" s="100" t="s">
        <v>189</v>
      </c>
      <c r="H160" s="1">
        <f>+H158+H159</f>
        <v>12</v>
      </c>
      <c r="I160" s="98"/>
      <c r="J160" s="108"/>
      <c r="K160" s="284"/>
      <c r="L160" s="284"/>
      <c r="M160" s="98"/>
    </row>
    <row r="161" spans="1:18">
      <c r="A161" s="16"/>
      <c r="B161" s="10" t="s">
        <v>190</v>
      </c>
      <c r="C161" s="100" t="s">
        <v>191</v>
      </c>
      <c r="D161" s="285">
        <v>0</v>
      </c>
      <c r="E161" s="116" t="s">
        <v>192</v>
      </c>
      <c r="K161" s="286"/>
      <c r="L161" s="287"/>
    </row>
    <row r="162" spans="1:18">
      <c r="A162" s="16"/>
      <c r="B162" s="10"/>
      <c r="C162" s="100"/>
      <c r="D162" s="285"/>
      <c r="E162" s="116"/>
      <c r="K162" s="286"/>
      <c r="L162" s="287"/>
    </row>
    <row r="163" spans="1:18" ht="26">
      <c r="A163" s="16"/>
      <c r="B163" s="10"/>
      <c r="D163" s="288" t="s">
        <v>193</v>
      </c>
      <c r="E163" s="288" t="s">
        <v>194</v>
      </c>
      <c r="F163" s="1" t="s">
        <v>195</v>
      </c>
      <c r="I163" s="284"/>
      <c r="K163" s="286"/>
      <c r="L163" s="287"/>
    </row>
    <row r="164" spans="1:18">
      <c r="A164" s="16"/>
      <c r="B164" s="10" t="s">
        <v>70</v>
      </c>
      <c r="C164" s="100" t="s">
        <v>71</v>
      </c>
      <c r="D164" s="284">
        <f>Inputs!E113</f>
        <v>270.43</v>
      </c>
      <c r="E164" s="284">
        <v>0</v>
      </c>
      <c r="F164" s="219">
        <f>SUM(D164:E164)</f>
        <v>270.43</v>
      </c>
      <c r="G164" s="116" t="s">
        <v>72</v>
      </c>
      <c r="K164" s="289"/>
    </row>
    <row r="165" spans="1:18">
      <c r="A165" s="16"/>
      <c r="C165" s="100" t="s">
        <v>73</v>
      </c>
      <c r="D165" s="284">
        <f>Inputs!E114</f>
        <v>270.43</v>
      </c>
      <c r="E165" s="284">
        <v>0</v>
      </c>
      <c r="F165" s="219">
        <f>SUM(D165:E165)</f>
        <v>270.43</v>
      </c>
      <c r="G165" s="116" t="s">
        <v>72</v>
      </c>
      <c r="Q165" s="100" t="s">
        <v>196</v>
      </c>
    </row>
    <row r="166" spans="1:18">
      <c r="A166" s="16"/>
      <c r="E166" s="130"/>
      <c r="F166" s="10"/>
      <c r="G166" s="10"/>
      <c r="H166" s="10"/>
      <c r="I166" s="10"/>
      <c r="J166" s="10"/>
      <c r="P166" s="100" t="s">
        <v>197</v>
      </c>
      <c r="Q166" s="290">
        <f>(F164*E158+F165*E159)/1000</f>
        <v>98.706950000000006</v>
      </c>
      <c r="R166" s="1" t="s">
        <v>198</v>
      </c>
    </row>
    <row r="167" spans="1:18">
      <c r="A167" s="2"/>
      <c r="C167" s="7" t="str">
        <f>+C7</f>
        <v>RS</v>
      </c>
      <c r="D167" s="7" t="str">
        <f>+D7</f>
        <v>RHS</v>
      </c>
      <c r="F167" s="10"/>
      <c r="G167" s="10"/>
      <c r="H167" s="10"/>
      <c r="I167" s="10"/>
      <c r="J167" s="106"/>
    </row>
    <row r="168" spans="1:18">
      <c r="A168" s="2"/>
      <c r="B168" s="291" t="s">
        <v>199</v>
      </c>
      <c r="C168" s="291"/>
      <c r="D168" s="291"/>
      <c r="F168" s="10"/>
      <c r="G168" s="10"/>
      <c r="H168" s="10"/>
      <c r="I168" s="10"/>
      <c r="J168" s="106"/>
      <c r="K168" s="272"/>
    </row>
    <row r="169" spans="1:18">
      <c r="A169" s="2"/>
      <c r="B169" s="106" t="s">
        <v>200</v>
      </c>
      <c r="C169" s="47">
        <f>ROUND(Q171/Q173,3)</f>
        <v>0.64600000000000002</v>
      </c>
      <c r="D169" s="47">
        <f>ROUND(R171/R173,3)</f>
        <v>0.66100000000000003</v>
      </c>
      <c r="G169" s="292"/>
      <c r="H169" s="293"/>
      <c r="I169" s="293"/>
      <c r="J169" s="106"/>
      <c r="K169" s="272"/>
      <c r="N169" s="13" t="s">
        <v>201</v>
      </c>
      <c r="P169" s="10" t="s">
        <v>202</v>
      </c>
    </row>
    <row r="170" spans="1:18">
      <c r="A170" s="2"/>
      <c r="B170" s="106" t="s">
        <v>203</v>
      </c>
      <c r="C170" s="47">
        <f>1-C169</f>
        <v>0.35399999999999998</v>
      </c>
      <c r="D170" s="47">
        <f>1-D169</f>
        <v>0.33899999999999997</v>
      </c>
      <c r="F170" s="10"/>
      <c r="H170" s="10"/>
      <c r="I170" s="10"/>
      <c r="J170" s="106"/>
      <c r="K170" s="272"/>
      <c r="N170" s="103"/>
      <c r="Q170" s="1" t="s">
        <v>11</v>
      </c>
      <c r="R170" s="1" t="s">
        <v>12</v>
      </c>
    </row>
    <row r="171" spans="1:18">
      <c r="A171" s="2"/>
      <c r="F171" s="10"/>
      <c r="H171" s="10"/>
      <c r="I171" s="10"/>
      <c r="J171" s="106"/>
      <c r="K171" s="272"/>
      <c r="P171" s="1" t="s">
        <v>204</v>
      </c>
      <c r="Q171" s="469">
        <v>3528124</v>
      </c>
      <c r="R171" s="469">
        <v>19973</v>
      </c>
    </row>
    <row r="172" spans="1:18">
      <c r="A172" s="2"/>
      <c r="B172" s="106" t="s">
        <v>74</v>
      </c>
      <c r="C172" s="252">
        <f>Inputs!C119</f>
        <v>0.86519999999999975</v>
      </c>
      <c r="D172" s="252">
        <f>Inputs!D119</f>
        <v>1.1569000000000003</v>
      </c>
      <c r="E172" s="10" t="s">
        <v>75</v>
      </c>
      <c r="F172" s="114" t="s">
        <v>205</v>
      </c>
      <c r="I172" s="10"/>
      <c r="J172" s="106"/>
      <c r="K172" s="272"/>
      <c r="P172" s="1" t="s">
        <v>206</v>
      </c>
      <c r="Q172" s="470">
        <v>1931618</v>
      </c>
      <c r="R172" s="470">
        <v>10227</v>
      </c>
    </row>
    <row r="173" spans="1:18">
      <c r="A173" s="2"/>
      <c r="F173" s="10"/>
      <c r="H173" s="10"/>
      <c r="I173" s="10"/>
      <c r="J173" s="106"/>
      <c r="K173" s="272"/>
      <c r="P173" s="1" t="s">
        <v>207</v>
      </c>
      <c r="Q173" s="469">
        <f>SUM(Q171:Q172)</f>
        <v>5459742</v>
      </c>
      <c r="R173" s="469">
        <f>SUM(R171:R172)</f>
        <v>30200</v>
      </c>
    </row>
    <row r="174" spans="1:18">
      <c r="A174" s="2" t="s">
        <v>77</v>
      </c>
      <c r="B174" s="12" t="s">
        <v>78</v>
      </c>
      <c r="D174" s="284"/>
      <c r="F174" s="10"/>
      <c r="H174" s="10"/>
      <c r="I174" s="10"/>
      <c r="J174" s="106"/>
      <c r="K174" s="272"/>
      <c r="Q174" s="294"/>
      <c r="R174" s="294"/>
    </row>
    <row r="175" spans="1:18">
      <c r="A175" s="1"/>
      <c r="B175" s="8" t="s">
        <v>79</v>
      </c>
      <c r="C175" s="10"/>
      <c r="D175" s="284">
        <f>+Inputs!D123</f>
        <v>2</v>
      </c>
      <c r="E175" s="10"/>
      <c r="F175" s="10"/>
      <c r="G175" s="10"/>
      <c r="H175" s="10"/>
      <c r="I175" s="10"/>
      <c r="J175" s="10"/>
    </row>
    <row r="176" spans="1:18">
      <c r="A176" s="2"/>
      <c r="B176" s="8" t="s">
        <v>81</v>
      </c>
      <c r="D176" s="284">
        <f>+Inputs!D124</f>
        <v>18.23</v>
      </c>
      <c r="I176" s="10"/>
      <c r="J176" s="10"/>
    </row>
    <row r="177" spans="1:13">
      <c r="A177" s="16"/>
      <c r="B177" s="8" t="s">
        <v>208</v>
      </c>
      <c r="D177" s="273">
        <f>SUM(D175:D176)</f>
        <v>20.23</v>
      </c>
      <c r="E177" s="116" t="s">
        <v>80</v>
      </c>
    </row>
    <row r="178" spans="1:13">
      <c r="A178" s="16"/>
      <c r="B178" s="13"/>
      <c r="F178" s="116"/>
    </row>
    <row r="179" spans="1:13">
      <c r="A179" s="16"/>
      <c r="B179" s="12"/>
      <c r="E179" s="295"/>
      <c r="F179" s="116"/>
    </row>
    <row r="180" spans="1:13">
      <c r="A180" s="2" t="s">
        <v>209</v>
      </c>
      <c r="B180" s="12" t="s">
        <v>210</v>
      </c>
    </row>
    <row r="181" spans="1:13">
      <c r="A181" s="2"/>
      <c r="B181" s="12"/>
    </row>
    <row r="182" spans="1:13">
      <c r="A182" s="2"/>
      <c r="B182" s="12"/>
      <c r="C182" s="7" t="str">
        <f t="shared" ref="C182:J182" si="50">+C7</f>
        <v>RS</v>
      </c>
      <c r="D182" s="7" t="str">
        <f t="shared" si="50"/>
        <v>RHS</v>
      </c>
      <c r="E182" s="7" t="str">
        <f t="shared" si="50"/>
        <v>RLM</v>
      </c>
      <c r="F182" s="7" t="str">
        <f t="shared" si="50"/>
        <v>WH</v>
      </c>
      <c r="G182" s="7" t="str">
        <f t="shared" si="50"/>
        <v>WHS</v>
      </c>
      <c r="H182" s="7" t="str">
        <f t="shared" si="50"/>
        <v>HS</v>
      </c>
      <c r="I182" s="7" t="str">
        <f t="shared" si="50"/>
        <v>PSAL</v>
      </c>
      <c r="J182" s="7" t="str">
        <f t="shared" si="50"/>
        <v>BPL</v>
      </c>
    </row>
    <row r="183" spans="1:13">
      <c r="A183" s="2"/>
      <c r="B183" s="12"/>
    </row>
    <row r="184" spans="1:13">
      <c r="A184" s="16"/>
      <c r="B184" s="100" t="s">
        <v>211</v>
      </c>
      <c r="C184" s="290">
        <f>(+$D$161*C155*$H$160/12)/C57</f>
        <v>0</v>
      </c>
      <c r="D184" s="290">
        <f>(+$D$161*D155*$H$160/12)/D57</f>
        <v>0</v>
      </c>
      <c r="E184" s="290">
        <f>(+$D$161*E155*$H$160/12)/SUMPRODUCT(E27:E38,E45:E56)</f>
        <v>0</v>
      </c>
      <c r="F184" s="290">
        <f>(+$D$161*F155*$H$160/12)/F57</f>
        <v>0</v>
      </c>
      <c r="G184" s="290">
        <f>(+$D$161*G155*$H$160/12)/G57</f>
        <v>0</v>
      </c>
      <c r="H184" s="290">
        <f>(+$D$161*H155*$H$160/12)/H57</f>
        <v>0</v>
      </c>
      <c r="I184" s="290">
        <f>(+$D$161*I155*$H$160/12)/I57</f>
        <v>0</v>
      </c>
      <c r="J184" s="290">
        <f>(+$D$161*J155*$H$160/12)/J57</f>
        <v>0</v>
      </c>
      <c r="K184" s="290"/>
      <c r="L184" s="290"/>
      <c r="M184" s="290"/>
    </row>
    <row r="185" spans="1:13">
      <c r="A185" s="16"/>
      <c r="B185" s="10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</row>
    <row r="186" spans="1:13">
      <c r="A186" s="16"/>
      <c r="B186" s="100" t="s">
        <v>212</v>
      </c>
      <c r="K186" s="290"/>
      <c r="L186" s="290"/>
      <c r="M186" s="290"/>
    </row>
    <row r="187" spans="1:13">
      <c r="A187" s="2"/>
      <c r="B187" s="106" t="s">
        <v>213</v>
      </c>
      <c r="C187" s="270">
        <f>((+$Q$166*C153*1000)/C57)</f>
        <v>32.369985184897374</v>
      </c>
      <c r="D187" s="270">
        <f>((+$Q$166*D153*1000)/D57)</f>
        <v>16.872857270769337</v>
      </c>
      <c r="E187" s="270">
        <f>(+$Q$166*E153*1000)/SUMPRODUCT(E45:E56,E27:E38)</f>
        <v>81.530888617485445</v>
      </c>
      <c r="F187" s="270">
        <f>((+$Q$166*F153*1000)/F57)</f>
        <v>0</v>
      </c>
      <c r="G187" s="270">
        <f>((+$Q$166*G153*1000)/G57)</f>
        <v>0</v>
      </c>
      <c r="H187" s="270">
        <f>((+$Q$166*H153*1000)/H57)</f>
        <v>14.95810457446372</v>
      </c>
      <c r="I187" s="270">
        <f>((+$Q$166*I153*1000)/I57)</f>
        <v>0</v>
      </c>
      <c r="J187" s="270">
        <f>((+$Q$166*J153*1000)/J57)</f>
        <v>0</v>
      </c>
      <c r="K187" s="290"/>
      <c r="L187" s="290"/>
      <c r="M187" s="290"/>
    </row>
    <row r="188" spans="1:13">
      <c r="A188" s="16"/>
      <c r="B188" s="100" t="s">
        <v>214</v>
      </c>
      <c r="C188" s="296">
        <f>(C153*$F$164*$E$158)/SUM(C50:C53)</f>
        <v>25.92489443535306</v>
      </c>
      <c r="D188" s="296">
        <f>(D153*$F$164*$E$158)/SUM(D50:D53)</f>
        <v>25.758760537363067</v>
      </c>
      <c r="E188" s="296">
        <f>(E153*$F$164*$E$158)/SUMPRODUCT(E50:E53,E32:E35)</f>
        <v>57.556324854623426</v>
      </c>
      <c r="F188" s="296">
        <f>(F153*$F$164*$E$158)/SUM(F50:F53)</f>
        <v>0</v>
      </c>
      <c r="G188" s="296">
        <f>(G153*$F$164*$E$158)/SUM(G50:G53)</f>
        <v>0</v>
      </c>
      <c r="H188" s="296">
        <f>(H153*$F$164*$E$158)/SUM(H50:H53)</f>
        <v>21.547778895643496</v>
      </c>
      <c r="I188" s="296">
        <f>(I153*$F$164*$E$158)/SUM(I50:I53)</f>
        <v>0</v>
      </c>
      <c r="J188" s="296">
        <f>(J153*$F$164*$E$158)/SUM(J50:J53)</f>
        <v>0</v>
      </c>
      <c r="K188" s="290"/>
      <c r="L188" s="290"/>
      <c r="M188" s="290"/>
    </row>
    <row r="189" spans="1:13">
      <c r="A189" s="16"/>
      <c r="B189" s="100" t="s">
        <v>215</v>
      </c>
      <c r="C189" s="290">
        <f>(C153*$F$165*$E$159)/SUM(C45:C49,C54:C56)</f>
        <v>36.986434411912001</v>
      </c>
      <c r="D189" s="290">
        <f>(D153*$F$165*$E$159)/SUM(D45:D49,D54:D56)</f>
        <v>14.381996977671204</v>
      </c>
      <c r="E189" s="290">
        <f>(E153*$F$165*$E$159)/(SUMPRODUCT(E45:E49,E27:E31)+SUMPRODUCT(E54:E56,E36:E38))</f>
        <v>103.0898053486691</v>
      </c>
      <c r="F189" s="290">
        <f>(F153*$F$165*$E$159)/SUM(F45:F49,F54:F56)</f>
        <v>0</v>
      </c>
      <c r="G189" s="290">
        <f>(G153*$F$165*$E$159)/SUM(G45:G49,G54:G56)</f>
        <v>0</v>
      </c>
      <c r="H189" s="290">
        <f>(H153*$F$165*$E$159)/SUM(H45:H49,H54:H56)</f>
        <v>12.967157228765126</v>
      </c>
      <c r="I189" s="290">
        <f>(I153*$F$165*$E$159)/SUM(I45:I49,I54:I56)</f>
        <v>0</v>
      </c>
      <c r="J189" s="290">
        <f>(J153*$F$165*$E$159)/SUM(J45:J49,J54:J56)</f>
        <v>0</v>
      </c>
      <c r="K189" s="290"/>
      <c r="L189" s="290"/>
      <c r="M189" s="290"/>
    </row>
    <row r="190" spans="1:13">
      <c r="A190" s="16"/>
      <c r="E190" s="297" t="s">
        <v>216</v>
      </c>
      <c r="F190" s="290"/>
      <c r="G190" s="290"/>
      <c r="H190" s="290"/>
      <c r="K190" s="290"/>
      <c r="L190" s="290"/>
      <c r="M190" s="290"/>
    </row>
    <row r="191" spans="1:13">
      <c r="A191" s="16"/>
      <c r="E191" s="297" t="s">
        <v>217</v>
      </c>
      <c r="F191" s="290"/>
      <c r="G191" s="290"/>
      <c r="H191" s="290"/>
      <c r="K191" s="290"/>
      <c r="L191" s="290"/>
      <c r="M191" s="290"/>
    </row>
    <row r="192" spans="1:13">
      <c r="A192" s="16"/>
    </row>
    <row r="193" spans="1:11">
      <c r="A193" s="2" t="s">
        <v>218</v>
      </c>
      <c r="B193" s="12" t="s">
        <v>219</v>
      </c>
    </row>
    <row r="194" spans="1:11">
      <c r="A194" s="16"/>
      <c r="B194" s="12"/>
      <c r="K194" s="298"/>
    </row>
    <row r="195" spans="1:11">
      <c r="A195" s="16"/>
      <c r="B195" s="12" t="s">
        <v>220</v>
      </c>
    </row>
    <row r="196" spans="1:11">
      <c r="A196" s="16"/>
      <c r="B196" s="13" t="s">
        <v>221</v>
      </c>
    </row>
    <row r="197" spans="1:11">
      <c r="A197" s="16"/>
      <c r="B197" s="13" t="s">
        <v>155</v>
      </c>
    </row>
    <row r="198" spans="1:11">
      <c r="A198" s="16"/>
      <c r="C198" s="7" t="str">
        <f t="shared" ref="C198:J198" si="51">+C7</f>
        <v>RS</v>
      </c>
      <c r="D198" s="7" t="str">
        <f t="shared" si="51"/>
        <v>RHS</v>
      </c>
      <c r="E198" s="7" t="str">
        <f t="shared" si="51"/>
        <v>RLM</v>
      </c>
      <c r="F198" s="7" t="str">
        <f t="shared" si="51"/>
        <v>WH</v>
      </c>
      <c r="G198" s="7" t="str">
        <f t="shared" si="51"/>
        <v>WHS</v>
      </c>
      <c r="H198" s="7" t="str">
        <f t="shared" si="51"/>
        <v>HS</v>
      </c>
      <c r="I198" s="7" t="str">
        <f t="shared" si="51"/>
        <v>PSAL</v>
      </c>
      <c r="J198" s="7" t="str">
        <f t="shared" si="51"/>
        <v>BPL</v>
      </c>
    </row>
    <row r="199" spans="1:11">
      <c r="A199" s="16"/>
      <c r="C199" s="7"/>
      <c r="D199" s="7"/>
      <c r="E199" s="270"/>
      <c r="F199" s="7"/>
      <c r="G199" s="7"/>
    </row>
    <row r="200" spans="1:11">
      <c r="A200" s="16"/>
      <c r="B200" s="33" t="s">
        <v>156</v>
      </c>
      <c r="C200" s="270">
        <f>+C136+($D$177*C80)+C$184+C187</f>
        <v>103.85519801105461</v>
      </c>
      <c r="D200" s="270">
        <f>+D136+($D$177*D80)+D$184+D187</f>
        <v>88.63309662726536</v>
      </c>
      <c r="E200" s="270"/>
      <c r="F200" s="270">
        <f>+F136+($D$177*F80)+F$184+F187</f>
        <v>69.243356514626214</v>
      </c>
      <c r="G200" s="270">
        <f>+G136+($D$177*G80)+G$184+G187</f>
        <v>61.732229905128413</v>
      </c>
      <c r="H200" s="270">
        <f>+H136+($D$177*H80)+H$184+H187</f>
        <v>85.95019789099922</v>
      </c>
      <c r="I200" s="270">
        <f>+I136+($D$177*I80)+I$184+I187</f>
        <v>63.79763101268157</v>
      </c>
      <c r="J200" s="270">
        <f>+J136+($D$177*J80)+J$184+J187</f>
        <v>63.698838716161262</v>
      </c>
      <c r="K200" s="270"/>
    </row>
    <row r="201" spans="1:11">
      <c r="A201" s="16"/>
      <c r="B201" s="271" t="s">
        <v>176</v>
      </c>
      <c r="C201" s="270"/>
      <c r="D201" s="270"/>
      <c r="E201" s="270">
        <f>+E137+($D$177*E80)+E$184+E187</f>
        <v>163.43951617258952</v>
      </c>
      <c r="F201" s="270"/>
      <c r="G201" s="270"/>
      <c r="H201" s="270"/>
      <c r="I201" s="270"/>
      <c r="J201" s="270"/>
    </row>
    <row r="202" spans="1:11">
      <c r="A202" s="16"/>
      <c r="B202" s="271" t="s">
        <v>177</v>
      </c>
      <c r="C202" s="270"/>
      <c r="D202" s="270"/>
      <c r="E202" s="270">
        <f>+E138+($D$177*E80)</f>
        <v>61.375182225281733</v>
      </c>
      <c r="F202" s="270"/>
      <c r="G202" s="270"/>
      <c r="H202" s="270"/>
      <c r="I202" s="270"/>
      <c r="J202" s="270"/>
    </row>
    <row r="203" spans="1:11">
      <c r="A203" s="16"/>
      <c r="B203" s="106" t="s">
        <v>200</v>
      </c>
      <c r="C203" s="270">
        <f>(C200*SUM(C50:C53)-C172*10*C170*SUM(C50:C53))/SUM(C50:C53)</f>
        <v>100.79239001105461</v>
      </c>
      <c r="D203" s="270">
        <f>(D200*SUM(D50:D53)-D172*10*D170*SUM(D50:D53))/SUM(D50:D53)</f>
        <v>84.711205627265358</v>
      </c>
      <c r="E203" s="270"/>
      <c r="F203" s="270"/>
      <c r="G203" s="270"/>
      <c r="H203" s="270"/>
      <c r="I203" s="270"/>
      <c r="J203" s="270"/>
    </row>
    <row r="204" spans="1:11">
      <c r="A204" s="16"/>
      <c r="B204" s="106" t="s">
        <v>222</v>
      </c>
      <c r="C204" s="270">
        <f>+C203+C172*10</f>
        <v>109.44439001105461</v>
      </c>
      <c r="D204" s="270">
        <f>+D203+D172*10</f>
        <v>96.28020562726536</v>
      </c>
      <c r="E204" s="270"/>
      <c r="F204" s="270"/>
      <c r="G204" s="270"/>
      <c r="H204" s="270"/>
      <c r="I204" s="270"/>
      <c r="J204" s="270"/>
    </row>
    <row r="205" spans="1:11">
      <c r="A205" s="16"/>
      <c r="C205" s="270"/>
      <c r="D205" s="270"/>
      <c r="E205" s="270"/>
      <c r="F205" s="270"/>
      <c r="G205" s="270"/>
      <c r="H205" s="270"/>
      <c r="I205" s="270"/>
      <c r="J205" s="270"/>
    </row>
    <row r="206" spans="1:11">
      <c r="A206" s="16"/>
      <c r="B206" s="33" t="s">
        <v>159</v>
      </c>
      <c r="C206" s="270">
        <f>+C140+($D$177*C80)+C$184+C187</f>
        <v>105.89802550043973</v>
      </c>
      <c r="D206" s="270">
        <f>+D140+($D$177*D80)+D$184+D187</f>
        <v>93.024683921504675</v>
      </c>
      <c r="E206" s="270"/>
      <c r="F206" s="270">
        <f>+F140+($D$177*F80)+F$184+F187</f>
        <v>72.670073915794319</v>
      </c>
      <c r="G206" s="270">
        <f>+G140+($D$177*G80)+G$184+G187</f>
        <v>72.889443151012131</v>
      </c>
      <c r="H206" s="270">
        <f>+H140+($D$177*H80)+H$184+H187</f>
        <v>91.05320779518884</v>
      </c>
      <c r="I206" s="270">
        <f>+I140+($D$177*I80)+I$184+I187</f>
        <v>72.016062465347545</v>
      </c>
      <c r="J206" s="270">
        <f>+J140+($D$177*J80)+J$184+J187</f>
        <v>71.676717598348262</v>
      </c>
      <c r="K206" s="270"/>
    </row>
    <row r="207" spans="1:11">
      <c r="A207" s="16"/>
      <c r="B207" s="271" t="s">
        <v>176</v>
      </c>
      <c r="C207" s="270"/>
      <c r="D207" s="270"/>
      <c r="E207" s="270">
        <f>+E141+($D$177*E80)+E$184+E187</f>
        <v>159.42726039155136</v>
      </c>
      <c r="F207" s="270"/>
      <c r="G207" s="270"/>
      <c r="H207" s="270"/>
      <c r="I207" s="270"/>
      <c r="J207" s="270"/>
    </row>
    <row r="208" spans="1:11">
      <c r="A208" s="16"/>
      <c r="B208" s="271" t="s">
        <v>177</v>
      </c>
      <c r="C208" s="270"/>
      <c r="D208" s="270"/>
      <c r="E208" s="270">
        <f>+E142+($D$177*E80)</f>
        <v>69.850252060041598</v>
      </c>
      <c r="F208" s="270"/>
      <c r="G208" s="270"/>
      <c r="H208" s="270"/>
      <c r="I208" s="270"/>
      <c r="J208" s="270"/>
    </row>
    <row r="209" spans="1:15">
      <c r="A209" s="16"/>
      <c r="C209" s="270"/>
      <c r="D209" s="270"/>
      <c r="E209" s="270"/>
      <c r="F209" s="270"/>
      <c r="G209" s="270"/>
      <c r="H209" s="270"/>
      <c r="I209" s="270"/>
      <c r="J209" s="270"/>
    </row>
    <row r="210" spans="1:15">
      <c r="A210" s="16"/>
      <c r="B210" s="1" t="s">
        <v>223</v>
      </c>
      <c r="C210" s="270">
        <f>+C144+($D$177*C80)+C$184+C187</f>
        <v>105.04546704978266</v>
      </c>
      <c r="D210" s="270">
        <f>+D144+($D$177*D80)+D$184+D187</f>
        <v>92.063177570643035</v>
      </c>
      <c r="E210" s="270">
        <f>((E201*SUMPRODUCT(E32:E35,E50:E53)+E202*SUMPRODUCT(Q32:Q35,E50:E53))+(E207*(SUMPRODUCT(E27:E31,E45:E49)+SUMPRODUCT(E36:E38,E54:E56))+E208*(SUMPRODUCT(Q27:Q31,E45:E49)+SUMPRODUCT(Q36:Q38,E54:E56))))/E57</f>
        <v>108.94110477915686</v>
      </c>
      <c r="F210" s="270">
        <f>+F144+($D$177*F80)+F$184+F187</f>
        <v>71.69941576782395</v>
      </c>
      <c r="G210" s="270">
        <f>+G144+($D$177*G80)+G$184+G187</f>
        <v>71.494791495276672</v>
      </c>
      <c r="H210" s="270">
        <f>+H144+($D$177*H80)+H$184+H187</f>
        <v>89.869164911322116</v>
      </c>
      <c r="I210" s="270">
        <f>+I144+($D$177*I80)+I$184+I187</f>
        <v>69.747880310941554</v>
      </c>
      <c r="J210" s="270">
        <f>+J144+($D$177*J80)+J$184+J187</f>
        <v>69.553671256817722</v>
      </c>
      <c r="K210" s="270"/>
    </row>
    <row r="211" spans="1:15">
      <c r="A211" s="16"/>
      <c r="C211" s="270"/>
      <c r="D211" s="270"/>
      <c r="E211" s="270"/>
      <c r="F211" s="270"/>
      <c r="G211" s="270"/>
      <c r="H211" s="270"/>
      <c r="I211" s="270"/>
      <c r="J211" s="270"/>
      <c r="K211" s="270"/>
    </row>
    <row r="212" spans="1:15">
      <c r="A212" s="16"/>
      <c r="B212" s="12" t="s">
        <v>224</v>
      </c>
    </row>
    <row r="213" spans="1:15">
      <c r="A213" s="16"/>
      <c r="B213" s="13" t="s">
        <v>225</v>
      </c>
    </row>
    <row r="214" spans="1:15">
      <c r="A214" s="16"/>
      <c r="B214" s="13" t="s">
        <v>155</v>
      </c>
    </row>
    <row r="215" spans="1:15">
      <c r="A215" s="16"/>
      <c r="C215" s="7" t="str">
        <f>+K7</f>
        <v>GLP</v>
      </c>
      <c r="D215" s="7" t="str">
        <f>+L7</f>
        <v>LPL-S</v>
      </c>
      <c r="E215" s="7"/>
      <c r="H215" s="12" t="s">
        <v>226</v>
      </c>
      <c r="I215" s="7" t="str">
        <f>+C215</f>
        <v>GLP</v>
      </c>
      <c r="J215" s="7" t="str">
        <f>+D215</f>
        <v>LPL-S</v>
      </c>
    </row>
    <row r="216" spans="1:15">
      <c r="A216" s="16"/>
      <c r="C216" s="7"/>
      <c r="D216" s="7"/>
      <c r="F216" s="12"/>
    </row>
    <row r="217" spans="1:15">
      <c r="A217" s="16"/>
      <c r="B217" s="33" t="s">
        <v>156</v>
      </c>
      <c r="C217" s="270">
        <f>+K136+($D$177*K80)</f>
        <v>71.623569709794751</v>
      </c>
      <c r="D217" s="270">
        <f>+L136+($D$177*L$80)</f>
        <v>70.969035389393611</v>
      </c>
      <c r="E217" s="130"/>
      <c r="H217" s="299" t="s">
        <v>227</v>
      </c>
    </row>
    <row r="218" spans="1:15">
      <c r="A218" s="16"/>
      <c r="B218" s="271" t="s">
        <v>176</v>
      </c>
      <c r="C218" s="270"/>
      <c r="D218" s="270">
        <f>+L137+($D$177*L$80)</f>
        <v>81.298052064411735</v>
      </c>
      <c r="H218" s="100" t="s">
        <v>228</v>
      </c>
      <c r="I218" s="300">
        <f>+$F164*$E158/$H158/1000</f>
        <v>8.2481150000000003</v>
      </c>
      <c r="J218" s="300">
        <f>+$F164*$E158/$H158/1000</f>
        <v>8.2481150000000003</v>
      </c>
      <c r="K218" s="116" t="s">
        <v>229</v>
      </c>
      <c r="O218" s="222"/>
    </row>
    <row r="219" spans="1:15">
      <c r="A219" s="16"/>
      <c r="B219" s="271" t="s">
        <v>177</v>
      </c>
      <c r="C219" s="270"/>
      <c r="D219" s="270">
        <f>+L138+($D$177*L$80)</f>
        <v>61.215026711142741</v>
      </c>
      <c r="H219" s="100" t="s">
        <v>230</v>
      </c>
      <c r="I219" s="300">
        <f>+$F165*$E159/$H159/1000</f>
        <v>8.2143112500000015</v>
      </c>
      <c r="J219" s="300">
        <f>+$F165*$E159/$H159/1000</f>
        <v>8.2143112500000015</v>
      </c>
      <c r="K219" s="116" t="s">
        <v>229</v>
      </c>
    </row>
    <row r="220" spans="1:15">
      <c r="A220" s="16"/>
      <c r="C220" s="270"/>
      <c r="D220" s="270"/>
      <c r="H220" s="100" t="s">
        <v>231</v>
      </c>
      <c r="I220" s="300">
        <f>($F$164*$E$158+$F$165*$E$159)/$H$160/1000</f>
        <v>8.2255791666666678</v>
      </c>
      <c r="J220" s="300">
        <f>($F$164*$E$158+$F$165*$E$159)/$H$160/1000</f>
        <v>8.2255791666666678</v>
      </c>
      <c r="K220" s="116" t="s">
        <v>229</v>
      </c>
    </row>
    <row r="221" spans="1:15">
      <c r="A221" s="16"/>
      <c r="B221" s="33" t="s">
        <v>159</v>
      </c>
      <c r="C221" s="270">
        <f>+K140+($D$177*K80)</f>
        <v>73.108895091832807</v>
      </c>
      <c r="D221" s="270">
        <f>+L140+($D$177*L$80)</f>
        <v>72.761485544673874</v>
      </c>
    </row>
    <row r="222" spans="1:15">
      <c r="A222" s="16"/>
      <c r="B222" s="271" t="s">
        <v>176</v>
      </c>
      <c r="C222" s="270"/>
      <c r="D222" s="270">
        <f>+L141+($D$177*L$80)</f>
        <v>76.732312172701384</v>
      </c>
      <c r="H222" s="299" t="s">
        <v>232</v>
      </c>
      <c r="I222" s="221"/>
      <c r="J222" s="221"/>
      <c r="K222" s="116"/>
    </row>
    <row r="223" spans="1:15">
      <c r="A223" s="16"/>
      <c r="B223" s="271" t="s">
        <v>177</v>
      </c>
      <c r="C223" s="270"/>
      <c r="D223" s="270">
        <f>+L142+($D$177*L$80)</f>
        <v>69.199867913199995</v>
      </c>
      <c r="H223" s="100" t="s">
        <v>233</v>
      </c>
      <c r="I223" s="300">
        <f>+$D161/1000/12</f>
        <v>0</v>
      </c>
      <c r="J223" s="300">
        <f>+$D161/1000/12</f>
        <v>0</v>
      </c>
      <c r="K223" s="116" t="s">
        <v>234</v>
      </c>
    </row>
    <row r="224" spans="1:15">
      <c r="A224" s="16"/>
      <c r="B224" s="271"/>
      <c r="C224" s="270"/>
      <c r="D224" s="270"/>
    </row>
    <row r="225" spans="1:7">
      <c r="A225" s="16"/>
      <c r="B225" s="1" t="s">
        <v>235</v>
      </c>
      <c r="C225" s="270">
        <f>+K144+($D$177*K80)</f>
        <v>72.571607679663288</v>
      </c>
      <c r="D225" s="270">
        <f>+L144+($D$177*L$80)</f>
        <v>72.119287718859454</v>
      </c>
    </row>
    <row r="226" spans="1:7">
      <c r="A226" s="16"/>
      <c r="C226" s="270"/>
      <c r="D226" s="270"/>
    </row>
    <row r="227" spans="1:7">
      <c r="A227" s="16"/>
      <c r="B227" s="301" t="s">
        <v>236</v>
      </c>
      <c r="C227" s="270"/>
      <c r="D227" s="270"/>
    </row>
    <row r="228" spans="1:7">
      <c r="A228" s="16"/>
      <c r="B228" s="33" t="s">
        <v>156</v>
      </c>
      <c r="C228" s="270">
        <f>(C217*W49+((I220*$H158)*K153*1000)+(I223*$H158*K155*1000))/W49</f>
        <v>93.382656376011141</v>
      </c>
      <c r="D228" s="270">
        <f>(D217*X49+((J220*$H158)*L153*1000)+(J223*$H158*L155*1000))/X49</f>
        <v>87.852573216554958</v>
      </c>
      <c r="F228" s="1" t="s">
        <v>237</v>
      </c>
    </row>
    <row r="229" spans="1:7">
      <c r="A229" s="16"/>
      <c r="B229" s="271" t="s">
        <v>176</v>
      </c>
      <c r="C229" s="270"/>
      <c r="D229" s="270">
        <f>(D218*X50+((J220*$H158)*L153*1000)+(J223*$H158*L155*1000))/X50</f>
        <v>116.0604281725865</v>
      </c>
    </row>
    <row r="230" spans="1:7">
      <c r="A230" s="16"/>
      <c r="B230" s="271" t="s">
        <v>177</v>
      </c>
      <c r="C230" s="270"/>
      <c r="D230" s="270">
        <f>+D219</f>
        <v>61.215026711142741</v>
      </c>
    </row>
    <row r="231" spans="1:7">
      <c r="A231" s="16"/>
      <c r="C231" s="270"/>
      <c r="D231" s="270"/>
    </row>
    <row r="232" spans="1:7">
      <c r="A232" s="16"/>
      <c r="B232" s="33" t="s">
        <v>159</v>
      </c>
      <c r="C232" s="270">
        <f>(C221*W45+((I220*$H159)*K153*1000)+(I223*$H159*K155*1000))/W45</f>
        <v>97.772218160389571</v>
      </c>
      <c r="D232" s="270">
        <f>(D221*X45+((J220*$H159)*L153*1000)+(J223*$H159*L155*1000))/X45</f>
        <v>91.613994697502221</v>
      </c>
    </row>
    <row r="233" spans="1:7">
      <c r="A233" s="16"/>
      <c r="B233" s="271" t="s">
        <v>176</v>
      </c>
      <c r="C233" s="270"/>
      <c r="D233" s="270">
        <f>(D222*X46+((J220*$H159)*L153*1000)+(J223*$H159*L155*1000))/X46</f>
        <v>116.60337331371846</v>
      </c>
    </row>
    <row r="234" spans="1:7">
      <c r="A234" s="16"/>
      <c r="B234" s="271" t="s">
        <v>177</v>
      </c>
      <c r="C234" s="270"/>
      <c r="D234" s="270">
        <f>+D223</f>
        <v>69.199867913199995</v>
      </c>
    </row>
    <row r="235" spans="1:7">
      <c r="A235" s="16"/>
      <c r="B235" s="271"/>
      <c r="C235" s="270"/>
      <c r="D235" s="270"/>
    </row>
    <row r="236" spans="1:7">
      <c r="A236" s="16"/>
      <c r="B236" s="10" t="s">
        <v>238</v>
      </c>
      <c r="C236" s="270">
        <f>(C225*K57+((I220*$H158+I220*$H159)*K153*1000)+(I223*$H160*K155*1000))/K57</f>
        <v>96.184380020539848</v>
      </c>
      <c r="D236" s="270">
        <f>(D225*L57+((J220*$H158+J220*$H159)*L153*1000)+(J223*$H160*L155*1000))/L57</f>
        <v>90.266355160681584</v>
      </c>
    </row>
    <row r="237" spans="1:7">
      <c r="A237" s="16"/>
      <c r="C237" s="274"/>
      <c r="D237" s="274"/>
    </row>
    <row r="238" spans="1:7">
      <c r="A238" s="16"/>
      <c r="B238" s="12" t="s">
        <v>239</v>
      </c>
      <c r="C238" s="270"/>
      <c r="D238" s="270"/>
    </row>
    <row r="239" spans="1:7">
      <c r="A239" s="16"/>
      <c r="B239" s="100" t="s">
        <v>240</v>
      </c>
      <c r="C239" s="278">
        <f>(+SUMPRODUCT(C210:J210,C57:J57)+SUMPRODUCT(C236:D236,K57:L57))/1000</f>
        <v>2511491.3940042187</v>
      </c>
      <c r="G239" s="214"/>
    </row>
    <row r="240" spans="1:7">
      <c r="A240" s="16"/>
      <c r="C240" s="100" t="s">
        <v>241</v>
      </c>
      <c r="D240" s="290">
        <f>+C239/SUM(C57:L57)*1000</f>
        <v>99.290921238496239</v>
      </c>
      <c r="E240" s="1" t="s">
        <v>242</v>
      </c>
    </row>
    <row r="241" spans="1:13">
      <c r="A241" s="16"/>
      <c r="C241" s="100" t="s">
        <v>243</v>
      </c>
      <c r="D241" s="290">
        <f>+C239/SUMPRODUCT(C57:L57,C85:L85)*1000</f>
        <v>94.372598875500628</v>
      </c>
      <c r="E241" s="1" t="s">
        <v>244</v>
      </c>
    </row>
    <row r="242" spans="1:13">
      <c r="A242" s="16"/>
    </row>
    <row r="243" spans="1:13">
      <c r="A243" s="16"/>
      <c r="E243" s="221"/>
    </row>
    <row r="244" spans="1:13">
      <c r="A244" s="2" t="s">
        <v>245</v>
      </c>
      <c r="B244" s="12" t="s">
        <v>246</v>
      </c>
    </row>
    <row r="245" spans="1:13">
      <c r="A245" s="16"/>
      <c r="B245" s="12"/>
    </row>
    <row r="246" spans="1:13">
      <c r="A246" s="16"/>
      <c r="B246" s="12" t="s">
        <v>220</v>
      </c>
    </row>
    <row r="247" spans="1:13">
      <c r="A247" s="16"/>
      <c r="B247" s="13" t="s">
        <v>221</v>
      </c>
    </row>
    <row r="248" spans="1:13">
      <c r="A248" s="16"/>
      <c r="B248" s="12"/>
    </row>
    <row r="249" spans="1:13">
      <c r="A249" s="16"/>
      <c r="C249" s="7" t="str">
        <f t="shared" ref="C249:J249" si="52">+C7</f>
        <v>RS</v>
      </c>
      <c r="D249" s="7" t="str">
        <f t="shared" si="52"/>
        <v>RHS</v>
      </c>
      <c r="E249" s="7" t="str">
        <f t="shared" si="52"/>
        <v>RLM</v>
      </c>
      <c r="F249" s="7" t="str">
        <f t="shared" si="52"/>
        <v>WH</v>
      </c>
      <c r="G249" s="7" t="str">
        <f t="shared" si="52"/>
        <v>WHS</v>
      </c>
      <c r="H249" s="7" t="str">
        <f t="shared" si="52"/>
        <v>HS</v>
      </c>
      <c r="I249" s="7" t="str">
        <f t="shared" si="52"/>
        <v>PSAL</v>
      </c>
      <c r="J249" s="7" t="str">
        <f t="shared" si="52"/>
        <v>BPL</v>
      </c>
    </row>
    <row r="250" spans="1:13">
      <c r="A250" s="16"/>
      <c r="C250" s="7"/>
      <c r="D250" s="7"/>
      <c r="E250" s="7"/>
      <c r="F250" s="7"/>
      <c r="G250" s="7"/>
    </row>
    <row r="251" spans="1:13">
      <c r="A251" s="16"/>
      <c r="B251" s="33" t="s">
        <v>156</v>
      </c>
      <c r="E251" s="302"/>
      <c r="F251" s="303">
        <f>ROUND(+F200/$D$241,3)</f>
        <v>0.73399999999999999</v>
      </c>
      <c r="G251" s="303">
        <f>ROUND(+G200/$D$241,3)</f>
        <v>0.65400000000000003</v>
      </c>
      <c r="H251" s="303">
        <f>ROUND(+H200/$D$241,3)</f>
        <v>0.91100000000000003</v>
      </c>
      <c r="I251" s="302">
        <f>ROUND(+I200/$D$241,3)</f>
        <v>0.67600000000000005</v>
      </c>
      <c r="J251" s="302">
        <f>ROUND(+J200/$D$241,3)</f>
        <v>0.67500000000000004</v>
      </c>
      <c r="K251" s="304"/>
      <c r="L251" s="304"/>
      <c r="M251" s="304"/>
    </row>
    <row r="252" spans="1:13">
      <c r="A252" s="16"/>
      <c r="B252" s="271" t="s">
        <v>176</v>
      </c>
      <c r="C252" s="305"/>
      <c r="D252" s="215"/>
      <c r="E252" s="303">
        <f>ROUND(+E201/$D$241,3)</f>
        <v>1.732</v>
      </c>
      <c r="F252" s="302"/>
      <c r="G252" s="302"/>
      <c r="H252" s="302"/>
      <c r="I252" s="10"/>
      <c r="J252" s="306" t="s">
        <v>247</v>
      </c>
      <c r="K252" s="304"/>
      <c r="L252" s="304"/>
      <c r="M252" s="304"/>
    </row>
    <row r="253" spans="1:13">
      <c r="A253" s="16"/>
      <c r="B253" s="271" t="s">
        <v>177</v>
      </c>
      <c r="C253" s="305"/>
      <c r="D253" s="215"/>
      <c r="E253" s="303">
        <f>ROUND(+E202/$D$241,3)</f>
        <v>0.65</v>
      </c>
      <c r="F253" s="302"/>
      <c r="G253" s="302"/>
      <c r="H253" s="307"/>
      <c r="I253" s="10"/>
      <c r="J253" s="306" t="s">
        <v>248</v>
      </c>
      <c r="K253" s="308">
        <f>ROUND((I251*U49+J251*V49)/(U49+V49),3)</f>
        <v>0.67500000000000004</v>
      </c>
      <c r="L253" s="304"/>
      <c r="M253" s="304"/>
    </row>
    <row r="254" spans="1:13">
      <c r="A254" s="16"/>
      <c r="E254" s="305"/>
      <c r="F254" s="215"/>
      <c r="G254" s="215"/>
      <c r="L254" s="304"/>
      <c r="M254" s="304"/>
    </row>
    <row r="255" spans="1:13">
      <c r="A255" s="16"/>
      <c r="B255" s="309" t="s">
        <v>249</v>
      </c>
      <c r="C255" s="303">
        <f>ROUND(+C200/$D$241,3)</f>
        <v>1.1000000000000001</v>
      </c>
      <c r="D255" s="303">
        <f>ROUND(+D200/$D$241,3)</f>
        <v>0.93899999999999995</v>
      </c>
      <c r="E255" s="305"/>
      <c r="F255" s="215"/>
      <c r="G255" s="215"/>
      <c r="H255" s="215"/>
      <c r="I255" s="215"/>
      <c r="J255" s="215"/>
      <c r="K255" s="304"/>
      <c r="L255" s="304"/>
      <c r="M255" s="304"/>
    </row>
    <row r="256" spans="1:13">
      <c r="A256" s="2"/>
      <c r="B256" s="309" t="s">
        <v>250</v>
      </c>
      <c r="C256" s="310">
        <f>ROUND(+C203-C200,3)</f>
        <v>-3.0630000000000002</v>
      </c>
      <c r="D256" s="310">
        <f>ROUND(D203-D200,3)</f>
        <v>-3.9220000000000002</v>
      </c>
      <c r="E256" s="8" t="s">
        <v>251</v>
      </c>
      <c r="F256" s="215"/>
      <c r="G256" s="215"/>
      <c r="H256" s="215"/>
      <c r="I256" s="215"/>
      <c r="J256" s="215"/>
      <c r="K256" s="304"/>
      <c r="L256" s="304"/>
      <c r="M256" s="304"/>
    </row>
    <row r="257" spans="1:13">
      <c r="A257" s="2"/>
      <c r="B257" s="309" t="s">
        <v>250</v>
      </c>
      <c r="C257" s="310">
        <f>ROUND(+C204-C200,3)</f>
        <v>5.5890000000000004</v>
      </c>
      <c r="D257" s="310">
        <f>ROUND(D204-D200,3)</f>
        <v>7.6470000000000002</v>
      </c>
      <c r="E257" s="8" t="s">
        <v>252</v>
      </c>
      <c r="F257" s="215"/>
      <c r="G257" s="215"/>
      <c r="H257" s="215"/>
      <c r="I257" s="215"/>
      <c r="J257" s="215"/>
      <c r="K257" s="304"/>
      <c r="L257" s="304"/>
      <c r="M257" s="304"/>
    </row>
    <row r="258" spans="1:13">
      <c r="A258" s="16"/>
      <c r="G258" s="215"/>
      <c r="H258" s="215"/>
      <c r="I258" s="215"/>
      <c r="J258" s="215"/>
      <c r="K258" s="304"/>
      <c r="L258" s="304"/>
      <c r="M258" s="304"/>
    </row>
    <row r="259" spans="1:13">
      <c r="A259" s="16"/>
      <c r="H259" s="215"/>
      <c r="I259" s="215"/>
      <c r="J259" s="215"/>
      <c r="K259" s="304"/>
      <c r="L259" s="304"/>
      <c r="M259" s="304"/>
    </row>
    <row r="260" spans="1:13">
      <c r="A260" s="16"/>
      <c r="C260" s="215"/>
      <c r="D260" s="215"/>
      <c r="E260" s="215"/>
      <c r="F260" s="215"/>
      <c r="G260" s="215"/>
      <c r="H260" s="215"/>
      <c r="I260" s="215"/>
      <c r="J260" s="215"/>
      <c r="K260" s="304"/>
      <c r="L260" s="304"/>
      <c r="M260" s="304"/>
    </row>
    <row r="261" spans="1:13">
      <c r="A261" s="16"/>
      <c r="B261" s="33" t="s">
        <v>159</v>
      </c>
      <c r="C261" s="303">
        <f>ROUND(+C206/$D$241,3)</f>
        <v>1.1220000000000001</v>
      </c>
      <c r="D261" s="303">
        <f>ROUND(+D206/$D$241,3)</f>
        <v>0.98599999999999999</v>
      </c>
      <c r="E261" s="302"/>
      <c r="F261" s="303">
        <f>ROUND(+F206/$D$241,3)</f>
        <v>0.77</v>
      </c>
      <c r="G261" s="303">
        <f>ROUND(+G206/$D$241,3)</f>
        <v>0.77200000000000002</v>
      </c>
      <c r="H261" s="303">
        <f>ROUND(+H206/$D$241,3)</f>
        <v>0.96499999999999997</v>
      </c>
      <c r="I261" s="302">
        <f>ROUND(+I206/$D$241,3)</f>
        <v>0.76300000000000001</v>
      </c>
      <c r="J261" s="302">
        <f>ROUND(+J206/$D$241,3)</f>
        <v>0.76</v>
      </c>
      <c r="K261" s="304"/>
      <c r="L261" s="304"/>
      <c r="M261" s="304"/>
    </row>
    <row r="262" spans="1:13">
      <c r="A262" s="16"/>
      <c r="B262" s="271" t="s">
        <v>176</v>
      </c>
      <c r="C262" s="215"/>
      <c r="D262" s="215"/>
      <c r="E262" s="303">
        <f>ROUND(+E207/$D$241,3)</f>
        <v>1.6890000000000001</v>
      </c>
      <c r="F262" s="215"/>
      <c r="G262" s="215"/>
      <c r="H262" s="215"/>
      <c r="J262" s="306" t="s">
        <v>247</v>
      </c>
      <c r="K262" s="304"/>
      <c r="L262" s="304"/>
      <c r="M262" s="304"/>
    </row>
    <row r="263" spans="1:13">
      <c r="A263" s="16"/>
      <c r="B263" s="271" t="s">
        <v>177</v>
      </c>
      <c r="C263" s="215"/>
      <c r="D263" s="215"/>
      <c r="E263" s="303">
        <f>ROUND(+E208/$D$241,3)</f>
        <v>0.74</v>
      </c>
      <c r="F263" s="215"/>
      <c r="G263" s="215"/>
      <c r="J263" s="306" t="s">
        <v>248</v>
      </c>
      <c r="K263" s="308">
        <f>ROUND((I261*U45+J261*V45)/(U45+V45),3)</f>
        <v>0.76100000000000001</v>
      </c>
      <c r="L263" s="304"/>
      <c r="M263" s="304"/>
    </row>
    <row r="264" spans="1:13">
      <c r="A264" s="16"/>
      <c r="C264" s="304"/>
      <c r="D264" s="304"/>
      <c r="E264" s="304"/>
      <c r="F264" s="304"/>
      <c r="G264" s="304"/>
      <c r="K264" s="304"/>
      <c r="L264" s="304"/>
      <c r="M264" s="304"/>
    </row>
    <row r="265" spans="1:13">
      <c r="A265" s="16"/>
      <c r="B265" s="1" t="s">
        <v>253</v>
      </c>
      <c r="C265" s="311">
        <f>ROUND(+C210/$D$241,3)</f>
        <v>1.113</v>
      </c>
      <c r="D265" s="311">
        <f t="shared" ref="D265:J265" si="53">ROUND(+D210/$D$241,3)</f>
        <v>0.97599999999999998</v>
      </c>
      <c r="E265" s="311">
        <f t="shared" si="53"/>
        <v>1.1539999999999999</v>
      </c>
      <c r="F265" s="311">
        <f t="shared" si="53"/>
        <v>0.76</v>
      </c>
      <c r="G265" s="311">
        <f t="shared" si="53"/>
        <v>0.75800000000000001</v>
      </c>
      <c r="H265" s="311">
        <f t="shared" si="53"/>
        <v>0.95199999999999996</v>
      </c>
      <c r="I265" s="311">
        <f t="shared" si="53"/>
        <v>0.73899999999999999</v>
      </c>
      <c r="J265" s="311">
        <f t="shared" si="53"/>
        <v>0.73699999999999999</v>
      </c>
      <c r="K265" s="304"/>
      <c r="L265" s="304"/>
      <c r="M265" s="304"/>
    </row>
    <row r="266" spans="1:13">
      <c r="A266" s="16"/>
    </row>
    <row r="267" spans="1:13">
      <c r="A267" s="16"/>
    </row>
    <row r="268" spans="1:13">
      <c r="A268" s="16"/>
      <c r="B268" s="12" t="s">
        <v>224</v>
      </c>
    </row>
    <row r="269" spans="1:13">
      <c r="A269" s="16"/>
      <c r="B269" s="13" t="s">
        <v>225</v>
      </c>
    </row>
    <row r="270" spans="1:13">
      <c r="A270" s="16"/>
      <c r="B270" s="10"/>
    </row>
    <row r="271" spans="1:13">
      <c r="A271" s="16"/>
      <c r="C271" s="7" t="str">
        <f>+K7</f>
        <v>GLP</v>
      </c>
      <c r="D271" s="7" t="str">
        <f>+C271</f>
        <v>GLP</v>
      </c>
      <c r="E271" s="7" t="str">
        <f>+L7</f>
        <v>LPL-S</v>
      </c>
      <c r="F271" s="7" t="str">
        <f>+E271</f>
        <v>LPL-S</v>
      </c>
      <c r="H271" s="12" t="s">
        <v>226</v>
      </c>
    </row>
    <row r="272" spans="1:13" ht="26">
      <c r="A272" s="16"/>
      <c r="C272" s="7" t="s">
        <v>254</v>
      </c>
      <c r="D272" s="312" t="s">
        <v>250</v>
      </c>
      <c r="E272" s="7" t="s">
        <v>254</v>
      </c>
      <c r="F272" s="312" t="s">
        <v>250</v>
      </c>
    </row>
    <row r="273" spans="1:11">
      <c r="A273" s="16"/>
      <c r="B273" s="33" t="s">
        <v>156</v>
      </c>
      <c r="C273" s="303">
        <f>ROUND(+C228/$D$241,3)</f>
        <v>0.99</v>
      </c>
      <c r="D273" s="308">
        <f>ROUND(+C217-C228,3)</f>
        <v>-21.759</v>
      </c>
      <c r="E273" s="307"/>
      <c r="F273" s="307"/>
      <c r="H273" s="299" t="s">
        <v>227</v>
      </c>
    </row>
    <row r="274" spans="1:11">
      <c r="A274" s="16"/>
      <c r="B274" s="271" t="s">
        <v>176</v>
      </c>
      <c r="C274" s="302"/>
      <c r="D274" s="308"/>
      <c r="E274" s="303">
        <f>ROUND(D229/$D$241,3)</f>
        <v>1.23</v>
      </c>
      <c r="F274" s="308">
        <f>ROUND(+D218-D229,3)</f>
        <v>-34.762</v>
      </c>
      <c r="H274" s="100" t="s">
        <v>228</v>
      </c>
      <c r="I274" s="313">
        <f t="shared" ref="I274:J276" si="54">ROUND(+I218,4)</f>
        <v>8.2481000000000009</v>
      </c>
      <c r="J274" s="313">
        <f t="shared" si="54"/>
        <v>8.2481000000000009</v>
      </c>
      <c r="K274" s="116" t="s">
        <v>229</v>
      </c>
    </row>
    <row r="275" spans="1:11">
      <c r="A275" s="16"/>
      <c r="B275" s="271" t="s">
        <v>177</v>
      </c>
      <c r="C275" s="302"/>
      <c r="D275" s="308"/>
      <c r="E275" s="303">
        <f>ROUND(D230/$D$241,3)</f>
        <v>0.64900000000000002</v>
      </c>
      <c r="F275" s="308">
        <f>ROUND(+D219-D230,3)</f>
        <v>0</v>
      </c>
      <c r="H275" s="100" t="s">
        <v>230</v>
      </c>
      <c r="I275" s="313">
        <f t="shared" si="54"/>
        <v>8.2142999999999997</v>
      </c>
      <c r="J275" s="313">
        <f t="shared" si="54"/>
        <v>8.2142999999999997</v>
      </c>
      <c r="K275" s="116" t="s">
        <v>229</v>
      </c>
    </row>
    <row r="276" spans="1:11">
      <c r="A276" s="16"/>
      <c r="C276" s="302"/>
      <c r="D276" s="308"/>
      <c r="E276" s="302"/>
      <c r="F276" s="308"/>
      <c r="H276" s="100" t="s">
        <v>231</v>
      </c>
      <c r="I276" s="313">
        <f t="shared" si="54"/>
        <v>8.2256</v>
      </c>
      <c r="J276" s="313">
        <f t="shared" si="54"/>
        <v>8.2256</v>
      </c>
      <c r="K276" s="116" t="s">
        <v>229</v>
      </c>
    </row>
    <row r="277" spans="1:11">
      <c r="A277" s="16"/>
      <c r="B277" s="33" t="s">
        <v>159</v>
      </c>
      <c r="C277" s="303">
        <f>ROUND(+C232/$D$241,3)</f>
        <v>1.036</v>
      </c>
      <c r="D277" s="308">
        <f>ROUND(+C221-C232,3)</f>
        <v>-24.663</v>
      </c>
      <c r="E277" s="303"/>
      <c r="F277" s="308"/>
    </row>
    <row r="278" spans="1:11">
      <c r="A278" s="16"/>
      <c r="B278" s="271" t="s">
        <v>176</v>
      </c>
      <c r="C278" s="302"/>
      <c r="D278" s="307"/>
      <c r="E278" s="303">
        <f>ROUND(D233/$D$241,3)</f>
        <v>1.236</v>
      </c>
      <c r="F278" s="308">
        <f>ROUND(+D222-D233,3)</f>
        <v>-39.871000000000002</v>
      </c>
      <c r="H278" s="299" t="s">
        <v>232</v>
      </c>
      <c r="I278" s="221"/>
      <c r="J278" s="221"/>
    </row>
    <row r="279" spans="1:11">
      <c r="A279" s="16"/>
      <c r="B279" s="271" t="s">
        <v>177</v>
      </c>
      <c r="C279" s="302"/>
      <c r="D279" s="307"/>
      <c r="E279" s="303">
        <f>ROUND(D234/$D$241,3)</f>
        <v>0.73299999999999998</v>
      </c>
      <c r="F279" s="308">
        <f>ROUND(+D223-D234,3)</f>
        <v>0</v>
      </c>
      <c r="H279" s="100" t="s">
        <v>233</v>
      </c>
      <c r="I279" s="313">
        <f>ROUND(+I223,4)</f>
        <v>0</v>
      </c>
      <c r="J279" s="313">
        <f>ROUND(+J223,4)</f>
        <v>0</v>
      </c>
      <c r="K279" s="116" t="s">
        <v>234</v>
      </c>
    </row>
    <row r="280" spans="1:11">
      <c r="A280" s="16"/>
      <c r="C280" s="311"/>
      <c r="D280" s="307"/>
      <c r="E280" s="311"/>
      <c r="F280" s="307"/>
    </row>
    <row r="281" spans="1:11">
      <c r="A281" s="16"/>
      <c r="B281" s="10" t="s">
        <v>238</v>
      </c>
      <c r="C281" s="311">
        <f>ROUND(+C236/$D$241,3)</f>
        <v>1.0189999999999999</v>
      </c>
      <c r="D281" s="307"/>
      <c r="E281" s="311">
        <f>ROUND(+D236/$D$241,3)</f>
        <v>0.95599999999999996</v>
      </c>
      <c r="F281" s="307"/>
    </row>
    <row r="282" spans="1:11">
      <c r="A282" s="16"/>
      <c r="C282" s="304"/>
      <c r="E282" s="304"/>
    </row>
    <row r="283" spans="1:11">
      <c r="A283" s="16"/>
      <c r="C283" s="304"/>
      <c r="E283" s="304"/>
    </row>
    <row r="285" spans="1:11">
      <c r="A285" s="12" t="s">
        <v>255</v>
      </c>
      <c r="E285" s="272"/>
      <c r="G285" s="222"/>
    </row>
    <row r="286" spans="1:11">
      <c r="A286" s="16"/>
      <c r="B286" s="100" t="s">
        <v>256</v>
      </c>
      <c r="C286" s="130">
        <f>+F164</f>
        <v>270.43</v>
      </c>
      <c r="D286" s="116" t="s">
        <v>257</v>
      </c>
      <c r="E286" s="6" t="s">
        <v>228</v>
      </c>
      <c r="G286" s="222"/>
    </row>
    <row r="287" spans="1:11">
      <c r="A287" s="16"/>
      <c r="B287" s="100"/>
      <c r="C287" s="130">
        <f>+F165</f>
        <v>270.43</v>
      </c>
      <c r="D287" s="116" t="s">
        <v>257</v>
      </c>
      <c r="E287" s="6" t="s">
        <v>230</v>
      </c>
    </row>
    <row r="288" spans="1:11">
      <c r="A288" s="16"/>
      <c r="B288" s="100"/>
    </row>
    <row r="289" spans="1:5">
      <c r="A289" s="16"/>
      <c r="B289" s="100" t="s">
        <v>258</v>
      </c>
      <c r="C289" s="130">
        <f>+D161</f>
        <v>0</v>
      </c>
      <c r="D289" s="116" t="s">
        <v>192</v>
      </c>
      <c r="E289" s="295"/>
    </row>
    <row r="290" spans="1:5">
      <c r="A290" s="16"/>
      <c r="B290" s="100" t="s">
        <v>259</v>
      </c>
      <c r="C290" s="314">
        <f>+H158</f>
        <v>4</v>
      </c>
      <c r="D290" s="1" t="s">
        <v>260</v>
      </c>
      <c r="E290" s="295"/>
    </row>
    <row r="291" spans="1:5">
      <c r="A291" s="16"/>
      <c r="B291" s="100"/>
      <c r="C291" s="314">
        <f>+H159</f>
        <v>8</v>
      </c>
      <c r="D291" s="1" t="s">
        <v>261</v>
      </c>
      <c r="E291" s="295"/>
    </row>
    <row r="292" spans="1:5">
      <c r="A292" s="16"/>
      <c r="B292" s="106" t="s">
        <v>262</v>
      </c>
      <c r="C292" s="219">
        <f>+D177</f>
        <v>20.23</v>
      </c>
      <c r="D292" s="1" t="s">
        <v>84</v>
      </c>
    </row>
    <row r="293" spans="1:5">
      <c r="A293" s="16"/>
      <c r="B293" s="100" t="s">
        <v>263</v>
      </c>
      <c r="C293" s="10" t="s">
        <v>264</v>
      </c>
    </row>
    <row r="294" spans="1:5">
      <c r="A294" s="16"/>
      <c r="B294" s="100" t="s">
        <v>265</v>
      </c>
      <c r="C294" s="8" t="str">
        <f>" forecasted "&amp;(Inputs!D2-1)&amp;" energy use by class, PJM and PSE&amp;G on/off % from "&amp;(Inputs!D2-4)&amp;", "&amp;(Inputs!D2-3)&amp;" &amp; "&amp;(Inputs!D2-2)&amp;" class load profiles"</f>
        <v xml:space="preserve"> forecasted 2025 energy use by class, PJM and PSE&amp;G on/off % from 2022, 2023 &amp; 2024 class load profiles</v>
      </c>
    </row>
    <row r="295" spans="1:5">
      <c r="A295" s="16"/>
      <c r="B295" s="100"/>
      <c r="C295" s="6"/>
    </row>
    <row r="296" spans="1:5">
      <c r="A296" s="16"/>
      <c r="B296" s="100" t="s">
        <v>266</v>
      </c>
      <c r="C296" s="1" t="s">
        <v>267</v>
      </c>
    </row>
    <row r="297" spans="1:5">
      <c r="A297" s="16"/>
      <c r="B297" s="100" t="s">
        <v>268</v>
      </c>
      <c r="C297" s="1" t="s">
        <v>269</v>
      </c>
    </row>
    <row r="298" spans="1:5">
      <c r="A298" s="16"/>
      <c r="B298" s="100" t="s">
        <v>270</v>
      </c>
      <c r="C298" s="1" t="s">
        <v>271</v>
      </c>
    </row>
    <row r="299" spans="1:5">
      <c r="C299" s="1" t="s">
        <v>272</v>
      </c>
    </row>
    <row r="300" spans="1:5">
      <c r="B300" s="100" t="s">
        <v>273</v>
      </c>
      <c r="C300" s="1" t="s">
        <v>274</v>
      </c>
    </row>
    <row r="301" spans="1:5">
      <c r="A301" s="16"/>
      <c r="B301" s="106" t="s">
        <v>275</v>
      </c>
      <c r="C301" s="304" t="s">
        <v>276</v>
      </c>
      <c r="E301" s="304"/>
    </row>
    <row r="302" spans="1:5">
      <c r="A302" s="16"/>
      <c r="C302" s="304"/>
      <c r="E302" s="304"/>
    </row>
    <row r="303" spans="1:5">
      <c r="A303" s="16"/>
      <c r="C303" s="304"/>
      <c r="E303" s="304"/>
    </row>
    <row r="304" spans="1:5">
      <c r="A304" s="2" t="s">
        <v>277</v>
      </c>
      <c r="B304" s="12" t="s">
        <v>278</v>
      </c>
    </row>
    <row r="305" spans="1:13">
      <c r="A305" s="16"/>
      <c r="B305" s="12"/>
    </row>
    <row r="306" spans="1:13">
      <c r="A306" s="16"/>
      <c r="C306" s="7" t="s">
        <v>11</v>
      </c>
      <c r="D306" s="7" t="s">
        <v>12</v>
      </c>
      <c r="E306" s="7" t="s">
        <v>13</v>
      </c>
      <c r="F306" s="7" t="s">
        <v>14</v>
      </c>
      <c r="G306" s="7" t="s">
        <v>15</v>
      </c>
      <c r="H306" s="7" t="s">
        <v>16</v>
      </c>
      <c r="I306" s="7" t="s">
        <v>17</v>
      </c>
      <c r="J306" s="7" t="s">
        <v>18</v>
      </c>
      <c r="K306" s="7" t="s">
        <v>19</v>
      </c>
      <c r="L306" s="7" t="s">
        <v>20</v>
      </c>
      <c r="M306" s="7"/>
    </row>
    <row r="307" spans="1:13">
      <c r="A307" s="16"/>
      <c r="B307" s="1" t="s">
        <v>279</v>
      </c>
    </row>
    <row r="308" spans="1:13">
      <c r="A308" s="16"/>
      <c r="B308" s="42" t="s">
        <v>50</v>
      </c>
      <c r="C308" s="275">
        <f>(+C203*SUM(C50:C53)*C169+C204*SUM(C50:C53)*C170)/1000</f>
        <v>580534.21804060845</v>
      </c>
      <c r="D308" s="275">
        <f>(+D203*SUM(D50:D53)*D169+D204*SUM(D50:D53)*D170)/1000</f>
        <v>1407.6910357266245</v>
      </c>
      <c r="E308" s="278">
        <f>(E201*SUMPRODUCT(E32:E35,E50:E53)+E202*SUMPRODUCT(Q32:Q35,E50:E53))/1000</f>
        <v>8077.1003443704303</v>
      </c>
      <c r="F308" s="278">
        <f>+F200*SUM(F50:F53)/1000</f>
        <v>4.5700615299653302</v>
      </c>
      <c r="G308" s="471">
        <f>+G200*SUM(G50:G53)/1000</f>
        <v>6.1732229905128416E-2</v>
      </c>
      <c r="H308" s="278">
        <f>+H200*SUM(H50:H53)/1000</f>
        <v>184.24134902729463</v>
      </c>
      <c r="I308" s="278">
        <f>+I200*SUM(I50:I53)/1000</f>
        <v>2372.0597186825134</v>
      </c>
      <c r="J308" s="278">
        <f>+J200*SUM(J50:J53)/1000</f>
        <v>5097.4995682608051</v>
      </c>
      <c r="K308" s="278">
        <f>(C217*SUM(K50:K53)/1000)+(I218*$H158*K153)+(I223*$H158*K155)</f>
        <v>206192.93479007331</v>
      </c>
      <c r="L308" s="278">
        <f>(D217*SUM(L50:L53)/1000)+(J218*$H158*L153)+(J223*$H158*L155)</f>
        <v>161154.86593761423</v>
      </c>
      <c r="M308" s="278"/>
    </row>
    <row r="309" spans="1:13">
      <c r="A309" s="16"/>
      <c r="B309" s="42" t="s">
        <v>51</v>
      </c>
      <c r="C309" s="278">
        <f>+C206*SUM(C45:C49,C54:C56)/1000</f>
        <v>826434.46626283589</v>
      </c>
      <c r="D309" s="278">
        <f>+D206*SUM(D45:D49,D54:D56)/1000</f>
        <v>5270.6215915610574</v>
      </c>
      <c r="E309" s="278">
        <f>(E207*(SUMPRODUCT(E27:E31,E45:E49)+SUMPRODUCT(E36:E38,E54:E56))+E208*(SUMPRODUCT(Q27:Q31,E45:E49)+SUMPRODUCT(Q36:Q38,E54:E56)))/1000</f>
        <v>9944.3271841206861</v>
      </c>
      <c r="F309" s="278">
        <f>+F206*SUM(F45:F49,F54:F56)/1000</f>
        <v>12.135902343937651</v>
      </c>
      <c r="G309" s="471">
        <f>+G206*SUM(G45:G49,G54:G56)/1000</f>
        <v>0.51022610205708496</v>
      </c>
      <c r="H309" s="278">
        <f>+H206*SUM(H45:H49,H54:H56)/1000</f>
        <v>646.01061054401544</v>
      </c>
      <c r="I309" s="278">
        <f>+I206*SUM(I45:I49,I54:I56)/1000</f>
        <v>7024.3747168075342</v>
      </c>
      <c r="J309" s="278">
        <f>+J206*SUM(J45:J49,J54:J56)/1000</f>
        <v>15818.26313006188</v>
      </c>
      <c r="K309" s="278">
        <f>(C221*SUM(K45:K49,K54:K56)/1000)+(I219*$H159*K153)+(I223*$H159*K155)</f>
        <v>380552.72412127483</v>
      </c>
      <c r="L309" s="278">
        <f>(D221*SUM(L45:L49,L54:L56)/1000)+(J219*$H159*L153)+(J223*$H159*L155)</f>
        <v>300762.71768044331</v>
      </c>
      <c r="M309" s="278"/>
    </row>
    <row r="310" spans="1:13">
      <c r="A310" s="16"/>
      <c r="B310" s="42" t="s">
        <v>116</v>
      </c>
      <c r="C310" s="214">
        <f>+C309+C308</f>
        <v>1406968.6843034443</v>
      </c>
      <c r="D310" s="214">
        <f t="shared" ref="D310:J310" si="55">+D309+D308</f>
        <v>6678.3126272876816</v>
      </c>
      <c r="E310" s="214">
        <f t="shared" si="55"/>
        <v>18021.427528491116</v>
      </c>
      <c r="F310" s="214">
        <f t="shared" si="55"/>
        <v>16.705963873902981</v>
      </c>
      <c r="G310" s="472">
        <f t="shared" si="55"/>
        <v>0.57195833196221335</v>
      </c>
      <c r="H310" s="214">
        <f t="shared" si="55"/>
        <v>830.25195957131007</v>
      </c>
      <c r="I310" s="214">
        <f t="shared" si="55"/>
        <v>9396.4344354900477</v>
      </c>
      <c r="J310" s="278">
        <f t="shared" si="55"/>
        <v>20915.762698322684</v>
      </c>
      <c r="K310" s="278">
        <f>+K309+K308</f>
        <v>586745.65891134809</v>
      </c>
      <c r="L310" s="278">
        <f>+L309+L308</f>
        <v>461917.58361805754</v>
      </c>
      <c r="M310" s="278"/>
    </row>
    <row r="311" spans="1:13">
      <c r="A311" s="16"/>
      <c r="B311" s="42"/>
    </row>
    <row r="312" spans="1:13">
      <c r="A312" s="16"/>
      <c r="B312" s="1" t="s">
        <v>280</v>
      </c>
    </row>
    <row r="313" spans="1:13">
      <c r="A313" s="16"/>
      <c r="B313" s="42" t="s">
        <v>50</v>
      </c>
      <c r="C313" s="249">
        <f>+C308/C310</f>
        <v>0.41261346078076833</v>
      </c>
      <c r="D313" s="249">
        <f t="shared" ref="D313:I313" si="56">+D308/D310</f>
        <v>0.21078543552674947</v>
      </c>
      <c r="E313" s="249">
        <f t="shared" si="56"/>
        <v>0.44819425828508175</v>
      </c>
      <c r="F313" s="249">
        <f t="shared" si="56"/>
        <v>0.27355868625481683</v>
      </c>
      <c r="G313" s="348">
        <f t="shared" si="56"/>
        <v>0.10793134124533879</v>
      </c>
      <c r="H313" s="249">
        <f t="shared" si="56"/>
        <v>0.2219101646233094</v>
      </c>
      <c r="I313" s="249">
        <f t="shared" si="56"/>
        <v>0.25244253391726079</v>
      </c>
      <c r="J313" s="249">
        <f>+J308/J310</f>
        <v>0.24371569145167216</v>
      </c>
      <c r="K313" s="249">
        <f>+K308/K310</f>
        <v>0.35141791278463841</v>
      </c>
      <c r="L313" s="249">
        <f>+L308/L310</f>
        <v>0.34888229340684113</v>
      </c>
      <c r="M313" s="249"/>
    </row>
    <row r="314" spans="1:13">
      <c r="A314" s="16"/>
      <c r="B314" s="42" t="s">
        <v>51</v>
      </c>
      <c r="C314" s="249">
        <f>+C309/C310</f>
        <v>0.58738653921923167</v>
      </c>
      <c r="D314" s="249">
        <f t="shared" ref="D314:I314" si="57">+D309/D310</f>
        <v>0.78921456447325056</v>
      </c>
      <c r="E314" s="249">
        <f t="shared" si="57"/>
        <v>0.55180574171491825</v>
      </c>
      <c r="F314" s="249">
        <f t="shared" si="57"/>
        <v>0.72644131374518317</v>
      </c>
      <c r="G314" s="249">
        <f t="shared" si="57"/>
        <v>0.89206865875466124</v>
      </c>
      <c r="H314" s="249">
        <f t="shared" si="57"/>
        <v>0.77808983537669063</v>
      </c>
      <c r="I314" s="249">
        <f t="shared" si="57"/>
        <v>0.74755746608273921</v>
      </c>
      <c r="J314" s="249">
        <f>+J309/J310</f>
        <v>0.75628430854832784</v>
      </c>
      <c r="K314" s="249">
        <f>+K309/K310</f>
        <v>0.6485820872153617</v>
      </c>
      <c r="L314" s="249">
        <f>+L309/L310</f>
        <v>0.65111770659315882</v>
      </c>
      <c r="M314" s="249"/>
    </row>
    <row r="315" spans="1:13">
      <c r="A315" s="16"/>
    </row>
    <row r="316" spans="1:13">
      <c r="A316" s="16"/>
      <c r="B316" s="1" t="s">
        <v>281</v>
      </c>
    </row>
    <row r="317" spans="1:13">
      <c r="A317" s="16"/>
      <c r="B317" s="42" t="s">
        <v>50</v>
      </c>
      <c r="C317" s="315">
        <f>+SUM(C308:L308)</f>
        <v>965025.24257812358</v>
      </c>
    </row>
    <row r="318" spans="1:13">
      <c r="A318" s="16"/>
      <c r="B318" s="42" t="s">
        <v>51</v>
      </c>
      <c r="C318" s="315">
        <f>+SUM(C309:L309)</f>
        <v>1546466.151426095</v>
      </c>
    </row>
    <row r="319" spans="1:13">
      <c r="A319" s="16"/>
      <c r="B319" s="42" t="s">
        <v>116</v>
      </c>
      <c r="C319" s="214">
        <f>+C318+C317</f>
        <v>2511491.3940042187</v>
      </c>
      <c r="D319" s="222"/>
    </row>
    <row r="320" spans="1:13">
      <c r="A320" s="16"/>
      <c r="L320" s="316" t="s">
        <v>282</v>
      </c>
    </row>
    <row r="321" spans="1:13">
      <c r="A321" s="16"/>
      <c r="B321" s="1" t="s">
        <v>283</v>
      </c>
      <c r="D321" s="1" t="s">
        <v>284</v>
      </c>
      <c r="K321" s="42" t="s">
        <v>2</v>
      </c>
    </row>
    <row r="322" spans="1:13">
      <c r="A322" s="16"/>
      <c r="B322" s="42" t="s">
        <v>50</v>
      </c>
      <c r="C322" s="249">
        <f>+C317/C319</f>
        <v>0.38424389782181456</v>
      </c>
      <c r="E322" s="272">
        <f>+C317/SUMPRODUCT(O49:X49,C85:L85)*1000</f>
        <v>93.229306093261116</v>
      </c>
      <c r="F322" s="1" t="s">
        <v>285</v>
      </c>
      <c r="I322" s="1" t="s">
        <v>286</v>
      </c>
      <c r="K322" s="42" t="s">
        <v>50</v>
      </c>
      <c r="L322" s="78">
        <f>IF(ROUND(E322/$D$241,4)&lt;ROUND(E323/$D$241,4),1,ROUND(E322/$D$241,4))</f>
        <v>1</v>
      </c>
      <c r="M322" s="317"/>
    </row>
    <row r="323" spans="1:13">
      <c r="A323" s="16"/>
      <c r="B323" s="42" t="s">
        <v>51</v>
      </c>
      <c r="C323" s="249">
        <f>+C318/C319</f>
        <v>0.61575610217818544</v>
      </c>
      <c r="E323" s="272">
        <f>+C318/SUMPRODUCT(O45:X45,C85:L85)*1000</f>
        <v>95.100354212910858</v>
      </c>
      <c r="F323" s="1" t="s">
        <v>285</v>
      </c>
      <c r="K323" s="42" t="s">
        <v>51</v>
      </c>
      <c r="L323" s="78">
        <f>IF(ROUND(E322/$D$241,4)&lt;ROUND(E323/$D$241,4),1,ROUND(E323/$D$241,4))</f>
        <v>1</v>
      </c>
      <c r="M323" s="317"/>
    </row>
    <row r="324" spans="1:13">
      <c r="A324" s="16"/>
    </row>
    <row r="325" spans="1:13">
      <c r="A325" s="16"/>
      <c r="C325" s="304"/>
      <c r="E325" s="304"/>
    </row>
    <row r="326" spans="1:13">
      <c r="A326" s="2" t="s">
        <v>287</v>
      </c>
      <c r="B326" s="12" t="s">
        <v>288</v>
      </c>
      <c r="C326" s="304"/>
      <c r="E326" s="304"/>
    </row>
    <row r="327" spans="1:13">
      <c r="A327" s="16"/>
      <c r="C327" s="304"/>
      <c r="E327" s="304"/>
    </row>
    <row r="328" spans="1:13">
      <c r="A328" s="16"/>
      <c r="B328" s="100" t="s">
        <v>289</v>
      </c>
      <c r="C328" s="270">
        <f>D241</f>
        <v>94.372598875500628</v>
      </c>
      <c r="E328" s="318" t="s">
        <v>290</v>
      </c>
    </row>
    <row r="329" spans="1:13">
      <c r="A329" s="16"/>
      <c r="B329" s="100" t="s">
        <v>291</v>
      </c>
      <c r="C329" s="319">
        <f>+L322</f>
        <v>1</v>
      </c>
      <c r="E329" s="304"/>
    </row>
    <row r="330" spans="1:13">
      <c r="A330" s="16"/>
      <c r="B330" s="100" t="s">
        <v>292</v>
      </c>
      <c r="C330" s="319">
        <f>+L323</f>
        <v>1</v>
      </c>
      <c r="E330" s="304"/>
    </row>
    <row r="331" spans="1:13">
      <c r="A331" s="16"/>
      <c r="C331" s="304"/>
      <c r="E331" s="304"/>
    </row>
    <row r="332" spans="1:13">
      <c r="A332" s="16"/>
      <c r="C332" s="7" t="s">
        <v>11</v>
      </c>
      <c r="D332" s="7" t="s">
        <v>12</v>
      </c>
      <c r="E332" s="7" t="s">
        <v>13</v>
      </c>
      <c r="F332" s="7" t="s">
        <v>14</v>
      </c>
      <c r="G332" s="7" t="s">
        <v>15</v>
      </c>
      <c r="H332" s="7" t="s">
        <v>16</v>
      </c>
      <c r="I332" s="7" t="s">
        <v>17</v>
      </c>
      <c r="J332" s="7" t="s">
        <v>18</v>
      </c>
      <c r="K332" s="7" t="s">
        <v>19</v>
      </c>
      <c r="L332" s="7" t="s">
        <v>20</v>
      </c>
    </row>
    <row r="333" spans="1:13">
      <c r="A333" s="16"/>
      <c r="B333" s="1" t="s">
        <v>293</v>
      </c>
    </row>
    <row r="334" spans="1:13">
      <c r="A334" s="16"/>
      <c r="B334" s="42" t="s">
        <v>50</v>
      </c>
      <c r="C334" s="278">
        <f>+($C$328*C255*O49+C256*O53+C257*O54)/1000</f>
        <v>580279.7055273921</v>
      </c>
      <c r="D334" s="278">
        <f>+($C$328*D255*P49+D256*P53+D257*P54)/1000</f>
        <v>1407.4157128094621</v>
      </c>
      <c r="E334" s="320">
        <f>(($C$328*E252*Q50)+(C328*E253*Q51))/1000</f>
        <v>8076.3314150473198</v>
      </c>
      <c r="F334" s="278">
        <f>+$C$328*F251*R49/1000</f>
        <v>4.5717861799247519</v>
      </c>
      <c r="G334" s="278">
        <f>+$C$328*G251*S49/1000</f>
        <v>6.1719679664577413E-2</v>
      </c>
      <c r="H334" s="278">
        <f>+$C$328*H251*T49/1000</f>
        <v>184.29116521089153</v>
      </c>
      <c r="I334" s="278">
        <f>+$C$328*K253*U49/1000</f>
        <v>2368.4856291832425</v>
      </c>
      <c r="J334" s="278">
        <f>+$C$328*K253*V49/1000</f>
        <v>5097.712876883058</v>
      </c>
      <c r="K334" s="320">
        <f>+($C$328*C273+D273)*W49/1000+(I274*H158*K153)+(I279*H158*K155)</f>
        <v>206295.02141848509</v>
      </c>
      <c r="L334" s="320">
        <f>(($C$328*E274+F274)*X50+(C328*E275*X51))/1000+(J274*$H$158*L153)+(J279*$H$158*L155)</f>
        <v>161201.97492998815</v>
      </c>
    </row>
    <row r="335" spans="1:13">
      <c r="A335" s="16"/>
      <c r="B335" s="42" t="s">
        <v>51</v>
      </c>
      <c r="C335" s="278">
        <f>+$C$328*C261*O45/1000</f>
        <v>826341.05509070191</v>
      </c>
      <c r="D335" s="278">
        <f>+$C$328*D261*P45/1000</f>
        <v>5272.1342874628099</v>
      </c>
      <c r="E335" s="320">
        <f>(($C$328*E262*Q46)+(C328*E263*Q47))/1000</f>
        <v>9942.3064334037226</v>
      </c>
      <c r="F335" s="278">
        <f>+$C$328*F261*R45/1000</f>
        <v>12.135372489400627</v>
      </c>
      <c r="G335" s="278">
        <f>+$C$328*G261*S45/1000</f>
        <v>0.50998952432320543</v>
      </c>
      <c r="H335" s="278">
        <f>+$C$328*H261*T45/1000</f>
        <v>646.12661250644783</v>
      </c>
      <c r="I335" s="278">
        <f>+$C$328*K263*U45/1000</f>
        <v>7005.0117894269833</v>
      </c>
      <c r="J335" s="278">
        <f>+$C$328*K263*V45/1000</f>
        <v>15849.342794132106</v>
      </c>
      <c r="K335" s="320">
        <f>+($C$328*C277+D277)*W45/1000+(I275*H159*K153)+(I279*H159*K155)</f>
        <v>380545.26250325033</v>
      </c>
      <c r="L335" s="320">
        <f>(($C$328*E278+F278)*X46+C328*E279*X47)/1000+(J275*$H$159*L153)+(J279*$H$159*L155)</f>
        <v>300783.78605709103</v>
      </c>
    </row>
    <row r="336" spans="1:13">
      <c r="A336" s="16"/>
      <c r="B336" s="42" t="s">
        <v>116</v>
      </c>
      <c r="C336" s="214">
        <f>+C335+C334</f>
        <v>1406620.7606180939</v>
      </c>
      <c r="D336" s="214">
        <f t="shared" ref="D336:L336" si="58">+D335+D334</f>
        <v>6679.550000272272</v>
      </c>
      <c r="E336" s="214">
        <f t="shared" si="58"/>
        <v>18018.637848451042</v>
      </c>
      <c r="F336" s="214">
        <f t="shared" si="58"/>
        <v>16.707158669325381</v>
      </c>
      <c r="G336" s="214">
        <f t="shared" si="58"/>
        <v>0.5717092039877828</v>
      </c>
      <c r="H336" s="214">
        <f t="shared" si="58"/>
        <v>830.41777771733939</v>
      </c>
      <c r="I336" s="214">
        <f t="shared" si="58"/>
        <v>9373.4974186102263</v>
      </c>
      <c r="J336" s="214">
        <f t="shared" si="58"/>
        <v>20947.055671015165</v>
      </c>
      <c r="K336" s="214">
        <f t="shared" si="58"/>
        <v>586840.28392173536</v>
      </c>
      <c r="L336" s="214">
        <f t="shared" si="58"/>
        <v>461985.76098707918</v>
      </c>
    </row>
    <row r="337" spans="1:12">
      <c r="A337" s="16"/>
      <c r="B337" s="42"/>
      <c r="C337" s="214"/>
      <c r="D337" s="214"/>
      <c r="E337" s="214"/>
      <c r="F337" s="214"/>
      <c r="G337" s="214"/>
      <c r="H337" s="214"/>
      <c r="I337" s="214"/>
      <c r="J337" s="214"/>
      <c r="K337" s="214"/>
      <c r="L337" s="214"/>
    </row>
    <row r="338" spans="1:12">
      <c r="A338" s="16"/>
      <c r="B338" s="42" t="s">
        <v>294</v>
      </c>
      <c r="C338" s="214">
        <f>SUM(C334:L334)</f>
        <v>964915.57218085881</v>
      </c>
      <c r="D338" s="214"/>
      <c r="E338" s="214"/>
      <c r="F338" s="214"/>
      <c r="G338" s="214"/>
      <c r="H338" s="214"/>
      <c r="I338" s="214"/>
      <c r="J338" s="214"/>
      <c r="K338" s="214"/>
      <c r="L338" s="214"/>
    </row>
    <row r="339" spans="1:12">
      <c r="A339" s="16"/>
      <c r="B339" s="42" t="s">
        <v>295</v>
      </c>
      <c r="C339" s="214">
        <f>SUM(C335:L335)</f>
        <v>1546397.6709299893</v>
      </c>
      <c r="E339" s="304"/>
    </row>
    <row r="340" spans="1:12">
      <c r="A340" s="16"/>
      <c r="B340" s="42" t="s">
        <v>296</v>
      </c>
      <c r="C340" s="214">
        <f>+C339+C338</f>
        <v>2511313.2431108481</v>
      </c>
      <c r="E340" s="304"/>
    </row>
    <row r="341" spans="1:12">
      <c r="A341" s="16"/>
      <c r="B341" s="42"/>
      <c r="C341" s="304"/>
      <c r="E341" s="304"/>
    </row>
    <row r="342" spans="1:12">
      <c r="A342" s="16"/>
      <c r="C342" s="7" t="s">
        <v>11</v>
      </c>
      <c r="D342" s="7" t="s">
        <v>12</v>
      </c>
      <c r="E342" s="7" t="s">
        <v>13</v>
      </c>
      <c r="F342" s="7" t="s">
        <v>14</v>
      </c>
      <c r="G342" s="7" t="s">
        <v>15</v>
      </c>
      <c r="H342" s="7" t="s">
        <v>16</v>
      </c>
      <c r="I342" s="7" t="s">
        <v>17</v>
      </c>
      <c r="J342" s="7" t="s">
        <v>18</v>
      </c>
      <c r="K342" s="7" t="s">
        <v>19</v>
      </c>
      <c r="L342" s="7" t="s">
        <v>20</v>
      </c>
    </row>
    <row r="343" spans="1:12">
      <c r="A343" s="16"/>
      <c r="B343" s="1" t="s">
        <v>297</v>
      </c>
    </row>
    <row r="344" spans="1:12">
      <c r="A344" s="16"/>
      <c r="B344" s="42" t="s">
        <v>50</v>
      </c>
      <c r="C344" s="278">
        <f t="shared" ref="C344:L344" si="59">+$C$328*$C$329*O49*C85/1000</f>
        <v>555020.62894903449</v>
      </c>
      <c r="D344" s="278">
        <f t="shared" si="59"/>
        <v>1576.9610345925007</v>
      </c>
      <c r="E344" s="278">
        <f t="shared" si="59"/>
        <v>7264.9545206700113</v>
      </c>
      <c r="F344" s="278">
        <f t="shared" si="59"/>
        <v>6.5532008017407506</v>
      </c>
      <c r="G344" s="278">
        <f t="shared" si="59"/>
        <v>9.9290921238496227E-2</v>
      </c>
      <c r="H344" s="278">
        <f t="shared" si="59"/>
        <v>212.83829152252733</v>
      </c>
      <c r="I344" s="278">
        <f t="shared" si="59"/>
        <v>3691.7357425685282</v>
      </c>
      <c r="J344" s="278">
        <f t="shared" si="59"/>
        <v>7945.7559721106609</v>
      </c>
      <c r="K344" s="278">
        <f t="shared" si="59"/>
        <v>219098.76953758253</v>
      </c>
      <c r="L344" s="278">
        <f t="shared" si="59"/>
        <v>182041.27625863478</v>
      </c>
    </row>
    <row r="345" spans="1:12">
      <c r="A345" s="16"/>
      <c r="B345" s="42" t="s">
        <v>51</v>
      </c>
      <c r="C345" s="278">
        <f t="shared" ref="C345:L345" si="60">+$C$328*$C$330*O45*C85/1000</f>
        <v>774872.23308182624</v>
      </c>
      <c r="D345" s="278">
        <f t="shared" si="60"/>
        <v>5625.656022300429</v>
      </c>
      <c r="E345" s="278">
        <f t="shared" si="60"/>
        <v>9160.1051018117014</v>
      </c>
      <c r="F345" s="278">
        <f t="shared" si="60"/>
        <v>16.581583846828867</v>
      </c>
      <c r="G345" s="278">
        <f t="shared" si="60"/>
        <v>0.69503644866947356</v>
      </c>
      <c r="H345" s="278">
        <f t="shared" si="60"/>
        <v>704.45611092625279</v>
      </c>
      <c r="I345" s="278">
        <f t="shared" si="60"/>
        <v>9684.7371666816834</v>
      </c>
      <c r="J345" s="278">
        <f t="shared" si="60"/>
        <v>21912.414117202494</v>
      </c>
      <c r="K345" s="278">
        <f t="shared" si="60"/>
        <v>386597.46714404196</v>
      </c>
      <c r="L345" s="278">
        <f t="shared" si="60"/>
        <v>326057.47584069317</v>
      </c>
    </row>
    <row r="346" spans="1:12">
      <c r="A346" s="16"/>
      <c r="B346" s="42" t="s">
        <v>116</v>
      </c>
      <c r="C346" s="214">
        <f t="shared" ref="C346:L346" si="61">+C345+C344</f>
        <v>1329892.8620308607</v>
      </c>
      <c r="D346" s="214">
        <f t="shared" si="61"/>
        <v>7202.6170568929301</v>
      </c>
      <c r="E346" s="214">
        <f t="shared" si="61"/>
        <v>16425.059622481713</v>
      </c>
      <c r="F346" s="214">
        <f t="shared" si="61"/>
        <v>23.134784648569617</v>
      </c>
      <c r="G346" s="214">
        <f t="shared" si="61"/>
        <v>0.79432736990796982</v>
      </c>
      <c r="H346" s="214">
        <f t="shared" si="61"/>
        <v>917.29440244878015</v>
      </c>
      <c r="I346" s="214">
        <f t="shared" si="61"/>
        <v>13376.472909250211</v>
      </c>
      <c r="J346" s="278">
        <f t="shared" si="61"/>
        <v>29858.170089313156</v>
      </c>
      <c r="K346" s="278">
        <f t="shared" si="61"/>
        <v>605696.23668162455</v>
      </c>
      <c r="L346" s="278">
        <f t="shared" si="61"/>
        <v>508098.75209932798</v>
      </c>
    </row>
    <row r="347" spans="1:12">
      <c r="A347" s="16"/>
      <c r="C347" s="304"/>
      <c r="D347" s="304"/>
      <c r="E347" s="304"/>
      <c r="F347" s="304"/>
      <c r="G347" s="304"/>
      <c r="H347" s="304"/>
      <c r="I347" s="304"/>
      <c r="J347" s="304"/>
      <c r="K347" s="304"/>
      <c r="L347" s="304"/>
    </row>
    <row r="348" spans="1:12">
      <c r="A348" s="16"/>
      <c r="B348" s="42" t="s">
        <v>294</v>
      </c>
      <c r="C348" s="214">
        <f>SUM(C344:L344)</f>
        <v>976859.57279843895</v>
      </c>
    </row>
    <row r="349" spans="1:12">
      <c r="A349" s="16"/>
      <c r="B349" s="42" t="s">
        <v>295</v>
      </c>
      <c r="C349" s="214">
        <f>SUM(C345:L345)</f>
        <v>1534631.8212057794</v>
      </c>
    </row>
    <row r="350" spans="1:12">
      <c r="A350" s="16"/>
      <c r="B350" s="42" t="s">
        <v>296</v>
      </c>
      <c r="C350" s="214">
        <f>+C349+C348</f>
        <v>2511491.3940042183</v>
      </c>
    </row>
    <row r="351" spans="1:12">
      <c r="A351" s="16"/>
      <c r="C351" s="304"/>
      <c r="E351" s="304"/>
    </row>
    <row r="352" spans="1:12">
      <c r="B352" s="100" t="s">
        <v>298</v>
      </c>
      <c r="C352" s="214">
        <f>+C340-C350</f>
        <v>-178.15089337015525</v>
      </c>
    </row>
    <row r="353" spans="1:3">
      <c r="C353" s="1" t="s">
        <v>299</v>
      </c>
    </row>
    <row r="356" spans="1:3">
      <c r="A356" s="2" t="s">
        <v>300</v>
      </c>
      <c r="B356" s="12" t="s">
        <v>301</v>
      </c>
      <c r="C356" s="114" t="s">
        <v>302</v>
      </c>
    </row>
    <row r="357" spans="1:3">
      <c r="B357" s="13" t="s">
        <v>37</v>
      </c>
    </row>
    <row r="358" spans="1:3">
      <c r="B358" s="42" t="s">
        <v>50</v>
      </c>
      <c r="C358" s="43">
        <f>SUMPRODUCT(O49:X49,C85:L85)</f>
        <v>10351093.266882937</v>
      </c>
    </row>
    <row r="359" spans="1:3">
      <c r="B359" s="42" t="s">
        <v>51</v>
      </c>
      <c r="C359" s="217">
        <f>SUMPRODUCT(O45:X45,C85:L85)</f>
        <v>16261413.159028448</v>
      </c>
    </row>
    <row r="360" spans="1:3">
      <c r="B360" s="42" t="s">
        <v>116</v>
      </c>
      <c r="C360" s="43">
        <f>+C359+C358</f>
        <v>26612506.425911386</v>
      </c>
    </row>
  </sheetData>
  <mergeCells count="1">
    <mergeCell ref="R151:V151"/>
  </mergeCells>
  <pageMargins left="0.75" right="0.75" top="1" bottom="1" header="0.5" footer="0.5"/>
  <pageSetup scale="59" fitToHeight="9" orientation="landscape" r:id="rId1"/>
  <headerFooter alignWithMargins="0">
    <oddHeader>&amp;C&amp;"Arial,Bold"Public Service Electric and Gas Company Specific Addendum
Attachment 2</oddHeader>
    <oddFooter>&amp;CPage &amp;P of &amp;N</oddFooter>
  </headerFooter>
  <rowBreaks count="6" manualBreakCount="6">
    <brk id="39" max="16383" man="1"/>
    <brk id="93" max="11" man="1"/>
    <brk id="146" max="11" man="1"/>
    <brk id="191" max="11" man="1"/>
    <brk id="243" max="11" man="1"/>
    <brk id="30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284D-FEF2-43F0-B194-FE7409D08CCD}">
  <sheetPr codeName="Sheet2">
    <pageSetUpPr fitToPage="1"/>
  </sheetPr>
  <dimension ref="A1:R213"/>
  <sheetViews>
    <sheetView view="pageBreakPreview" zoomScaleNormal="100" zoomScaleSheetLayoutView="100" workbookViewId="0"/>
  </sheetViews>
  <sheetFormatPr defaultColWidth="9.26953125" defaultRowHeight="13"/>
  <cols>
    <col min="1" max="1" width="8.40625" style="1" bestFit="1" customWidth="1"/>
    <col min="2" max="2" width="36.40625" style="1" customWidth="1"/>
    <col min="3" max="3" width="13.7265625" style="1" customWidth="1"/>
    <col min="4" max="4" width="13.26953125" style="1" customWidth="1"/>
    <col min="5" max="5" width="13.40625" style="1" customWidth="1"/>
    <col min="6" max="7" width="12.26953125" style="1" customWidth="1"/>
    <col min="8" max="8" width="11.7265625" style="1" customWidth="1"/>
    <col min="9" max="9" width="19.40625" style="1" customWidth="1"/>
    <col min="10" max="10" width="13.26953125" style="1" customWidth="1"/>
    <col min="11" max="11" width="12.54296875" style="1" customWidth="1"/>
    <col min="12" max="12" width="12.54296875" style="1" bestFit="1" customWidth="1"/>
    <col min="13" max="13" width="14.40625" style="1" bestFit="1" customWidth="1"/>
    <col min="14" max="14" width="24.26953125" style="1" bestFit="1" customWidth="1"/>
    <col min="15" max="16" width="10.7265625" style="1" bestFit="1" customWidth="1"/>
    <col min="17" max="17" width="14.40625" style="1" bestFit="1" customWidth="1"/>
    <col min="18" max="16384" width="9.26953125" style="1"/>
  </cols>
  <sheetData>
    <row r="1" spans="1:18" ht="17.649999999999999" customHeight="1">
      <c r="B1" s="9" t="str">
        <f>"Calculation of June "&amp;(Inputs!D2)&amp;" to May "&amp;(Inputs!D2+1)&amp;" BGS-RSCP Rates"</f>
        <v>Calculation of June 2026 to May 2027 BGS-RSCP Rates</v>
      </c>
      <c r="M1" s="10"/>
      <c r="O1" s="509"/>
      <c r="P1" s="509"/>
      <c r="Q1" s="509"/>
      <c r="R1" s="509"/>
    </row>
    <row r="2" spans="1:18" ht="15.65" customHeight="1">
      <c r="B2" s="321" t="s">
        <v>464</v>
      </c>
      <c r="O2" s="509"/>
      <c r="P2" s="509"/>
      <c r="Q2" s="509"/>
      <c r="R2" s="509"/>
    </row>
    <row r="3" spans="1:18" ht="18.649999999999999" customHeight="1">
      <c r="B3" s="13" t="s">
        <v>303</v>
      </c>
    </row>
    <row r="5" spans="1:18">
      <c r="A5" s="2" t="s">
        <v>304</v>
      </c>
      <c r="B5" s="12" t="s">
        <v>305</v>
      </c>
    </row>
    <row r="6" spans="1:18" ht="51" customHeight="1">
      <c r="A6" s="42" t="s">
        <v>306</v>
      </c>
      <c r="B6" s="12" t="s">
        <v>87</v>
      </c>
      <c r="C6" s="21" t="str">
        <f>Inputs!C135</f>
        <v>remaining portion of 36 month bid - 2024 auction</v>
      </c>
      <c r="D6" s="21" t="str">
        <f>Inputs!D135</f>
        <v>remaining portion of 36 month bid - 2025 auction</v>
      </c>
      <c r="E6" s="21" t="str">
        <f>Inputs!E135</f>
        <v>2026 auction</v>
      </c>
      <c r="G6" s="322" t="s">
        <v>307</v>
      </c>
    </row>
    <row r="7" spans="1:18">
      <c r="C7" s="136" t="str">
        <f>LEFT(RIGHT(C6,12),4)</f>
        <v>2024</v>
      </c>
      <c r="D7" s="136" t="str">
        <f t="shared" ref="D7:E7" si="0">LEFT(RIGHT(D6,12),4)</f>
        <v>2025</v>
      </c>
      <c r="E7" s="136" t="str">
        <f t="shared" si="0"/>
        <v>2026</v>
      </c>
      <c r="F7" s="323"/>
    </row>
    <row r="8" spans="1:18">
      <c r="A8" s="42">
        <v>1</v>
      </c>
      <c r="B8" s="12" t="s">
        <v>99</v>
      </c>
      <c r="C8" s="273">
        <f>Inputs!C136</f>
        <v>80.88</v>
      </c>
      <c r="D8" s="273">
        <f>Inputs!D136</f>
        <v>107.36</v>
      </c>
      <c r="E8" s="284">
        <f>D11</f>
        <v>108.27</v>
      </c>
      <c r="G8" s="13" t="s">
        <v>448</v>
      </c>
    </row>
    <row r="9" spans="1:18">
      <c r="A9" s="240" t="s">
        <v>308</v>
      </c>
      <c r="B9" s="1" t="s">
        <v>309</v>
      </c>
      <c r="C9" s="284">
        <f>'Attach 4 P1'!C21</f>
        <v>21.75</v>
      </c>
      <c r="D9" s="284">
        <f>'Attach 4 P1'!D21</f>
        <v>0.91</v>
      </c>
      <c r="E9" s="494">
        <f>'Attach 4 P1'!E21</f>
        <v>0.9</v>
      </c>
      <c r="G9" s="324" t="s">
        <v>449</v>
      </c>
      <c r="J9" s="130"/>
    </row>
    <row r="10" spans="1:18">
      <c r="A10" s="240" t="s">
        <v>310</v>
      </c>
      <c r="C10" s="284"/>
      <c r="D10" s="284"/>
      <c r="E10" s="284"/>
      <c r="F10" s="12"/>
      <c r="G10" s="10"/>
    </row>
    <row r="11" spans="1:18">
      <c r="A11" s="240" t="s">
        <v>311</v>
      </c>
      <c r="B11" s="12" t="s">
        <v>312</v>
      </c>
      <c r="C11" s="325">
        <f>C8+C9-C10</f>
        <v>102.63</v>
      </c>
      <c r="D11" s="325">
        <f t="shared" ref="D11:E11" si="1">D8+D9-D10</f>
        <v>108.27</v>
      </c>
      <c r="E11" s="325">
        <f t="shared" si="1"/>
        <v>109.17</v>
      </c>
      <c r="G11" s="48" t="s">
        <v>313</v>
      </c>
    </row>
    <row r="12" spans="1:18">
      <c r="A12" s="42"/>
      <c r="B12" s="12"/>
      <c r="C12" s="326"/>
      <c r="D12" s="326"/>
      <c r="E12" s="326"/>
      <c r="G12" s="48"/>
    </row>
    <row r="13" spans="1:18">
      <c r="B13" s="13" t="s">
        <v>314</v>
      </c>
    </row>
    <row r="14" spans="1:18">
      <c r="A14" s="42">
        <v>2</v>
      </c>
      <c r="B14" s="12" t="s">
        <v>100</v>
      </c>
      <c r="C14" s="10">
        <f>Inputs!C137</f>
        <v>29</v>
      </c>
      <c r="D14" s="10">
        <f>Inputs!D137</f>
        <v>28</v>
      </c>
      <c r="E14" s="10">
        <f>Inputs!E137</f>
        <v>28</v>
      </c>
      <c r="G14" s="327" t="s">
        <v>315</v>
      </c>
    </row>
    <row r="15" spans="1:18">
      <c r="A15" s="42">
        <v>3</v>
      </c>
      <c r="B15" s="12" t="s">
        <v>316</v>
      </c>
      <c r="C15" s="10">
        <f>SUM(C14:E14)</f>
        <v>85</v>
      </c>
      <c r="D15" s="10">
        <f>C15</f>
        <v>85</v>
      </c>
      <c r="E15" s="10">
        <f>D15</f>
        <v>85</v>
      </c>
      <c r="G15" s="327" t="s">
        <v>315</v>
      </c>
    </row>
    <row r="16" spans="1:18">
      <c r="A16" s="42"/>
      <c r="B16" s="12" t="s">
        <v>103</v>
      </c>
      <c r="C16" s="10"/>
      <c r="D16" s="10"/>
      <c r="E16" s="10"/>
    </row>
    <row r="17" spans="1:12">
      <c r="A17" s="42">
        <v>4</v>
      </c>
      <c r="B17" s="249" t="s">
        <v>104</v>
      </c>
      <c r="C17" s="74">
        <f>Inputs!C140</f>
        <v>1</v>
      </c>
      <c r="D17" s="74">
        <f>Inputs!D140</f>
        <v>1</v>
      </c>
      <c r="E17" s="74">
        <f>IF(LEFT(Inputs!$B$2,6)="rebase",Inputs!E140,'Attach2 - BidFactors'!L322)</f>
        <v>1</v>
      </c>
      <c r="K17" s="252"/>
    </row>
    <row r="18" spans="1:12" ht="12.75" customHeight="1">
      <c r="A18" s="42">
        <v>5</v>
      </c>
      <c r="B18" s="249" t="s">
        <v>105</v>
      </c>
      <c r="C18" s="74">
        <f>Inputs!C141</f>
        <v>1</v>
      </c>
      <c r="D18" s="74">
        <f>Inputs!D141</f>
        <v>1</v>
      </c>
      <c r="E18" s="74">
        <f>IF(LEFT(Inputs!$B$2,6)="rebase",Inputs!E141,'Attach2 - BidFactors'!L323)</f>
        <v>1</v>
      </c>
      <c r="K18" s="252"/>
    </row>
    <row r="19" spans="1:12">
      <c r="A19" s="42"/>
    </row>
    <row r="20" spans="1:12">
      <c r="A20" s="42"/>
      <c r="B20" s="12" t="s">
        <v>317</v>
      </c>
    </row>
    <row r="21" spans="1:12">
      <c r="A21" s="42">
        <v>6</v>
      </c>
      <c r="B21" s="1" t="s">
        <v>318</v>
      </c>
      <c r="C21" s="328">
        <f>+'Attach2 - BidFactors'!C358</f>
        <v>10351093.266882937</v>
      </c>
      <c r="D21" s="49"/>
      <c r="E21" s="49"/>
      <c r="G21" s="10" t="s">
        <v>319</v>
      </c>
    </row>
    <row r="22" spans="1:12">
      <c r="A22" s="42">
        <v>7</v>
      </c>
      <c r="B22" s="1" t="s">
        <v>320</v>
      </c>
      <c r="C22" s="328">
        <f>+'Attach2 - BidFactors'!C359</f>
        <v>16261413.159028448</v>
      </c>
      <c r="D22" s="49"/>
      <c r="E22" s="49"/>
    </row>
    <row r="23" spans="1:12">
      <c r="A23" s="42"/>
    </row>
    <row r="24" spans="1:12">
      <c r="A24" s="42"/>
      <c r="B24" s="12" t="s">
        <v>321</v>
      </c>
    </row>
    <row r="25" spans="1:12">
      <c r="A25" s="42">
        <v>8</v>
      </c>
      <c r="B25" s="249" t="s">
        <v>104</v>
      </c>
      <c r="C25" s="329">
        <f>(+C$11*C$14/C$15*C17*$C21/1000)</f>
        <v>362442.92185206682</v>
      </c>
      <c r="D25" s="329">
        <f t="shared" ref="D25:E26" si="2">(+D$11*D$14/D$15*D17*$C21/1000)</f>
        <v>369176.00357825455</v>
      </c>
      <c r="E25" s="329">
        <f t="shared" si="2"/>
        <v>372244.79828796576</v>
      </c>
      <c r="F25" s="330"/>
      <c r="G25" s="116" t="s">
        <v>322</v>
      </c>
      <c r="J25" s="214"/>
      <c r="L25" s="214"/>
    </row>
    <row r="26" spans="1:12">
      <c r="A26" s="42">
        <v>9</v>
      </c>
      <c r="B26" s="249" t="s">
        <v>105</v>
      </c>
      <c r="C26" s="331">
        <f>(+C$11*C$14/C$15*C18*$C22/1000)</f>
        <v>569392.4252096659</v>
      </c>
      <c r="D26" s="331">
        <f t="shared" si="2"/>
        <v>579969.99619275623</v>
      </c>
      <c r="E26" s="331">
        <f t="shared" si="2"/>
        <v>584791.02691755071</v>
      </c>
      <c r="F26" s="330"/>
      <c r="G26" s="116" t="s">
        <v>323</v>
      </c>
    </row>
    <row r="27" spans="1:12">
      <c r="A27" s="42">
        <v>10</v>
      </c>
      <c r="B27" s="1" t="s">
        <v>324</v>
      </c>
      <c r="C27" s="214">
        <f>+C26+C25</f>
        <v>931835.34706173278</v>
      </c>
      <c r="D27" s="214">
        <f>+D26+D25</f>
        <v>949145.99977101083</v>
      </c>
      <c r="E27" s="214">
        <f>+E26+E25</f>
        <v>957035.82520551654</v>
      </c>
      <c r="G27" s="1" t="s">
        <v>325</v>
      </c>
      <c r="J27" s="214"/>
      <c r="L27" s="214"/>
    </row>
    <row r="28" spans="1:12">
      <c r="A28" s="42"/>
    </row>
    <row r="29" spans="1:12">
      <c r="A29" s="42"/>
      <c r="B29" s="12" t="s">
        <v>326</v>
      </c>
    </row>
    <row r="30" spans="1:12">
      <c r="A30" s="42">
        <v>11</v>
      </c>
      <c r="B30" s="249" t="s">
        <v>104</v>
      </c>
      <c r="C30" s="332">
        <f>ROUND(+SUM(C25:E25)/C21*1000,3)</f>
        <v>106.642</v>
      </c>
      <c r="D30" s="221"/>
      <c r="G30" s="116" t="s">
        <v>327</v>
      </c>
    </row>
    <row r="31" spans="1:12">
      <c r="A31" s="42">
        <v>12</v>
      </c>
      <c r="B31" s="249" t="s">
        <v>105</v>
      </c>
      <c r="C31" s="333">
        <f>ROUND(+SUM(C26:E26)/C22*1000,3)</f>
        <v>106.642</v>
      </c>
      <c r="G31" s="116" t="s">
        <v>328</v>
      </c>
    </row>
    <row r="32" spans="1:12">
      <c r="A32" s="42"/>
      <c r="B32" s="249"/>
      <c r="C32" s="300"/>
      <c r="G32" s="116"/>
    </row>
    <row r="33" spans="1:10">
      <c r="A33" s="42">
        <v>13</v>
      </c>
      <c r="B33" s="1" t="s">
        <v>329</v>
      </c>
      <c r="C33" s="334">
        <f>ROUND(+SUM(C27:E27)/(C21+C22)*1000,3)</f>
        <v>106.642</v>
      </c>
      <c r="D33" s="1" t="s">
        <v>330</v>
      </c>
      <c r="G33" s="116" t="s">
        <v>331</v>
      </c>
    </row>
    <row r="34" spans="1:10">
      <c r="D34" s="1" t="s">
        <v>332</v>
      </c>
      <c r="G34" s="1" t="s">
        <v>333</v>
      </c>
    </row>
    <row r="35" spans="1:10">
      <c r="C35" s="221"/>
    </row>
    <row r="36" spans="1:10">
      <c r="B36" s="216" t="s">
        <v>334</v>
      </c>
      <c r="D36" s="221"/>
    </row>
    <row r="37" spans="1:10">
      <c r="A37" s="42">
        <v>14</v>
      </c>
      <c r="B37" s="100" t="s">
        <v>335</v>
      </c>
      <c r="C37" s="214">
        <f>(C33*(C22+C21))/1000</f>
        <v>2838010.9102720418</v>
      </c>
      <c r="D37" s="221"/>
      <c r="G37" s="116" t="s">
        <v>336</v>
      </c>
    </row>
    <row r="38" spans="1:10" ht="15.25">
      <c r="A38" s="42">
        <v>15</v>
      </c>
      <c r="B38" s="100" t="s">
        <v>337</v>
      </c>
      <c r="C38" s="335">
        <f>SUM(C27:E27)</f>
        <v>2838017.1720382599</v>
      </c>
      <c r="D38" s="221"/>
      <c r="G38" s="116" t="s">
        <v>338</v>
      </c>
    </row>
    <row r="39" spans="1:10">
      <c r="A39" s="42">
        <v>16</v>
      </c>
      <c r="B39" s="100" t="s">
        <v>339</v>
      </c>
      <c r="C39" s="278">
        <f>+C37-C38</f>
        <v>-6.2617662181146443</v>
      </c>
      <c r="D39" s="221"/>
      <c r="G39" s="116" t="s">
        <v>340</v>
      </c>
    </row>
    <row r="40" spans="1:10">
      <c r="B40" s="100"/>
      <c r="D40" s="221"/>
    </row>
    <row r="42" spans="1:10">
      <c r="A42" s="2" t="s">
        <v>341</v>
      </c>
      <c r="B42" s="12" t="s">
        <v>342</v>
      </c>
      <c r="G42" s="13" t="s">
        <v>343</v>
      </c>
    </row>
    <row r="43" spans="1:10">
      <c r="A43" s="2"/>
      <c r="B43" s="12"/>
      <c r="G43" s="13" t="s">
        <v>344</v>
      </c>
    </row>
    <row r="44" spans="1:10">
      <c r="B44" s="12" t="s">
        <v>220</v>
      </c>
    </row>
    <row r="45" spans="1:10">
      <c r="B45" s="13" t="s">
        <v>345</v>
      </c>
    </row>
    <row r="46" spans="1:10">
      <c r="B46" s="12"/>
    </row>
    <row r="47" spans="1:10">
      <c r="C47" s="7" t="str">
        <f>+'Attach2 - BidFactors'!C249</f>
        <v>RS</v>
      </c>
      <c r="D47" s="7" t="str">
        <f>+'Attach2 - BidFactors'!D249</f>
        <v>RHS</v>
      </c>
      <c r="E47" s="7" t="str">
        <f>+'Attach2 - BidFactors'!E249</f>
        <v>RLM</v>
      </c>
      <c r="F47" s="7" t="str">
        <f>+'Attach2 - BidFactors'!F249</f>
        <v>WH</v>
      </c>
      <c r="G47" s="7" t="str">
        <f>+'Attach2 - BidFactors'!G249</f>
        <v>WHS</v>
      </c>
      <c r="H47" s="7" t="str">
        <f>+'Attach2 - BidFactors'!H249</f>
        <v>HS</v>
      </c>
      <c r="I47" s="7" t="str">
        <f>+'Attach2 - BidFactors'!I249</f>
        <v>PSAL</v>
      </c>
      <c r="J47" s="7" t="str">
        <f>+'Attach2 - BidFactors'!J249</f>
        <v>BPL</v>
      </c>
    </row>
    <row r="48" spans="1:10">
      <c r="C48" s="7"/>
      <c r="D48" s="7"/>
      <c r="E48" s="7"/>
      <c r="F48" s="7"/>
      <c r="G48" s="7"/>
    </row>
    <row r="49" spans="2:14">
      <c r="B49" s="33" t="s">
        <v>156</v>
      </c>
      <c r="E49" s="302"/>
      <c r="F49" s="303">
        <f>+'Attach2 - BidFactors'!F251</f>
        <v>0.73399999999999999</v>
      </c>
      <c r="G49" s="303">
        <f>+'Attach2 - BidFactors'!G251</f>
        <v>0.65400000000000003</v>
      </c>
      <c r="H49" s="303">
        <f>+'Attach2 - BidFactors'!H251</f>
        <v>0.91100000000000003</v>
      </c>
      <c r="I49" s="302">
        <f>+'Attach2 - BidFactors'!I251</f>
        <v>0.67600000000000005</v>
      </c>
      <c r="J49" s="302">
        <f>+'Attach2 - BidFactors'!J251</f>
        <v>0.67500000000000004</v>
      </c>
      <c r="K49" s="304"/>
      <c r="L49" s="304"/>
      <c r="M49" s="304"/>
    </row>
    <row r="50" spans="2:14">
      <c r="B50" s="271" t="s">
        <v>176</v>
      </c>
      <c r="C50" s="305"/>
      <c r="D50" s="215"/>
      <c r="E50" s="303">
        <f>+'Attach2 - BidFactors'!E252</f>
        <v>1.732</v>
      </c>
      <c r="F50" s="302"/>
      <c r="G50" s="302"/>
      <c r="H50" s="302"/>
      <c r="I50" s="10"/>
      <c r="J50" s="306" t="s">
        <v>247</v>
      </c>
      <c r="K50" s="304"/>
      <c r="L50" s="304"/>
      <c r="M50" s="304"/>
    </row>
    <row r="51" spans="2:14">
      <c r="B51" s="271" t="s">
        <v>177</v>
      </c>
      <c r="C51" s="305"/>
      <c r="D51" s="215"/>
      <c r="E51" s="303">
        <f>+'Attach2 - BidFactors'!E253</f>
        <v>0.65</v>
      </c>
      <c r="F51" s="302"/>
      <c r="G51" s="302"/>
      <c r="H51" s="307"/>
      <c r="I51" s="10"/>
      <c r="J51" s="306" t="s">
        <v>248</v>
      </c>
      <c r="K51" s="308">
        <f>+'Attach2 - BidFactors'!K253</f>
        <v>0.67500000000000004</v>
      </c>
      <c r="L51" s="304"/>
      <c r="M51" s="304"/>
    </row>
    <row r="52" spans="2:14">
      <c r="E52" s="305"/>
      <c r="F52" s="215"/>
      <c r="G52" s="215"/>
      <c r="L52" s="304"/>
      <c r="M52" s="304"/>
    </row>
    <row r="53" spans="2:14">
      <c r="B53" s="309" t="s">
        <v>249</v>
      </c>
      <c r="C53" s="303">
        <f>+'Attach2 - BidFactors'!C255</f>
        <v>1.1000000000000001</v>
      </c>
      <c r="D53" s="303">
        <f>+'Attach2 - BidFactors'!D255</f>
        <v>0.93899999999999995</v>
      </c>
      <c r="E53" s="305"/>
      <c r="F53" s="215"/>
      <c r="G53" s="215"/>
      <c r="H53" s="215"/>
      <c r="I53" s="215"/>
      <c r="J53" s="215"/>
      <c r="K53" s="304"/>
      <c r="L53" s="304"/>
      <c r="M53" s="304"/>
    </row>
    <row r="54" spans="2:14">
      <c r="B54" s="309" t="s">
        <v>250</v>
      </c>
      <c r="C54" s="310">
        <f>+'Attach2 - BidFactors'!C256</f>
        <v>-3.0630000000000002</v>
      </c>
      <c r="D54" s="310">
        <f>+'Attach2 - BidFactors'!D256</f>
        <v>-3.9220000000000002</v>
      </c>
      <c r="E54" s="8" t="s">
        <v>251</v>
      </c>
      <c r="F54" s="215"/>
      <c r="G54" s="215"/>
      <c r="H54" s="215"/>
      <c r="I54" s="215"/>
      <c r="J54" s="215"/>
      <c r="K54" s="304"/>
      <c r="L54" s="304"/>
      <c r="M54" s="304"/>
    </row>
    <row r="55" spans="2:14">
      <c r="B55" s="309" t="s">
        <v>250</v>
      </c>
      <c r="C55" s="310">
        <f>+'Attach2 - BidFactors'!C257</f>
        <v>5.5890000000000004</v>
      </c>
      <c r="D55" s="310">
        <f>+'Attach2 - BidFactors'!D257</f>
        <v>7.6470000000000002</v>
      </c>
      <c r="E55" s="8" t="s">
        <v>252</v>
      </c>
      <c r="F55" s="215"/>
      <c r="G55" s="215"/>
      <c r="H55" s="215"/>
      <c r="I55" s="215"/>
      <c r="J55" s="215"/>
      <c r="K55" s="304"/>
      <c r="L55" s="304"/>
      <c r="M55" s="304"/>
    </row>
    <row r="56" spans="2:14">
      <c r="G56" s="215"/>
      <c r="H56" s="215"/>
      <c r="I56" s="215"/>
      <c r="J56" s="215"/>
      <c r="K56" s="304"/>
      <c r="L56" s="304"/>
      <c r="M56" s="304"/>
    </row>
    <row r="57" spans="2:14">
      <c r="H57" s="215"/>
      <c r="I57" s="215"/>
      <c r="J57" s="215"/>
      <c r="K57" s="304"/>
      <c r="L57" s="304"/>
      <c r="M57" s="304"/>
    </row>
    <row r="58" spans="2:14">
      <c r="C58" s="215"/>
      <c r="D58" s="215"/>
      <c r="E58" s="215"/>
      <c r="F58" s="215"/>
      <c r="G58" s="215"/>
      <c r="H58" s="215"/>
      <c r="I58" s="215"/>
      <c r="J58" s="215"/>
      <c r="K58" s="304"/>
      <c r="L58" s="304"/>
      <c r="M58" s="304"/>
    </row>
    <row r="59" spans="2:14">
      <c r="B59" s="33" t="s">
        <v>159</v>
      </c>
      <c r="C59" s="303">
        <f>+'Attach2 - BidFactors'!C261</f>
        <v>1.1220000000000001</v>
      </c>
      <c r="D59" s="303">
        <f>+'Attach2 - BidFactors'!D261</f>
        <v>0.98599999999999999</v>
      </c>
      <c r="E59" s="302"/>
      <c r="F59" s="303">
        <f>+'Attach2 - BidFactors'!F261</f>
        <v>0.77</v>
      </c>
      <c r="G59" s="303">
        <f>+'Attach2 - BidFactors'!G261</f>
        <v>0.77200000000000002</v>
      </c>
      <c r="H59" s="303">
        <f>+'Attach2 - BidFactors'!H261</f>
        <v>0.96499999999999997</v>
      </c>
      <c r="I59" s="302">
        <f>+'Attach2 - BidFactors'!I261</f>
        <v>0.76300000000000001</v>
      </c>
      <c r="J59" s="302">
        <f>+'Attach2 - BidFactors'!J261</f>
        <v>0.76</v>
      </c>
      <c r="K59" s="304"/>
      <c r="L59" s="304"/>
      <c r="M59" s="304"/>
    </row>
    <row r="60" spans="2:14">
      <c r="B60" s="271" t="s">
        <v>176</v>
      </c>
      <c r="C60" s="215"/>
      <c r="D60" s="215"/>
      <c r="E60" s="303">
        <f>+'Attach2 - BidFactors'!E262</f>
        <v>1.6890000000000001</v>
      </c>
      <c r="F60" s="215"/>
      <c r="G60" s="215"/>
      <c r="H60" s="215"/>
      <c r="J60" s="306" t="s">
        <v>247</v>
      </c>
      <c r="K60" s="304"/>
      <c r="L60" s="304"/>
      <c r="M60" s="304"/>
    </row>
    <row r="61" spans="2:14">
      <c r="B61" s="271" t="s">
        <v>177</v>
      </c>
      <c r="C61" s="215"/>
      <c r="D61" s="215"/>
      <c r="E61" s="303">
        <f>+'Attach2 - BidFactors'!E263</f>
        <v>0.74</v>
      </c>
      <c r="F61" s="215"/>
      <c r="G61" s="215"/>
      <c r="J61" s="306" t="s">
        <v>248</v>
      </c>
      <c r="K61" s="308">
        <f>+'Attach2 - BidFactors'!K263</f>
        <v>0.76100000000000001</v>
      </c>
      <c r="L61" s="304"/>
      <c r="M61" s="304"/>
    </row>
    <row r="62" spans="2:14">
      <c r="C62" s="304"/>
      <c r="D62" s="304"/>
      <c r="E62" s="304"/>
      <c r="F62" s="304"/>
      <c r="G62" s="304"/>
      <c r="K62" s="304"/>
      <c r="L62" s="304"/>
      <c r="M62" s="304"/>
    </row>
    <row r="63" spans="2:14">
      <c r="B63" s="1" t="s">
        <v>253</v>
      </c>
      <c r="C63" s="311">
        <f>+'Attach2 - BidFactors'!C265</f>
        <v>1.113</v>
      </c>
      <c r="D63" s="311">
        <f>+'Attach2 - BidFactors'!D265</f>
        <v>0.97599999999999998</v>
      </c>
      <c r="E63" s="311">
        <f>+'Attach2 - BidFactors'!E265</f>
        <v>1.1539999999999999</v>
      </c>
      <c r="F63" s="311">
        <f>+'Attach2 - BidFactors'!F265</f>
        <v>0.76</v>
      </c>
      <c r="G63" s="311">
        <f>+'Attach2 - BidFactors'!G265</f>
        <v>0.75800000000000001</v>
      </c>
      <c r="H63" s="311">
        <f>+'Attach2 - BidFactors'!H265</f>
        <v>0.95199999999999996</v>
      </c>
      <c r="I63" s="311">
        <f>+'Attach2 - BidFactors'!I265</f>
        <v>0.73899999999999999</v>
      </c>
      <c r="J63" s="311">
        <f>+'Attach2 - BidFactors'!J265</f>
        <v>0.73699999999999999</v>
      </c>
      <c r="K63" s="304"/>
      <c r="L63" s="304"/>
      <c r="M63" s="304"/>
    </row>
    <row r="64" spans="2:14">
      <c r="N64" s="10" t="s">
        <v>346</v>
      </c>
    </row>
    <row r="65" spans="2:14">
      <c r="N65" s="10" t="s">
        <v>347</v>
      </c>
    </row>
    <row r="66" spans="2:14">
      <c r="B66" s="12" t="s">
        <v>224</v>
      </c>
      <c r="N66" s="307">
        <f>C33*C71+D71</f>
        <v>83.816579999999988</v>
      </c>
    </row>
    <row r="67" spans="2:14">
      <c r="B67" s="13" t="s">
        <v>225</v>
      </c>
    </row>
    <row r="68" spans="2:14">
      <c r="B68" s="10"/>
      <c r="N68" s="222"/>
    </row>
    <row r="69" spans="2:14">
      <c r="C69" s="7" t="str">
        <f>+'Attach2 - BidFactors'!C271</f>
        <v>GLP</v>
      </c>
      <c r="D69" s="7" t="str">
        <f>+'Attach2 - BidFactors'!D271</f>
        <v>GLP</v>
      </c>
      <c r="E69" s="7" t="str">
        <f>+'Attach2 - BidFactors'!E271</f>
        <v>LPL-S</v>
      </c>
      <c r="F69" s="7" t="str">
        <f>+'Attach2 - BidFactors'!F271</f>
        <v>LPL-S</v>
      </c>
      <c r="H69" s="12" t="s">
        <v>226</v>
      </c>
      <c r="I69" s="7" t="str">
        <f>+C69</f>
        <v>GLP</v>
      </c>
      <c r="J69" s="7" t="str">
        <f>+E69</f>
        <v>LPL-S</v>
      </c>
    </row>
    <row r="70" spans="2:14" ht="26">
      <c r="C70" s="7" t="s">
        <v>254</v>
      </c>
      <c r="D70" s="312" t="s">
        <v>250</v>
      </c>
      <c r="E70" s="7" t="s">
        <v>254</v>
      </c>
      <c r="F70" s="312" t="s">
        <v>250</v>
      </c>
    </row>
    <row r="71" spans="2:14">
      <c r="B71" s="33" t="s">
        <v>156</v>
      </c>
      <c r="C71" s="303">
        <f>+'Attach2 - BidFactors'!C273</f>
        <v>0.99</v>
      </c>
      <c r="D71" s="308">
        <f>+'Attach2 - BidFactors'!D273</f>
        <v>-21.759</v>
      </c>
      <c r="E71" s="307"/>
      <c r="F71" s="307"/>
      <c r="H71" s="299" t="s">
        <v>227</v>
      </c>
      <c r="N71" s="336"/>
    </row>
    <row r="72" spans="2:14">
      <c r="B72" s="271" t="s">
        <v>176</v>
      </c>
      <c r="C72" s="302"/>
      <c r="D72" s="308"/>
      <c r="E72" s="303">
        <f>+'Attach2 - BidFactors'!E274</f>
        <v>1.23</v>
      </c>
      <c r="F72" s="308">
        <f>+'Attach2 - BidFactors'!F274</f>
        <v>-34.762</v>
      </c>
      <c r="H72" s="100" t="s">
        <v>228</v>
      </c>
      <c r="I72" s="313">
        <f>+'Attach2 - BidFactors'!I$276</f>
        <v>8.2256</v>
      </c>
      <c r="J72" s="313">
        <f>+'Attach2 - BidFactors'!J$276</f>
        <v>8.2256</v>
      </c>
      <c r="K72" s="116" t="s">
        <v>229</v>
      </c>
      <c r="N72" s="130"/>
    </row>
    <row r="73" spans="2:14">
      <c r="B73" s="271" t="s">
        <v>177</v>
      </c>
      <c r="C73" s="302"/>
      <c r="D73" s="308"/>
      <c r="E73" s="303">
        <f>+'Attach2 - BidFactors'!E275</f>
        <v>0.64900000000000002</v>
      </c>
      <c r="F73" s="308">
        <f>+'Attach2 - BidFactors'!F275</f>
        <v>0</v>
      </c>
      <c r="H73" s="100" t="s">
        <v>230</v>
      </c>
      <c r="I73" s="313">
        <f>+'Attach2 - BidFactors'!I$276</f>
        <v>8.2256</v>
      </c>
      <c r="J73" s="313">
        <f>+'Attach2 - BidFactors'!J$276</f>
        <v>8.2256</v>
      </c>
      <c r="K73" s="116" t="s">
        <v>229</v>
      </c>
    </row>
    <row r="74" spans="2:14">
      <c r="C74" s="302"/>
      <c r="D74" s="308"/>
      <c r="E74" s="302"/>
      <c r="F74" s="308"/>
      <c r="H74" s="100"/>
      <c r="I74" s="313"/>
      <c r="J74" s="313"/>
      <c r="K74" s="116"/>
    </row>
    <row r="75" spans="2:14">
      <c r="B75" s="33" t="s">
        <v>159</v>
      </c>
      <c r="C75" s="303">
        <f>+'Attach2 - BidFactors'!C277</f>
        <v>1.036</v>
      </c>
      <c r="D75" s="308">
        <f>+'Attach2 - BidFactors'!D277</f>
        <v>-24.663</v>
      </c>
      <c r="E75" s="303"/>
      <c r="F75" s="308"/>
      <c r="H75" s="299" t="s">
        <v>232</v>
      </c>
      <c r="I75" s="221"/>
      <c r="J75" s="221"/>
    </row>
    <row r="76" spans="2:14">
      <c r="B76" s="271" t="s">
        <v>176</v>
      </c>
      <c r="C76" s="302"/>
      <c r="D76" s="307"/>
      <c r="E76" s="303">
        <f>+'Attach2 - BidFactors'!E278</f>
        <v>1.236</v>
      </c>
      <c r="F76" s="308">
        <f>+'Attach2 - BidFactors'!F278</f>
        <v>-39.871000000000002</v>
      </c>
      <c r="H76" s="100" t="s">
        <v>233</v>
      </c>
      <c r="I76" s="313">
        <f>+'Attach2 - BidFactors'!I279</f>
        <v>0</v>
      </c>
      <c r="J76" s="313">
        <f>+'Attach2 - BidFactors'!J279</f>
        <v>0</v>
      </c>
      <c r="K76" s="116" t="s">
        <v>234</v>
      </c>
    </row>
    <row r="77" spans="2:14">
      <c r="B77" s="271" t="s">
        <v>177</v>
      </c>
      <c r="C77" s="302"/>
      <c r="D77" s="307"/>
      <c r="E77" s="303">
        <f>+'Attach2 - BidFactors'!E279</f>
        <v>0.73299999999999998</v>
      </c>
      <c r="F77" s="308">
        <f>+'Attach2 - BidFactors'!F279</f>
        <v>0</v>
      </c>
    </row>
    <row r="78" spans="2:14">
      <c r="C78" s="311"/>
      <c r="D78" s="307"/>
      <c r="E78" s="311"/>
      <c r="F78" s="307"/>
    </row>
    <row r="79" spans="2:14">
      <c r="B79" s="1" t="s">
        <v>348</v>
      </c>
      <c r="C79" s="311">
        <f>+'Attach2 - BidFactors'!C281</f>
        <v>1.0189999999999999</v>
      </c>
      <c r="D79" s="307"/>
      <c r="E79" s="311">
        <f>+'Attach2 - BidFactors'!E281</f>
        <v>0.95599999999999996</v>
      </c>
      <c r="F79" s="307"/>
    </row>
    <row r="80" spans="2:14">
      <c r="C80" s="311"/>
      <c r="D80" s="307"/>
      <c r="E80" s="311"/>
      <c r="F80" s="307"/>
    </row>
    <row r="81" spans="1:13">
      <c r="C81" s="304"/>
      <c r="E81" s="304"/>
      <c r="I81" s="222"/>
    </row>
    <row r="82" spans="1:13">
      <c r="A82" s="337" t="s">
        <v>349</v>
      </c>
      <c r="B82" s="216" t="s">
        <v>350</v>
      </c>
      <c r="C82" s="304"/>
      <c r="E82" s="304"/>
    </row>
    <row r="83" spans="1:13">
      <c r="A83" s="337"/>
      <c r="B83" s="13" t="s">
        <v>351</v>
      </c>
    </row>
    <row r="85" spans="1:13">
      <c r="B85" s="12" t="s">
        <v>352</v>
      </c>
    </row>
    <row r="86" spans="1:13">
      <c r="B86" s="13" t="s">
        <v>345</v>
      </c>
    </row>
    <row r="87" spans="1:13">
      <c r="B87" s="12"/>
    </row>
    <row r="88" spans="1:13">
      <c r="C88" s="7" t="str">
        <f>+C47</f>
        <v>RS</v>
      </c>
      <c r="D88" s="7" t="str">
        <f t="shared" ref="D88:J88" si="3">+D47</f>
        <v>RHS</v>
      </c>
      <c r="E88" s="7" t="str">
        <f t="shared" si="3"/>
        <v>RLM</v>
      </c>
      <c r="F88" s="7" t="str">
        <f t="shared" si="3"/>
        <v>WH</v>
      </c>
      <c r="G88" s="7" t="str">
        <f t="shared" si="3"/>
        <v>WHS</v>
      </c>
      <c r="H88" s="7" t="str">
        <f t="shared" si="3"/>
        <v>HS</v>
      </c>
      <c r="I88" s="7" t="str">
        <f t="shared" si="3"/>
        <v>PSAL</v>
      </c>
      <c r="J88" s="7" t="str">
        <f t="shared" si="3"/>
        <v>BPL</v>
      </c>
    </row>
    <row r="89" spans="1:13">
      <c r="C89" s="337"/>
      <c r="D89" s="337"/>
      <c r="E89" s="337"/>
      <c r="F89" s="338"/>
      <c r="G89" s="338"/>
      <c r="H89" s="338"/>
      <c r="I89" s="338"/>
      <c r="J89" s="338"/>
    </row>
    <row r="90" spans="1:13">
      <c r="B90" s="33" t="s">
        <v>156</v>
      </c>
      <c r="C90" s="337"/>
      <c r="D90" s="337"/>
      <c r="E90" s="337"/>
      <c r="F90" s="338">
        <f>ROUND(($C$33*F49)/10,4)</f>
        <v>7.8274999999999997</v>
      </c>
      <c r="G90" s="338">
        <f>ROUND(($C$33*G49)/10,4)</f>
        <v>6.9744000000000002</v>
      </c>
      <c r="H90" s="338">
        <f>ROUND(($C$33*H49)/10,4)</f>
        <v>9.7150999999999996</v>
      </c>
      <c r="I90" s="338">
        <f>ROUND(($C$33*K51)/10,4)</f>
        <v>7.1982999999999997</v>
      </c>
      <c r="J90" s="338">
        <f>+I90</f>
        <v>7.1982999999999997</v>
      </c>
      <c r="L90" s="304"/>
      <c r="M90" s="304"/>
    </row>
    <row r="91" spans="1:13">
      <c r="B91" s="271" t="s">
        <v>176</v>
      </c>
      <c r="C91" s="337"/>
      <c r="D91" s="337"/>
      <c r="E91" s="338">
        <f>ROUND(($C$33*E50)/10,4)</f>
        <v>18.470400000000001</v>
      </c>
      <c r="F91" s="337"/>
      <c r="G91" s="338"/>
      <c r="H91" s="338"/>
      <c r="I91" s="338"/>
      <c r="J91" s="337"/>
      <c r="L91" s="304"/>
      <c r="M91" s="304"/>
    </row>
    <row r="92" spans="1:13">
      <c r="B92" s="271" t="s">
        <v>177</v>
      </c>
      <c r="C92" s="337"/>
      <c r="D92" s="337"/>
      <c r="E92" s="338">
        <f>ROUND(($C$33*E51/10),4)</f>
        <v>6.9317000000000002</v>
      </c>
      <c r="F92" s="337"/>
      <c r="G92" s="337"/>
      <c r="H92" s="337"/>
      <c r="I92" s="337"/>
      <c r="J92" s="337"/>
      <c r="L92" s="304"/>
      <c r="M92" s="304"/>
    </row>
    <row r="93" spans="1:13">
      <c r="B93" s="309"/>
      <c r="C93" s="337"/>
      <c r="D93" s="337"/>
      <c r="E93" s="337"/>
      <c r="F93" s="337"/>
      <c r="G93" s="337"/>
      <c r="H93" s="337"/>
      <c r="I93" s="337"/>
      <c r="J93" s="337"/>
      <c r="L93" s="304"/>
      <c r="M93" s="304"/>
    </row>
    <row r="94" spans="1:13">
      <c r="B94" s="8" t="s">
        <v>251</v>
      </c>
      <c r="C94" s="338">
        <f>ROUND((+$C$33*C53+C54)/10,4)</f>
        <v>11.424300000000001</v>
      </c>
      <c r="D94" s="338">
        <f>ROUND((+$C$33*D53+D54)/10,4)</f>
        <v>9.6214999999999993</v>
      </c>
      <c r="E94" s="337"/>
      <c r="F94" s="337"/>
      <c r="G94" s="337"/>
      <c r="H94" s="337"/>
      <c r="I94" s="337"/>
      <c r="J94" s="337"/>
      <c r="L94" s="304"/>
      <c r="M94" s="304"/>
    </row>
    <row r="95" spans="1:13">
      <c r="B95" s="8" t="s">
        <v>252</v>
      </c>
      <c r="C95" s="338">
        <f>ROUND((+$C$33*C53+C55)/10,4)</f>
        <v>12.2895</v>
      </c>
      <c r="D95" s="338">
        <f>ROUND((+$C$33*D53+D55)/10,4)</f>
        <v>10.7784</v>
      </c>
      <c r="E95" s="337"/>
      <c r="F95" s="337"/>
      <c r="G95" s="337"/>
      <c r="H95" s="337"/>
      <c r="I95" s="337"/>
      <c r="J95" s="337"/>
      <c r="L95" s="304"/>
      <c r="M95" s="304"/>
    </row>
    <row r="96" spans="1:13">
      <c r="C96" s="338"/>
      <c r="D96" s="338"/>
      <c r="E96" s="337"/>
      <c r="F96" s="337"/>
      <c r="G96" s="337"/>
      <c r="H96" s="337"/>
      <c r="I96" s="337"/>
      <c r="J96" s="337"/>
      <c r="L96" s="304"/>
      <c r="M96" s="304"/>
    </row>
    <row r="97" spans="2:13">
      <c r="B97" s="33" t="s">
        <v>159</v>
      </c>
      <c r="C97" s="338">
        <f>ROUND(($C$33*C59)/10,4)</f>
        <v>11.965199999999999</v>
      </c>
      <c r="D97" s="338">
        <f>ROUND(($C$33*D59)/10,4)</f>
        <v>10.514900000000001</v>
      </c>
      <c r="E97" s="337"/>
      <c r="F97" s="338">
        <f>ROUND(($C$33*F59)/10,4)</f>
        <v>8.2113999999999994</v>
      </c>
      <c r="G97" s="338">
        <f>ROUND(($C$33*G59)/10,4)</f>
        <v>8.2327999999999992</v>
      </c>
      <c r="H97" s="338">
        <f>ROUND(($C$33*H59)/10,4)</f>
        <v>10.291</v>
      </c>
      <c r="I97" s="338">
        <f>ROUND(($C$33*K61)/10,4)</f>
        <v>8.1155000000000008</v>
      </c>
      <c r="J97" s="338">
        <f>+I97</f>
        <v>8.1155000000000008</v>
      </c>
      <c r="L97" s="304"/>
      <c r="M97" s="304"/>
    </row>
    <row r="98" spans="2:13">
      <c r="B98" s="271" t="s">
        <v>176</v>
      </c>
      <c r="C98" s="337"/>
      <c r="D98" s="337"/>
      <c r="E98" s="338">
        <f>ROUND(($C$33*E60)/10,4)</f>
        <v>18.011800000000001</v>
      </c>
      <c r="F98" s="337"/>
      <c r="G98" s="337"/>
      <c r="H98" s="337"/>
      <c r="I98" s="337"/>
      <c r="J98" s="337"/>
      <c r="L98" s="304"/>
      <c r="M98" s="304"/>
    </row>
    <row r="99" spans="2:13">
      <c r="B99" s="271" t="s">
        <v>177</v>
      </c>
      <c r="C99" s="337"/>
      <c r="D99" s="337"/>
      <c r="E99" s="338">
        <f>ROUND(($C$33*E61)/10,4)</f>
        <v>7.8914999999999997</v>
      </c>
      <c r="F99" s="337"/>
      <c r="G99" s="337"/>
      <c r="H99" s="337"/>
      <c r="I99" s="337"/>
      <c r="J99" s="337"/>
      <c r="L99" s="304"/>
      <c r="M99" s="304"/>
    </row>
    <row r="100" spans="2:13">
      <c r="C100" s="337"/>
      <c r="D100" s="337"/>
      <c r="E100" s="338"/>
      <c r="F100" s="337"/>
      <c r="G100" s="337"/>
      <c r="H100" s="337"/>
      <c r="I100" s="337"/>
      <c r="J100" s="337"/>
      <c r="L100" s="304"/>
      <c r="M100" s="304"/>
    </row>
    <row r="103" spans="2:13">
      <c r="B103" s="12" t="s">
        <v>353</v>
      </c>
    </row>
    <row r="104" spans="2:13">
      <c r="B104" s="13" t="s">
        <v>225</v>
      </c>
    </row>
    <row r="105" spans="2:13">
      <c r="B105" s="10"/>
    </row>
    <row r="106" spans="2:13">
      <c r="C106" s="7" t="str">
        <f>+C69</f>
        <v>GLP</v>
      </c>
      <c r="D106" s="7"/>
      <c r="E106" s="7" t="str">
        <f>+E69</f>
        <v>LPL-S</v>
      </c>
      <c r="F106" s="7"/>
      <c r="H106" s="12" t="s">
        <v>226</v>
      </c>
      <c r="I106" s="7" t="str">
        <f>+C106</f>
        <v>GLP</v>
      </c>
      <c r="J106" s="7" t="str">
        <f>+E106</f>
        <v>LPL-S</v>
      </c>
    </row>
    <row r="107" spans="2:13">
      <c r="F107" s="312"/>
    </row>
    <row r="108" spans="2:13">
      <c r="B108" s="33" t="s">
        <v>156</v>
      </c>
      <c r="C108" s="338">
        <f>ROUND(($C$33*C71+D71)/10,4)</f>
        <v>8.3817000000000004</v>
      </c>
      <c r="D108" s="338"/>
      <c r="E108" s="338"/>
      <c r="F108" s="307"/>
      <c r="H108" s="299" t="s">
        <v>227</v>
      </c>
    </row>
    <row r="109" spans="2:13">
      <c r="B109" s="271" t="s">
        <v>176</v>
      </c>
      <c r="C109" s="338"/>
      <c r="D109" s="338"/>
      <c r="E109" s="338">
        <f>ROUND(($C$33*E72+F72)/10,4)</f>
        <v>9.6408000000000005</v>
      </c>
      <c r="F109" s="308"/>
      <c r="H109" s="100" t="s">
        <v>228</v>
      </c>
      <c r="I109" s="339">
        <f>+I72</f>
        <v>8.2256</v>
      </c>
      <c r="J109" s="339">
        <f>+J72</f>
        <v>8.2256</v>
      </c>
      <c r="K109" s="116" t="s">
        <v>229</v>
      </c>
    </row>
    <row r="110" spans="2:13">
      <c r="B110" s="271" t="s">
        <v>177</v>
      </c>
      <c r="C110" s="338"/>
      <c r="D110" s="338"/>
      <c r="E110" s="338">
        <f>ROUND(($C$33*E73+F73)/10,4)</f>
        <v>6.9211</v>
      </c>
      <c r="F110" s="308"/>
      <c r="H110" s="100" t="s">
        <v>230</v>
      </c>
      <c r="I110" s="339">
        <f>+I73</f>
        <v>8.2256</v>
      </c>
      <c r="J110" s="339">
        <f>+J73</f>
        <v>8.2256</v>
      </c>
      <c r="K110" s="116" t="s">
        <v>229</v>
      </c>
    </row>
    <row r="111" spans="2:13">
      <c r="C111" s="338"/>
      <c r="D111" s="338"/>
      <c r="E111" s="338"/>
      <c r="F111" s="308"/>
      <c r="H111" s="100"/>
      <c r="I111" s="313"/>
      <c r="J111" s="313"/>
      <c r="K111" s="116"/>
    </row>
    <row r="112" spans="2:13">
      <c r="B112" s="33" t="s">
        <v>159</v>
      </c>
      <c r="C112" s="338">
        <f>ROUND(($C$33*C75+D75)/10,4)</f>
        <v>8.5817999999999994</v>
      </c>
      <c r="D112" s="338"/>
      <c r="E112" s="338"/>
      <c r="F112" s="308"/>
      <c r="H112" s="299" t="s">
        <v>232</v>
      </c>
      <c r="I112" s="221"/>
      <c r="J112" s="221"/>
    </row>
    <row r="113" spans="1:12">
      <c r="B113" s="271" t="s">
        <v>176</v>
      </c>
      <c r="C113" s="338"/>
      <c r="D113" s="338"/>
      <c r="E113" s="338">
        <f>ROUND(($C$33*E76+F76)/10,4)</f>
        <v>9.1938999999999993</v>
      </c>
      <c r="F113" s="308"/>
      <c r="H113" s="100" t="s">
        <v>233</v>
      </c>
      <c r="I113" s="339">
        <f>+I76</f>
        <v>0</v>
      </c>
      <c r="J113" s="339">
        <f>+J76</f>
        <v>0</v>
      </c>
      <c r="K113" s="116" t="s">
        <v>234</v>
      </c>
    </row>
    <row r="114" spans="1:12">
      <c r="B114" s="271" t="s">
        <v>177</v>
      </c>
      <c r="C114" s="338"/>
      <c r="D114" s="338"/>
      <c r="E114" s="338">
        <f>ROUND(($C$33*E77+F77)/10,4)</f>
        <v>7.8169000000000004</v>
      </c>
      <c r="F114" s="308"/>
    </row>
    <row r="115" spans="1:12">
      <c r="C115" s="311"/>
      <c r="D115" s="307"/>
      <c r="E115" s="311"/>
      <c r="F115" s="307"/>
    </row>
    <row r="116" spans="1:12">
      <c r="C116" s="311"/>
      <c r="D116" s="307"/>
      <c r="E116" s="311"/>
      <c r="F116" s="307"/>
    </row>
    <row r="118" spans="1:12">
      <c r="A118" s="337" t="s">
        <v>354</v>
      </c>
      <c r="B118" s="12" t="s">
        <v>355</v>
      </c>
      <c r="C118" s="304"/>
      <c r="E118" s="304"/>
    </row>
    <row r="119" spans="1:12">
      <c r="C119" s="304"/>
      <c r="E119" s="304"/>
    </row>
    <row r="120" spans="1:12">
      <c r="C120" s="7" t="s">
        <v>11</v>
      </c>
      <c r="D120" s="7" t="s">
        <v>12</v>
      </c>
      <c r="E120" s="7" t="s">
        <v>13</v>
      </c>
      <c r="F120" s="7" t="s">
        <v>14</v>
      </c>
      <c r="G120" s="7" t="s">
        <v>15</v>
      </c>
      <c r="H120" s="7" t="s">
        <v>16</v>
      </c>
      <c r="I120" s="7" t="s">
        <v>17</v>
      </c>
      <c r="J120" s="7" t="s">
        <v>18</v>
      </c>
    </row>
    <row r="121" spans="1:12">
      <c r="B121" s="1" t="s">
        <v>356</v>
      </c>
    </row>
    <row r="122" spans="1:12">
      <c r="B122" s="42" t="s">
        <v>50</v>
      </c>
      <c r="C122" s="278">
        <f>+C94/100*'Attach2 - BidFactors'!O53+'Attach3 - AuctionRateResult'!C95/100*'Attach2 - BidFactors'!O54</f>
        <v>655721.01178462931</v>
      </c>
      <c r="D122" s="278">
        <f>+D94/100*'Attach2 - BidFactors'!P53+'Attach3 - AuctionRateResult'!D95/100*'Attach2 - BidFactors'!P54</f>
        <v>1590.396919099308</v>
      </c>
      <c r="E122" s="320">
        <f>+E91/100*'Attach2 - BidFactors'!Q50+E92/100*'Attach2 - BidFactors'!Q51</f>
        <v>9126.3274937013575</v>
      </c>
      <c r="F122" s="278">
        <f>+F90/100*'Attach2 - BidFactors'!R49</f>
        <v>5.16615</v>
      </c>
      <c r="G122" s="278">
        <f>+G90/100*'Attach2 - BidFactors'!S49</f>
        <v>6.9744E-2</v>
      </c>
      <c r="H122" s="278">
        <f>+H90/100*'Attach2 - BidFactors'!T49</f>
        <v>208.25119358131371</v>
      </c>
      <c r="I122" s="278">
        <f>+I90/100*'Attach2 - BidFactors'!U49</f>
        <v>2676.3999229999995</v>
      </c>
      <c r="J122" s="278">
        <f>+J90/100*'Attach2 - BidFactors'!V49</f>
        <v>5760.4395749999994</v>
      </c>
    </row>
    <row r="123" spans="1:12" ht="15.25">
      <c r="B123" s="42" t="s">
        <v>51</v>
      </c>
      <c r="C123" s="279">
        <f>+C97/100*'Attach2 - BidFactors'!O45</f>
        <v>933771.29828421806</v>
      </c>
      <c r="D123" s="279">
        <f>+D97/100*'Attach2 - BidFactors'!P45</f>
        <v>5957.5648781423934</v>
      </c>
      <c r="E123" s="279">
        <f>+E98/100*'Attach2 - BidFactors'!Q46+'Attach3 - AuctionRateResult'!E99/100*'Attach2 - BidFactors'!Q47</f>
        <v>11234.890289948475</v>
      </c>
      <c r="F123" s="279">
        <f>+F97/100*'Attach2 - BidFactors'!R45</f>
        <v>13.713037999999999</v>
      </c>
      <c r="G123" s="279">
        <f>+G97/100*'Attach2 - BidFactors'!S45</f>
        <v>0.57629600000000003</v>
      </c>
      <c r="H123" s="279">
        <f>+H97/100*'Attach2 - BidFactors'!T45</f>
        <v>730.13300180070553</v>
      </c>
      <c r="I123" s="279">
        <f>+I97/100*'Attach2 - BidFactors'!U45</f>
        <v>7915.7775450000008</v>
      </c>
      <c r="J123" s="279">
        <f>+J97/100*'Attach2 - BidFactors'!V45</f>
        <v>17910.015794999999</v>
      </c>
    </row>
    <row r="124" spans="1:12">
      <c r="B124" s="42" t="s">
        <v>116</v>
      </c>
      <c r="C124" s="214">
        <f>+C123+C122</f>
        <v>1589492.3100688474</v>
      </c>
      <c r="D124" s="214">
        <f t="shared" ref="D124:J124" si="4">+D123+D122</f>
        <v>7547.9617972417018</v>
      </c>
      <c r="E124" s="214">
        <f t="shared" si="4"/>
        <v>20361.21778364983</v>
      </c>
      <c r="F124" s="214">
        <f t="shared" si="4"/>
        <v>18.879187999999999</v>
      </c>
      <c r="G124" s="214">
        <f t="shared" si="4"/>
        <v>0.64604000000000006</v>
      </c>
      <c r="H124" s="214">
        <f t="shared" si="4"/>
        <v>938.38419538201924</v>
      </c>
      <c r="I124" s="214">
        <f t="shared" si="4"/>
        <v>10592.177468</v>
      </c>
      <c r="J124" s="214">
        <f t="shared" si="4"/>
        <v>23670.45537</v>
      </c>
    </row>
    <row r="125" spans="1:12">
      <c r="B125" s="42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</row>
    <row r="126" spans="1:12">
      <c r="B126" s="42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</row>
    <row r="127" spans="1:12">
      <c r="B127" s="42"/>
      <c r="C127" s="7" t="s">
        <v>19</v>
      </c>
      <c r="D127" s="7" t="s">
        <v>19</v>
      </c>
      <c r="F127" s="7" t="s">
        <v>20</v>
      </c>
      <c r="G127" s="7" t="s">
        <v>20</v>
      </c>
      <c r="H127" s="214"/>
      <c r="I127" s="214"/>
      <c r="J127" s="214"/>
      <c r="K127" s="214"/>
      <c r="L127" s="214"/>
    </row>
    <row r="128" spans="1:12">
      <c r="B128" s="42"/>
      <c r="C128" s="7" t="s">
        <v>357</v>
      </c>
      <c r="D128" s="7" t="s">
        <v>358</v>
      </c>
      <c r="F128" s="7" t="s">
        <v>357</v>
      </c>
      <c r="G128" s="7" t="s">
        <v>358</v>
      </c>
      <c r="H128" s="214"/>
      <c r="I128" s="214"/>
      <c r="J128" s="214"/>
      <c r="K128" s="214"/>
      <c r="L128" s="214"/>
    </row>
    <row r="129" spans="2:12">
      <c r="B129" s="42"/>
      <c r="G129" s="214"/>
      <c r="H129" s="214"/>
      <c r="I129" s="214"/>
      <c r="J129" s="214"/>
      <c r="K129" s="214"/>
      <c r="L129" s="214"/>
    </row>
    <row r="130" spans="2:12">
      <c r="B130" s="42" t="s">
        <v>50</v>
      </c>
      <c r="C130" s="320">
        <f>+C108/100*'Attach2 - BidFactors'!W49</f>
        <v>184953.48151943166</v>
      </c>
      <c r="D130" s="320">
        <f>I109*'Attach2 - BidFactors'!K153*4+'Attach3 - AuctionRateResult'!I113*'Attach2 - BidFactors'!K155*4</f>
        <v>48014.472320000001</v>
      </c>
      <c r="F130" s="320">
        <f>+E109/100*'Attach2 - BidFactors'!X50+'Attach3 - AuctionRateResult'!E110/100*'Attach2 - BidFactors'!X51</f>
        <v>151110.19044347678</v>
      </c>
      <c r="G130" s="320">
        <f>'Attach3 - AuctionRateResult'!J109*'Attach2 - BidFactors'!L153*4+'Attach3 - AuctionRateResult'!J113*'Attach2 - BidFactors'!L155*4</f>
        <v>30954.57792</v>
      </c>
      <c r="H130" s="214"/>
      <c r="I130" s="214"/>
      <c r="J130" s="214"/>
      <c r="K130" s="214"/>
      <c r="L130" s="214"/>
    </row>
    <row r="131" spans="2:12" ht="15.25">
      <c r="B131" s="42" t="s">
        <v>51</v>
      </c>
      <c r="C131" s="340">
        <f>+C112/100*'Attach2 - BidFactors'!W45</f>
        <v>334139.52677180199</v>
      </c>
      <c r="D131" s="340">
        <f>'Attach3 - AuctionRateResult'!I110*'Attach2 - BidFactors'!K153*8+'Attach3 - AuctionRateResult'!I113*'Attach2 - BidFactors'!K155*8</f>
        <v>96028.944640000002</v>
      </c>
      <c r="F131" s="340">
        <f>+E113/100*'Attach2 - BidFactors'!X46+'Attach3 - AuctionRateResult'!E114/100*'Attach2 - BidFactors'!X47</f>
        <v>278077.13969665812</v>
      </c>
      <c r="G131" s="340">
        <f>'Attach3 - AuctionRateResult'!J110*'Attach2 - BidFactors'!L153*8+'Attach3 - AuctionRateResult'!J113*'Attach2 - BidFactors'!L155*8</f>
        <v>61909.155839999999</v>
      </c>
      <c r="H131" s="214"/>
      <c r="I131" s="214"/>
      <c r="J131" s="214"/>
      <c r="K131" s="214"/>
      <c r="L131" s="214"/>
    </row>
    <row r="132" spans="2:12">
      <c r="B132" s="42" t="s">
        <v>116</v>
      </c>
      <c r="C132" s="214">
        <f>+C131+C130</f>
        <v>519093.00829123368</v>
      </c>
      <c r="D132" s="214">
        <f>+D131+D130</f>
        <v>144043.41696</v>
      </c>
      <c r="F132" s="214">
        <f>+F131+F130</f>
        <v>429187.3301401349</v>
      </c>
      <c r="G132" s="214">
        <f>+G131+G130</f>
        <v>92863.733760000003</v>
      </c>
      <c r="H132" s="214"/>
      <c r="I132" s="214"/>
      <c r="J132" s="214"/>
      <c r="K132" s="214"/>
      <c r="L132" s="214"/>
    </row>
    <row r="133" spans="2:12">
      <c r="B133" s="42"/>
      <c r="C133" s="214"/>
      <c r="F133" s="214"/>
      <c r="G133" s="214"/>
      <c r="H133" s="214"/>
      <c r="I133" s="214"/>
      <c r="J133" s="214"/>
      <c r="K133" s="214"/>
      <c r="L133" s="214"/>
    </row>
    <row r="134" spans="2:12">
      <c r="B134" s="42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</row>
    <row r="135" spans="2:12">
      <c r="B135" s="42"/>
      <c r="C135" s="7" t="s">
        <v>357</v>
      </c>
      <c r="D135" s="7" t="s">
        <v>358</v>
      </c>
      <c r="E135" s="7" t="s">
        <v>359</v>
      </c>
      <c r="F135" s="214"/>
      <c r="G135" s="214"/>
      <c r="H135" s="214"/>
      <c r="I135" s="214"/>
      <c r="J135" s="214"/>
      <c r="K135" s="214"/>
      <c r="L135" s="214"/>
    </row>
    <row r="136" spans="2:12">
      <c r="B136" s="42" t="s">
        <v>294</v>
      </c>
      <c r="C136" s="214">
        <f>SUM(C122:J122)+C130+F130</f>
        <v>1011151.7347459196</v>
      </c>
      <c r="D136" s="214">
        <f>+D130+G130</f>
        <v>78969.050239999997</v>
      </c>
      <c r="E136" s="214">
        <f>+C136+D136</f>
        <v>1090120.7849859195</v>
      </c>
      <c r="F136" s="214"/>
      <c r="G136" s="214"/>
      <c r="H136" s="214"/>
      <c r="I136" s="214"/>
      <c r="J136" s="214"/>
      <c r="K136" s="214"/>
      <c r="L136" s="214"/>
    </row>
    <row r="137" spans="2:12" ht="15.25">
      <c r="B137" s="42" t="s">
        <v>295</v>
      </c>
      <c r="C137" s="335">
        <f>SUM(C123:J123)+C131+F131</f>
        <v>1589750.6355965699</v>
      </c>
      <c r="D137" s="335">
        <f>+D131+G131</f>
        <v>157938.10047999999</v>
      </c>
      <c r="E137" s="335">
        <f>+C137+D137</f>
        <v>1747688.7360765699</v>
      </c>
    </row>
    <row r="138" spans="2:12">
      <c r="B138" s="42" t="s">
        <v>296</v>
      </c>
      <c r="C138" s="214">
        <f>+C137+C136</f>
        <v>2600902.3703424893</v>
      </c>
      <c r="D138" s="214">
        <f>+D132+G132</f>
        <v>236907.15072000001</v>
      </c>
      <c r="E138" s="341">
        <f>+C138+D138</f>
        <v>2837809.5210624891</v>
      </c>
    </row>
    <row r="139" spans="2:12">
      <c r="B139" s="42"/>
      <c r="C139" s="304"/>
      <c r="E139" s="304"/>
    </row>
    <row r="140" spans="2:12"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2:12">
      <c r="B141" s="1" t="s">
        <v>297</v>
      </c>
    </row>
    <row r="142" spans="2:12">
      <c r="B142" s="42" t="s">
        <v>50</v>
      </c>
      <c r="C142" s="214">
        <f>+C25+D25+E25</f>
        <v>1103863.7237182872</v>
      </c>
    </row>
    <row r="143" spans="2:12" ht="15.25">
      <c r="B143" s="42" t="s">
        <v>51</v>
      </c>
      <c r="C143" s="335">
        <f>+C26+D26+E26</f>
        <v>1734153.448319973</v>
      </c>
      <c r="E143" s="342"/>
      <c r="F143" s="343"/>
      <c r="G143" s="343"/>
      <c r="H143" s="344"/>
    </row>
    <row r="144" spans="2:12">
      <c r="B144" s="42" t="s">
        <v>116</v>
      </c>
      <c r="C144" s="214">
        <f>+C143+C142</f>
        <v>2838017.1720382599</v>
      </c>
      <c r="E144" s="345" t="s">
        <v>360</v>
      </c>
      <c r="H144" s="346"/>
    </row>
    <row r="145" spans="1:10">
      <c r="C145" s="304"/>
      <c r="E145" s="345" t="s">
        <v>361</v>
      </c>
      <c r="F145" s="13" t="s">
        <v>362</v>
      </c>
      <c r="H145" s="346"/>
    </row>
    <row r="146" spans="1:10">
      <c r="B146" s="6" t="s">
        <v>363</v>
      </c>
      <c r="C146" s="240"/>
      <c r="D146" s="240"/>
      <c r="E146" s="347" t="s">
        <v>364</v>
      </c>
      <c r="H146" s="346"/>
    </row>
    <row r="147" spans="1:10">
      <c r="B147" s="42" t="s">
        <v>50</v>
      </c>
      <c r="C147" s="214">
        <f>+C142-E136</f>
        <v>13742.938732367707</v>
      </c>
      <c r="D147" s="348"/>
      <c r="E147" s="349">
        <f>ROUND(1+(C147/C136),5)</f>
        <v>1.01359</v>
      </c>
      <c r="H147" s="346"/>
    </row>
    <row r="148" spans="1:10" ht="15.25">
      <c r="B148" s="42" t="s">
        <v>51</v>
      </c>
      <c r="C148" s="335">
        <f>+C143-E137</f>
        <v>-13535.287756596925</v>
      </c>
      <c r="D148" s="348"/>
      <c r="E148" s="349">
        <f>ROUND(1+(C148/C137),5)</f>
        <v>0.99148999999999998</v>
      </c>
      <c r="H148" s="346"/>
    </row>
    <row r="149" spans="1:10">
      <c r="B149" s="42" t="s">
        <v>116</v>
      </c>
      <c r="C149" s="214">
        <f>+C144-E138</f>
        <v>207.65097577078268</v>
      </c>
      <c r="D149" s="348"/>
      <c r="E149" s="350"/>
      <c r="F149" s="264"/>
      <c r="G149" s="264"/>
      <c r="H149" s="351"/>
    </row>
    <row r="151" spans="1:10">
      <c r="C151" s="1" t="s">
        <v>365</v>
      </c>
    </row>
    <row r="152" spans="1:10">
      <c r="C152" s="1" t="s">
        <v>366</v>
      </c>
    </row>
    <row r="154" spans="1:10">
      <c r="A154" s="337" t="s">
        <v>367</v>
      </c>
      <c r="B154" s="216" t="s">
        <v>368</v>
      </c>
      <c r="C154" s="304"/>
      <c r="E154" s="304"/>
    </row>
    <row r="155" spans="1:10">
      <c r="B155" s="13" t="s">
        <v>351</v>
      </c>
    </row>
    <row r="157" spans="1:10">
      <c r="B157" s="12" t="s">
        <v>352</v>
      </c>
    </row>
    <row r="158" spans="1:10">
      <c r="B158" s="13" t="s">
        <v>369</v>
      </c>
    </row>
    <row r="159" spans="1:10">
      <c r="B159" s="12"/>
    </row>
    <row r="160" spans="1:10">
      <c r="C160" s="7" t="str">
        <f>+C120</f>
        <v>RS</v>
      </c>
      <c r="D160" s="7" t="str">
        <f t="shared" ref="D160:J160" si="5">+D120</f>
        <v>RHS</v>
      </c>
      <c r="E160" s="7" t="str">
        <f t="shared" si="5"/>
        <v>RLM</v>
      </c>
      <c r="F160" s="7" t="str">
        <f t="shared" si="5"/>
        <v>WH</v>
      </c>
      <c r="G160" s="7" t="str">
        <f t="shared" si="5"/>
        <v>WHS</v>
      </c>
      <c r="H160" s="7" t="str">
        <f t="shared" si="5"/>
        <v>HS</v>
      </c>
      <c r="I160" s="7" t="str">
        <f t="shared" si="5"/>
        <v>PSAL</v>
      </c>
      <c r="J160" s="7" t="str">
        <f t="shared" si="5"/>
        <v>BPL</v>
      </c>
    </row>
    <row r="161" spans="2:10">
      <c r="C161" s="337"/>
      <c r="D161" s="337"/>
      <c r="E161" s="337"/>
      <c r="F161" s="338"/>
      <c r="G161" s="338"/>
      <c r="H161" s="338"/>
      <c r="I161" s="338"/>
      <c r="J161" s="338"/>
    </row>
    <row r="162" spans="2:10">
      <c r="B162" s="33" t="s">
        <v>156</v>
      </c>
      <c r="C162" s="337"/>
      <c r="D162" s="337"/>
      <c r="E162" s="337"/>
      <c r="F162" s="338">
        <f>ROUND(+F90*$E$147,4)</f>
        <v>7.9339000000000004</v>
      </c>
      <c r="G162" s="338">
        <f>ROUND(+G90*$E$147,4)</f>
        <v>7.0692000000000004</v>
      </c>
      <c r="H162" s="338">
        <f>ROUND(+H90*$E$147,4)</f>
        <v>9.8470999999999993</v>
      </c>
      <c r="I162" s="338">
        <f>ROUND(+I90*$E$147,4)</f>
        <v>7.2961</v>
      </c>
      <c r="J162" s="338">
        <f>ROUND(+J90*$E$147,4)</f>
        <v>7.2961</v>
      </c>
    </row>
    <row r="163" spans="2:10">
      <c r="B163" s="271" t="s">
        <v>176</v>
      </c>
      <c r="C163" s="337"/>
      <c r="D163" s="337"/>
      <c r="E163" s="338">
        <f>ROUND(+E91*$E$147,4)</f>
        <v>18.721399999999999</v>
      </c>
      <c r="G163" s="338"/>
      <c r="H163" s="338"/>
      <c r="I163" s="338"/>
      <c r="J163" s="337"/>
    </row>
    <row r="164" spans="2:10">
      <c r="B164" s="271" t="s">
        <v>177</v>
      </c>
      <c r="C164" s="337"/>
      <c r="D164" s="337"/>
      <c r="E164" s="338">
        <f>ROUND(+E92*$E$147,4)</f>
        <v>7.0259</v>
      </c>
      <c r="F164" s="337"/>
      <c r="G164" s="337"/>
      <c r="H164" s="337"/>
      <c r="I164" s="337"/>
      <c r="J164" s="337"/>
    </row>
    <row r="165" spans="2:10">
      <c r="B165" s="309"/>
      <c r="C165" s="337"/>
      <c r="D165" s="337"/>
      <c r="E165" s="337"/>
      <c r="F165" s="337"/>
      <c r="G165" s="337"/>
      <c r="H165" s="337"/>
      <c r="I165" s="337"/>
      <c r="J165" s="337"/>
    </row>
    <row r="166" spans="2:10">
      <c r="B166" s="8" t="s">
        <v>251</v>
      </c>
      <c r="C166" s="338">
        <f>ROUND(+C94*$E$147,4)</f>
        <v>11.579599999999999</v>
      </c>
      <c r="D166" s="338">
        <f>ROUND(+D94*$E$147,4)</f>
        <v>9.7523</v>
      </c>
      <c r="E166" s="337"/>
      <c r="F166" s="337"/>
      <c r="G166" s="337"/>
      <c r="H166" s="337"/>
      <c r="I166" s="337"/>
      <c r="J166" s="337"/>
    </row>
    <row r="167" spans="2:10">
      <c r="B167" s="8" t="s">
        <v>252</v>
      </c>
      <c r="C167" s="338">
        <f>ROUND(+C95*$E$147,4)</f>
        <v>12.4565</v>
      </c>
      <c r="D167" s="338">
        <f>ROUND(+D95*$E$147,4)</f>
        <v>10.924899999999999</v>
      </c>
      <c r="E167" s="337"/>
      <c r="F167" s="337"/>
      <c r="G167" s="337"/>
      <c r="H167" s="337"/>
      <c r="I167" s="337"/>
      <c r="J167" s="337"/>
    </row>
    <row r="168" spans="2:10">
      <c r="C168" s="338"/>
      <c r="D168" s="338"/>
      <c r="E168" s="337"/>
      <c r="F168" s="337"/>
      <c r="G168" s="337"/>
      <c r="H168" s="337"/>
      <c r="I168" s="337"/>
      <c r="J168" s="337"/>
    </row>
    <row r="169" spans="2:10">
      <c r="B169" s="33" t="s">
        <v>159</v>
      </c>
      <c r="C169" s="338">
        <f>ROUND(+C97*$E$148,4)</f>
        <v>11.8634</v>
      </c>
      <c r="D169" s="338">
        <f>ROUND(+D97*$E$148,4)</f>
        <v>10.4254</v>
      </c>
      <c r="E169" s="337"/>
      <c r="F169" s="338">
        <f>ROUND(+F97*$E$148,4)</f>
        <v>8.1415000000000006</v>
      </c>
      <c r="G169" s="338">
        <f>ROUND(+G97*$E$148,4)</f>
        <v>8.1626999999999992</v>
      </c>
      <c r="H169" s="338">
        <f>ROUND(+H97*$E$148,4)</f>
        <v>10.2034</v>
      </c>
      <c r="I169" s="338">
        <f>ROUND(+I97*$E$148,4)</f>
        <v>8.0464000000000002</v>
      </c>
      <c r="J169" s="338">
        <f>ROUND(+J97*$E$148,4)</f>
        <v>8.0464000000000002</v>
      </c>
    </row>
    <row r="170" spans="2:10">
      <c r="B170" s="271" t="s">
        <v>176</v>
      </c>
      <c r="C170" s="337"/>
      <c r="D170" s="337"/>
      <c r="E170" s="338">
        <f>ROUND(+E98*$E$148,4)</f>
        <v>17.858499999999999</v>
      </c>
      <c r="F170" s="337"/>
      <c r="G170" s="337"/>
      <c r="H170" s="337"/>
      <c r="I170" s="337"/>
      <c r="J170" s="337"/>
    </row>
    <row r="171" spans="2:10">
      <c r="B171" s="271" t="s">
        <v>177</v>
      </c>
      <c r="C171" s="337"/>
      <c r="D171" s="337"/>
      <c r="E171" s="338">
        <f>ROUND(+E99*$E$148,4)</f>
        <v>7.8243</v>
      </c>
      <c r="F171" s="337"/>
      <c r="G171" s="337"/>
      <c r="H171" s="337"/>
      <c r="I171" s="337"/>
      <c r="J171" s="337"/>
    </row>
    <row r="172" spans="2:10">
      <c r="C172" s="337"/>
      <c r="D172" s="337"/>
      <c r="E172" s="338"/>
      <c r="F172" s="337"/>
      <c r="G172" s="337"/>
      <c r="H172" s="337"/>
      <c r="I172" s="337"/>
      <c r="J172" s="337"/>
    </row>
    <row r="175" spans="2:10">
      <c r="B175" s="12" t="s">
        <v>353</v>
      </c>
    </row>
    <row r="176" spans="2:10">
      <c r="B176" s="13" t="s">
        <v>370</v>
      </c>
    </row>
    <row r="177" spans="1:12">
      <c r="B177" s="10"/>
    </row>
    <row r="178" spans="1:12">
      <c r="C178" s="7" t="str">
        <f>+C106</f>
        <v>GLP</v>
      </c>
      <c r="D178" s="7"/>
      <c r="E178" s="7" t="str">
        <f>+E106</f>
        <v>LPL-S</v>
      </c>
      <c r="F178" s="7"/>
      <c r="H178" s="12" t="s">
        <v>226</v>
      </c>
      <c r="I178" s="7" t="str">
        <f>+C178</f>
        <v>GLP</v>
      </c>
      <c r="J178" s="7" t="str">
        <f>+E178</f>
        <v>LPL-S</v>
      </c>
    </row>
    <row r="179" spans="1:12">
      <c r="F179" s="312"/>
    </row>
    <row r="180" spans="1:12">
      <c r="B180" s="33" t="s">
        <v>156</v>
      </c>
      <c r="C180" s="338">
        <f>ROUND(+C108*$E$147,4)</f>
        <v>8.4955999999999996</v>
      </c>
      <c r="D180" s="338"/>
      <c r="E180" s="338"/>
      <c r="F180" s="307"/>
      <c r="H180" s="299" t="s">
        <v>227</v>
      </c>
    </row>
    <row r="181" spans="1:12">
      <c r="B181" s="271" t="s">
        <v>176</v>
      </c>
      <c r="C181" s="338"/>
      <c r="D181" s="338"/>
      <c r="E181" s="338">
        <f>ROUND(+E109*$E$147,4)</f>
        <v>9.7718000000000007</v>
      </c>
      <c r="F181" s="308"/>
      <c r="H181" s="100" t="s">
        <v>228</v>
      </c>
      <c r="I181" s="352">
        <f>+I109</f>
        <v>8.2256</v>
      </c>
      <c r="J181" s="352">
        <f>+J109</f>
        <v>8.2256</v>
      </c>
    </row>
    <row r="182" spans="1:12">
      <c r="B182" s="271" t="s">
        <v>177</v>
      </c>
      <c r="C182" s="338"/>
      <c r="D182" s="338"/>
      <c r="E182" s="338">
        <f>ROUND(+E110*$E$147,4)</f>
        <v>7.0152000000000001</v>
      </c>
      <c r="F182" s="308"/>
      <c r="H182" s="100" t="s">
        <v>230</v>
      </c>
      <c r="I182" s="352">
        <f>+I110</f>
        <v>8.2256</v>
      </c>
      <c r="J182" s="352">
        <f>+J110</f>
        <v>8.2256</v>
      </c>
    </row>
    <row r="183" spans="1:12">
      <c r="C183" s="338"/>
      <c r="D183" s="338"/>
      <c r="E183" s="338"/>
      <c r="F183" s="308"/>
      <c r="H183" s="100"/>
      <c r="I183" s="313"/>
      <c r="J183" s="313"/>
    </row>
    <row r="184" spans="1:12">
      <c r="B184" s="33" t="s">
        <v>159</v>
      </c>
      <c r="C184" s="338">
        <f>ROUND(+C112*$E$148,4)</f>
        <v>8.5088000000000008</v>
      </c>
      <c r="D184" s="338"/>
      <c r="E184" s="338"/>
      <c r="F184" s="308"/>
      <c r="H184" s="299" t="s">
        <v>232</v>
      </c>
      <c r="I184" s="221"/>
      <c r="J184" s="221"/>
    </row>
    <row r="185" spans="1:12">
      <c r="B185" s="271" t="s">
        <v>176</v>
      </c>
      <c r="C185" s="338"/>
      <c r="D185" s="338"/>
      <c r="E185" s="338">
        <f>ROUND(+E113*$E$148,4)</f>
        <v>9.1157000000000004</v>
      </c>
      <c r="F185" s="308"/>
      <c r="H185" s="100" t="s">
        <v>233</v>
      </c>
      <c r="I185" s="352">
        <f>+I113</f>
        <v>0</v>
      </c>
      <c r="J185" s="352">
        <f>+J113</f>
        <v>0</v>
      </c>
    </row>
    <row r="186" spans="1:12">
      <c r="B186" s="271" t="s">
        <v>177</v>
      </c>
      <c r="C186" s="338"/>
      <c r="D186" s="338"/>
      <c r="E186" s="338">
        <f>ROUND(+E114*$E$148,4)</f>
        <v>7.7504</v>
      </c>
      <c r="F186" s="308"/>
    </row>
    <row r="190" spans="1:12">
      <c r="A190" s="337" t="s">
        <v>371</v>
      </c>
      <c r="B190" s="12" t="s">
        <v>372</v>
      </c>
      <c r="C190" s="304"/>
      <c r="E190" s="304"/>
    </row>
    <row r="191" spans="1:12">
      <c r="C191" s="304"/>
      <c r="E191" s="304"/>
    </row>
    <row r="192" spans="1:12">
      <c r="C192" s="7" t="s">
        <v>11</v>
      </c>
      <c r="D192" s="7" t="s">
        <v>12</v>
      </c>
      <c r="E192" s="7" t="s">
        <v>13</v>
      </c>
      <c r="F192" s="7" t="s">
        <v>14</v>
      </c>
      <c r="G192" s="7" t="s">
        <v>15</v>
      </c>
      <c r="H192" s="7" t="s">
        <v>16</v>
      </c>
      <c r="I192" s="7" t="s">
        <v>17</v>
      </c>
      <c r="J192" s="7" t="s">
        <v>18</v>
      </c>
      <c r="K192" s="7" t="s">
        <v>19</v>
      </c>
      <c r="L192" s="7" t="s">
        <v>20</v>
      </c>
    </row>
    <row r="193" spans="2:12">
      <c r="B193" s="1" t="s">
        <v>293</v>
      </c>
    </row>
    <row r="194" spans="2:12">
      <c r="B194" s="42" t="s">
        <v>50</v>
      </c>
      <c r="C194" s="278">
        <f>+C166/100*'Attach2 - BidFactors'!O53+'Attach3 - AuctionRateResult'!C167/100*'Attach2 - BidFactors'!O54</f>
        <v>664633.55756554764</v>
      </c>
      <c r="D194" s="278">
        <f>+D166/100*'Attach2 - BidFactors'!P53+'Attach3 - AuctionRateResult'!D167/100*'Attach2 - BidFactors'!P54</f>
        <v>1612.0161729406034</v>
      </c>
      <c r="E194" s="320">
        <f>+E163/100*'Attach2 - BidFactors'!Q50+E164/100*'Attach2 - BidFactors'!Q51</f>
        <v>9250.3491234326357</v>
      </c>
      <c r="F194" s="278">
        <f>+F162/100*'Attach2 - BidFactors'!R49</f>
        <v>5.2363740000000005</v>
      </c>
      <c r="G194" s="278">
        <f>+G162/100*'Attach2 - BidFactors'!S49</f>
        <v>7.0692000000000005E-2</v>
      </c>
      <c r="H194" s="278">
        <f>+H162/100*'Attach2 - BidFactors'!T49</f>
        <v>211.08072261886693</v>
      </c>
      <c r="I194" s="278">
        <f>+I162/100*'Attach2 - BidFactors'!U49</f>
        <v>2712.762941</v>
      </c>
      <c r="J194" s="278">
        <f>+J162/100*'Attach2 - BidFactors'!V49</f>
        <v>5838.704025</v>
      </c>
      <c r="K194" s="320">
        <f>+C180/100*'Attach2 - BidFactors'!W49+I181*'Attach2 - BidFactors'!K153*4+'Attach3 - AuctionRateResult'!I185*'Attach2 - BidFactors'!K155*4</f>
        <v>235481.31050276523</v>
      </c>
      <c r="L194" s="320">
        <f>+E181/100*'Attach2 - BidFactors'!X50+'Attach3 - AuctionRateResult'!E182/100*'Attach2 - BidFactors'!X51+'Attach3 - AuctionRateResult'!J181*'Attach2 - BidFactors'!L153*4+'Attach3 - AuctionRateResult'!J185*'Attach2 - BidFactors'!L155*4</f>
        <v>184118.58977305231</v>
      </c>
    </row>
    <row r="195" spans="2:12" ht="15.25">
      <c r="B195" s="42" t="s">
        <v>51</v>
      </c>
      <c r="C195" s="279">
        <f>+C169/100*'Attach2 - BidFactors'!O45</f>
        <v>925826.76596003352</v>
      </c>
      <c r="D195" s="279">
        <f>+D169/100*'Attach2 - BidFactors'!P45</f>
        <v>5906.8556886499828</v>
      </c>
      <c r="E195" s="279">
        <f>+E170/100*'Attach2 - BidFactors'!Q46+'Attach3 - AuctionRateResult'!E171/100*'Attach2 - BidFactors'!Q47</f>
        <v>11139.250676416827</v>
      </c>
      <c r="F195" s="279">
        <f>+F169/100*'Attach2 - BidFactors'!R45</f>
        <v>13.596305000000001</v>
      </c>
      <c r="G195" s="279">
        <f>+G169/100*'Attach2 - BidFactors'!S45</f>
        <v>0.57138899999999992</v>
      </c>
      <c r="H195" s="279">
        <f>+H169/100*'Attach2 - BidFactors'!T45</f>
        <v>723.9178962757087</v>
      </c>
      <c r="I195" s="279">
        <f>+I169/100*'Attach2 - BidFactors'!U45</f>
        <v>7848.3780960000004</v>
      </c>
      <c r="J195" s="279">
        <f>+J169/100*'Attach2 - BidFactors'!V45</f>
        <v>17757.519696000003</v>
      </c>
      <c r="K195" s="340">
        <f>+C184/100*'Attach2 - BidFactors'!W45+'Attach3 - AuctionRateResult'!I182*'Attach2 - BidFactors'!K153*8+'Attach3 - AuctionRateResult'!I185*'Attach2 - BidFactors'!K155*8</f>
        <v>427326.15564420767</v>
      </c>
      <c r="L195" s="340">
        <f>+E185/100*'Attach2 - BidFactors'!X46+'Attach3 - AuctionRateResult'!E186/100*'Attach2 - BidFactors'!X47+'Attach3 - AuctionRateResult'!J182*'Attach2 - BidFactors'!L153*8+'Attach3 - AuctionRateResult'!J185*'Attach2 - BidFactors'!L155*8</f>
        <v>337620.8592670334</v>
      </c>
    </row>
    <row r="196" spans="2:12">
      <c r="B196" s="42" t="s">
        <v>116</v>
      </c>
      <c r="C196" s="214">
        <f t="shared" ref="C196:L196" si="6">+C195+C194</f>
        <v>1590460.323525581</v>
      </c>
      <c r="D196" s="214">
        <f t="shared" si="6"/>
        <v>7518.8718615905864</v>
      </c>
      <c r="E196" s="214">
        <f t="shared" si="6"/>
        <v>20389.599799849464</v>
      </c>
      <c r="F196" s="214">
        <f t="shared" si="6"/>
        <v>18.832679000000002</v>
      </c>
      <c r="G196" s="214">
        <f t="shared" si="6"/>
        <v>0.6420809999999999</v>
      </c>
      <c r="H196" s="214">
        <f t="shared" si="6"/>
        <v>934.99861889457566</v>
      </c>
      <c r="I196" s="214">
        <f t="shared" si="6"/>
        <v>10561.141037000001</v>
      </c>
      <c r="J196" s="214">
        <f t="shared" si="6"/>
        <v>23596.223721000002</v>
      </c>
      <c r="K196" s="214">
        <f t="shared" si="6"/>
        <v>662807.46614697296</v>
      </c>
      <c r="L196" s="214">
        <f t="shared" si="6"/>
        <v>521739.44904008572</v>
      </c>
    </row>
    <row r="197" spans="2:12">
      <c r="B197" s="42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</row>
    <row r="198" spans="2:12">
      <c r="B198" s="42" t="s">
        <v>294</v>
      </c>
      <c r="C198" s="214">
        <f>SUM(C194:L194)</f>
        <v>1103863.6778923573</v>
      </c>
      <c r="D198" s="214"/>
      <c r="E198" s="214"/>
      <c r="F198" s="214"/>
      <c r="G198" s="214"/>
      <c r="H198" s="214"/>
      <c r="I198" s="214"/>
      <c r="J198" s="214"/>
      <c r="K198" s="214"/>
      <c r="L198" s="214"/>
    </row>
    <row r="199" spans="2:12" ht="15.25">
      <c r="B199" s="42" t="s">
        <v>295</v>
      </c>
      <c r="C199" s="335">
        <f>SUM(C195:L195)</f>
        <v>1734163.8706186172</v>
      </c>
      <c r="E199" s="304"/>
    </row>
    <row r="200" spans="2:12">
      <c r="B200" s="42" t="s">
        <v>296</v>
      </c>
      <c r="C200" s="214">
        <f>+C199+C198</f>
        <v>2838027.5485109743</v>
      </c>
      <c r="E200" s="304"/>
    </row>
    <row r="201" spans="2:12">
      <c r="B201" s="42"/>
      <c r="C201" s="304"/>
      <c r="E201" s="304"/>
    </row>
    <row r="202" spans="2:12"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2:12">
      <c r="B203" s="1" t="s">
        <v>297</v>
      </c>
    </row>
    <row r="204" spans="2:12">
      <c r="B204" s="42" t="s">
        <v>50</v>
      </c>
      <c r="C204" s="214">
        <f>+C25+D25+E25</f>
        <v>1103863.7237182872</v>
      </c>
    </row>
    <row r="205" spans="2:12" ht="15.25">
      <c r="B205" s="42" t="s">
        <v>51</v>
      </c>
      <c r="C205" s="335">
        <f>+C26+D26+E26</f>
        <v>1734153.448319973</v>
      </c>
    </row>
    <row r="206" spans="2:12">
      <c r="B206" s="42" t="s">
        <v>116</v>
      </c>
      <c r="C206" s="214">
        <f>+C205+C204</f>
        <v>2838017.1720382599</v>
      </c>
      <c r="D206" s="214"/>
      <c r="G206" s="42"/>
    </row>
    <row r="207" spans="2:12">
      <c r="C207" s="304"/>
      <c r="E207" s="304"/>
      <c r="G207" s="42"/>
    </row>
    <row r="208" spans="2:12">
      <c r="B208" s="6" t="s">
        <v>363</v>
      </c>
      <c r="C208" s="214"/>
      <c r="E208" s="291" t="s">
        <v>373</v>
      </c>
      <c r="G208" s="291"/>
    </row>
    <row r="209" spans="2:5">
      <c r="B209" s="42" t="s">
        <v>50</v>
      </c>
      <c r="C209" s="214">
        <f>+C198-C204</f>
        <v>-4.5825929846614599E-2</v>
      </c>
      <c r="E209" s="348">
        <f>+C209/C198</f>
        <v>-4.1514120596948649E-8</v>
      </c>
    </row>
    <row r="210" spans="2:5" ht="15.25">
      <c r="B210" s="42" t="s">
        <v>51</v>
      </c>
      <c r="C210" s="335">
        <f>+C199-C205</f>
        <v>10.422298644203693</v>
      </c>
      <c r="E210" s="353">
        <f>+C210/C199</f>
        <v>6.0099848813513871E-6</v>
      </c>
    </row>
    <row r="211" spans="2:5">
      <c r="B211" s="42" t="s">
        <v>116</v>
      </c>
      <c r="C211" s="214">
        <f>+C200-C206</f>
        <v>10.376472714357078</v>
      </c>
      <c r="E211" s="348">
        <f>+C211/C200</f>
        <v>3.6562269171070217E-6</v>
      </c>
    </row>
    <row r="213" spans="2:5">
      <c r="C213" s="130"/>
    </row>
  </sheetData>
  <mergeCells count="1">
    <mergeCell ref="O1:R2"/>
  </mergeCells>
  <pageMargins left="0.75" right="0.75" top="1" bottom="1" header="0.5" footer="0.5"/>
  <pageSetup scale="68" fitToHeight="0" orientation="landscape" r:id="rId1"/>
  <headerFooter alignWithMargins="0">
    <oddHeader>&amp;CPublic Service Electric and Gas Company Specific Addendum
Attachment 3</oddHeader>
    <oddFooter>&amp;CPage &amp;P of &amp;N</oddFooter>
  </headerFooter>
  <rowBreaks count="7" manualBreakCount="7">
    <brk id="41" max="11" man="1"/>
    <brk id="80" max="11" man="1"/>
    <brk id="116" max="11" man="1"/>
    <brk id="152" max="11" man="1"/>
    <brk id="188" max="11" man="1"/>
    <brk id="213" max="11" man="1"/>
    <brk id="25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BD79-B86B-4A3E-807E-7EA7267E90C6}">
  <sheetPr codeName="Sheet40">
    <pageSetUpPr fitToPage="1"/>
  </sheetPr>
  <dimension ref="A1:Q135"/>
  <sheetViews>
    <sheetView view="pageBreakPreview" zoomScaleNormal="100" zoomScaleSheetLayoutView="100" workbookViewId="0"/>
  </sheetViews>
  <sheetFormatPr defaultColWidth="9.26953125" defaultRowHeight="13"/>
  <cols>
    <col min="1" max="1" width="3.26953125" style="354" bestFit="1" customWidth="1"/>
    <col min="2" max="2" width="62.54296875" style="354" bestFit="1" customWidth="1"/>
    <col min="3" max="5" width="29.40625" style="354" customWidth="1"/>
    <col min="6" max="6" width="58.54296875" style="354" customWidth="1"/>
    <col min="7" max="7" width="2.7265625" style="354" customWidth="1"/>
    <col min="8" max="13" width="9.26953125" style="354"/>
    <col min="14" max="14" width="34.26953125" style="354" customWidth="1"/>
    <col min="15" max="15" width="46.1328125" style="354" customWidth="1"/>
    <col min="16" max="16" width="49.7265625" style="354" customWidth="1"/>
    <col min="17" max="16384" width="9.26953125" style="354"/>
  </cols>
  <sheetData>
    <row r="1" spans="1:17" ht="42.65" customHeight="1">
      <c r="B1" s="355" t="s">
        <v>374</v>
      </c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17" ht="55.9" customHeight="1">
      <c r="B2" s="487" t="s">
        <v>375</v>
      </c>
      <c r="C2" s="356" t="s">
        <v>376</v>
      </c>
      <c r="D2" s="356" t="s">
        <v>377</v>
      </c>
      <c r="E2" s="485" t="s">
        <v>378</v>
      </c>
      <c r="H2" s="511"/>
      <c r="I2" s="511"/>
      <c r="J2" s="511"/>
      <c r="K2" s="511"/>
      <c r="L2" s="511"/>
      <c r="M2" s="511"/>
      <c r="N2" s="511"/>
      <c r="O2" s="511"/>
      <c r="P2" s="511"/>
    </row>
    <row r="3" spans="1:17" ht="26">
      <c r="C3" s="356" t="s">
        <v>379</v>
      </c>
      <c r="D3" s="356" t="s">
        <v>379</v>
      </c>
      <c r="E3" s="356" t="s">
        <v>379</v>
      </c>
      <c r="F3" s="322" t="s">
        <v>307</v>
      </c>
      <c r="H3" s="495"/>
      <c r="I3" s="496"/>
      <c r="J3" s="497"/>
      <c r="K3" s="497"/>
    </row>
    <row r="4" spans="1:17">
      <c r="A4" s="354">
        <v>1</v>
      </c>
      <c r="B4" s="357" t="s">
        <v>380</v>
      </c>
      <c r="C4" s="358">
        <v>280</v>
      </c>
      <c r="D4" s="358">
        <v>280</v>
      </c>
      <c r="E4" s="358">
        <v>280</v>
      </c>
      <c r="F4" s="359" t="s">
        <v>381</v>
      </c>
      <c r="I4" s="510"/>
      <c r="J4" s="510"/>
      <c r="K4" s="510"/>
      <c r="L4" s="510"/>
      <c r="M4" s="510"/>
      <c r="N4" s="510"/>
    </row>
    <row r="5" spans="1:17">
      <c r="A5" s="354">
        <v>2</v>
      </c>
      <c r="B5" s="357" t="s">
        <v>382</v>
      </c>
      <c r="C5" s="360">
        <v>49.05</v>
      </c>
      <c r="D5" s="361">
        <v>270.35000000000002</v>
      </c>
      <c r="E5" s="491">
        <v>270.43</v>
      </c>
      <c r="F5" s="486" t="s">
        <v>457</v>
      </c>
      <c r="G5" s="359"/>
      <c r="I5" s="510"/>
      <c r="J5" s="510"/>
      <c r="K5" s="510"/>
      <c r="L5" s="510"/>
      <c r="M5" s="510"/>
      <c r="N5" s="510"/>
    </row>
    <row r="6" spans="1:17">
      <c r="C6" s="356"/>
      <c r="D6" s="356"/>
      <c r="E6" s="356"/>
      <c r="F6" s="362"/>
      <c r="I6" s="510"/>
      <c r="J6" s="510"/>
      <c r="K6" s="510"/>
      <c r="L6" s="510"/>
      <c r="M6" s="510"/>
      <c r="N6" s="510"/>
    </row>
    <row r="7" spans="1:17">
      <c r="A7" s="354">
        <v>3</v>
      </c>
      <c r="B7" s="357" t="s">
        <v>383</v>
      </c>
      <c r="C7" s="363">
        <f>C4-C5</f>
        <v>230.95</v>
      </c>
      <c r="D7" s="363">
        <f>D4-D5</f>
        <v>9.6499999999999773</v>
      </c>
      <c r="E7" s="363">
        <f>E4-E5</f>
        <v>9.5699999999999932</v>
      </c>
      <c r="F7" s="359" t="s">
        <v>384</v>
      </c>
    </row>
    <row r="8" spans="1:17">
      <c r="A8" s="354">
        <v>4</v>
      </c>
      <c r="B8" s="357" t="s">
        <v>385</v>
      </c>
      <c r="C8" s="364">
        <f>SUM('Attach2 - BidFactors'!C153:L153)</f>
        <v>6867.5999999999995</v>
      </c>
      <c r="D8" s="364">
        <f>SUM('Attach2 - BidFactors'!C153:L153)</f>
        <v>6867.5999999999995</v>
      </c>
      <c r="E8" s="364">
        <f>SUM('Attach2 - BidFactors'!C153:L153)</f>
        <v>6867.5999999999995</v>
      </c>
    </row>
    <row r="9" spans="1:17">
      <c r="A9" s="354">
        <v>5</v>
      </c>
      <c r="B9" s="357" t="s">
        <v>386</v>
      </c>
      <c r="C9" s="365">
        <v>365</v>
      </c>
      <c r="D9" s="365">
        <v>365</v>
      </c>
      <c r="E9" s="365">
        <v>365</v>
      </c>
    </row>
    <row r="10" spans="1:17">
      <c r="A10" s="354">
        <v>6</v>
      </c>
      <c r="B10" s="357" t="s">
        <v>387</v>
      </c>
      <c r="C10" s="366">
        <f>C7*C8*C9</f>
        <v>578916360.29999995</v>
      </c>
      <c r="D10" s="366">
        <f>D7*D8*D9</f>
        <v>24189404.099999942</v>
      </c>
      <c r="E10" s="366">
        <f>E7*E8*E9</f>
        <v>23988870.179999977</v>
      </c>
      <c r="F10" s="359" t="s">
        <v>388</v>
      </c>
    </row>
    <row r="11" spans="1:17">
      <c r="B11" s="357"/>
      <c r="C11" s="367"/>
      <c r="D11" s="367"/>
      <c r="E11" s="367"/>
      <c r="F11" s="359"/>
    </row>
    <row r="12" spans="1:17">
      <c r="A12" s="354">
        <v>7</v>
      </c>
      <c r="B12" s="368" t="s">
        <v>389</v>
      </c>
      <c r="C12" s="242">
        <v>29</v>
      </c>
      <c r="D12" s="242">
        <v>28</v>
      </c>
      <c r="E12" s="242">
        <v>28</v>
      </c>
      <c r="F12" s="359" t="s">
        <v>390</v>
      </c>
    </row>
    <row r="13" spans="1:17">
      <c r="A13" s="354">
        <v>8</v>
      </c>
      <c r="B13" s="357" t="s">
        <v>391</v>
      </c>
      <c r="C13" s="369">
        <f>'Attach3 - AuctionRateResult'!E15</f>
        <v>85</v>
      </c>
      <c r="D13" s="369">
        <v>85</v>
      </c>
      <c r="E13" s="369">
        <v>85</v>
      </c>
      <c r="F13" s="359" t="s">
        <v>390</v>
      </c>
    </row>
    <row r="14" spans="1:17">
      <c r="A14" s="354">
        <v>9</v>
      </c>
      <c r="B14" s="357" t="s">
        <v>392</v>
      </c>
      <c r="C14" s="370">
        <f>+C12/C13</f>
        <v>0.3411764705882353</v>
      </c>
      <c r="D14" s="370">
        <f>+D12/D13</f>
        <v>0.32941176470588235</v>
      </c>
      <c r="E14" s="370">
        <f>+E12/E13</f>
        <v>0.32941176470588235</v>
      </c>
      <c r="F14" s="359" t="s">
        <v>393</v>
      </c>
    </row>
    <row r="15" spans="1:17">
      <c r="B15" s="357"/>
      <c r="C15" s="367"/>
      <c r="D15" s="367"/>
      <c r="E15" s="367"/>
      <c r="F15" s="359"/>
    </row>
    <row r="16" spans="1:17">
      <c r="A16" s="354">
        <v>10</v>
      </c>
      <c r="B16" s="357" t="s">
        <v>394</v>
      </c>
      <c r="C16" s="367">
        <f>C10*C14</f>
        <v>197512640.57294115</v>
      </c>
      <c r="D16" s="367">
        <f>D10*D14</f>
        <v>7968274.2917646868</v>
      </c>
      <c r="E16" s="367">
        <f>E10*E14</f>
        <v>7902216.0592941102</v>
      </c>
      <c r="F16" s="359" t="s">
        <v>395</v>
      </c>
    </row>
    <row r="17" spans="1:6">
      <c r="B17" s="357"/>
      <c r="C17" s="367"/>
      <c r="D17" s="367"/>
      <c r="E17" s="367"/>
      <c r="F17" s="359"/>
    </row>
    <row r="18" spans="1:6">
      <c r="A18" s="354">
        <v>11</v>
      </c>
      <c r="B18" s="371" t="s">
        <v>396</v>
      </c>
      <c r="C18" s="372">
        <f>'Attach2 - BidFactors'!C360</f>
        <v>26612506.425911386</v>
      </c>
      <c r="D18" s="372">
        <f>'Attach2 - BidFactors'!C360</f>
        <v>26612506.425911386</v>
      </c>
      <c r="E18" s="372">
        <f>'Attach2 - BidFactors'!C360</f>
        <v>26612506.425911386</v>
      </c>
    </row>
    <row r="19" spans="1:6">
      <c r="A19" s="354">
        <v>12</v>
      </c>
      <c r="B19" s="357" t="s">
        <v>397</v>
      </c>
      <c r="C19" s="365">
        <f>+C14*C18</f>
        <v>9079561.0158991795</v>
      </c>
      <c r="D19" s="365">
        <f>+D14*D18</f>
        <v>8766472.705006104</v>
      </c>
      <c r="E19" s="365">
        <f>+E14*E18</f>
        <v>8766472.705006104</v>
      </c>
      <c r="F19" s="359" t="s">
        <v>398</v>
      </c>
    </row>
    <row r="20" spans="1:6">
      <c r="B20" s="357"/>
      <c r="C20" s="367"/>
      <c r="D20" s="367"/>
      <c r="E20" s="367"/>
      <c r="F20" s="359"/>
    </row>
    <row r="21" spans="1:6" ht="13.75" thickBot="1">
      <c r="A21" s="354">
        <v>13</v>
      </c>
      <c r="B21" s="357" t="s">
        <v>399</v>
      </c>
      <c r="C21" s="373">
        <f>ROUND(+C16/C19,2)</f>
        <v>21.75</v>
      </c>
      <c r="D21" s="373">
        <f>ROUND(+D16/D19,2)</f>
        <v>0.91</v>
      </c>
      <c r="E21" s="373">
        <f>ROUND(+E16/E19,2)</f>
        <v>0.9</v>
      </c>
      <c r="F21" s="374" t="s">
        <v>400</v>
      </c>
    </row>
    <row r="22" spans="1:6" ht="13.75" thickTop="1">
      <c r="B22" s="357"/>
      <c r="C22" s="367"/>
      <c r="D22" s="367"/>
      <c r="E22" s="367"/>
      <c r="F22" s="359"/>
    </row>
    <row r="23" spans="1:6">
      <c r="B23" s="357"/>
      <c r="C23" s="367"/>
      <c r="D23" s="367"/>
      <c r="E23" s="367"/>
      <c r="F23" s="359"/>
    </row>
    <row r="24" spans="1:6">
      <c r="B24" s="357"/>
      <c r="C24" s="367"/>
      <c r="D24" s="367"/>
      <c r="E24" s="367"/>
      <c r="F24" s="359"/>
    </row>
    <row r="26" spans="1:6">
      <c r="C26" s="372"/>
      <c r="D26" s="372"/>
      <c r="E26" s="372"/>
    </row>
    <row r="28" spans="1:6">
      <c r="B28" s="357"/>
      <c r="C28" s="358"/>
      <c r="D28" s="358"/>
      <c r="E28" s="358"/>
      <c r="F28" s="359"/>
    </row>
    <row r="135" spans="5:5">
      <c r="E135" s="375"/>
    </row>
  </sheetData>
  <mergeCells count="3">
    <mergeCell ref="I4:N6"/>
    <mergeCell ref="H1:Q1"/>
    <mergeCell ref="H2:P2"/>
  </mergeCells>
  <pageMargins left="0.7" right="0.7" top="1" bottom="0.75" header="0.3" footer="0.3"/>
  <pageSetup scale="58" orientation="landscape" r:id="rId1"/>
  <headerFooter>
    <oddHeader>&amp;C&amp;"Arial,Bold"Public Service Electric and Gas Company Specific Addendum
Attachment 4 P1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EBAE-3C59-40C6-AB1A-1FAFA38C4351}">
  <sheetPr>
    <pageSetUpPr fitToPage="1"/>
  </sheetPr>
  <dimension ref="A1:M135"/>
  <sheetViews>
    <sheetView view="pageBreakPreview" zoomScaleNormal="100" zoomScaleSheetLayoutView="100" workbookViewId="0"/>
  </sheetViews>
  <sheetFormatPr defaultColWidth="9.26953125" defaultRowHeight="13"/>
  <cols>
    <col min="1" max="1" width="3.26953125" style="354" bestFit="1" customWidth="1"/>
    <col min="2" max="2" width="62.54296875" style="354" bestFit="1" customWidth="1"/>
    <col min="3" max="4" width="29.40625" style="354" customWidth="1"/>
    <col min="5" max="5" width="54" style="354" bestFit="1" customWidth="1"/>
    <col min="6" max="6" width="3.54296875" style="376" customWidth="1"/>
    <col min="7" max="12" width="9.26953125" style="354"/>
    <col min="13" max="14" width="21.54296875" style="354" customWidth="1"/>
    <col min="15" max="16384" width="9.26953125" style="354"/>
  </cols>
  <sheetData>
    <row r="1" spans="1:13" ht="63.65" customHeight="1">
      <c r="B1" s="355" t="s">
        <v>374</v>
      </c>
      <c r="G1" s="512"/>
      <c r="H1" s="512"/>
      <c r="I1" s="512"/>
      <c r="J1" s="512"/>
      <c r="K1" s="512"/>
      <c r="L1" s="512"/>
      <c r="M1" s="512"/>
    </row>
    <row r="2" spans="1:13" ht="74.25" customHeight="1">
      <c r="B2" s="490" t="s">
        <v>401</v>
      </c>
      <c r="C2" s="377" t="s">
        <v>402</v>
      </c>
      <c r="D2" s="488" t="s">
        <v>378</v>
      </c>
      <c r="G2" s="512"/>
      <c r="H2" s="512"/>
      <c r="I2" s="512"/>
      <c r="J2" s="512"/>
      <c r="K2" s="512"/>
      <c r="L2" s="512"/>
      <c r="M2" s="512"/>
    </row>
    <row r="3" spans="1:13" ht="26">
      <c r="C3" s="356" t="s">
        <v>403</v>
      </c>
      <c r="D3" s="356" t="s">
        <v>403</v>
      </c>
      <c r="E3" s="322" t="s">
        <v>307</v>
      </c>
    </row>
    <row r="4" spans="1:13">
      <c r="A4" s="354">
        <v>1</v>
      </c>
      <c r="B4" s="357" t="s">
        <v>380</v>
      </c>
      <c r="C4" s="358">
        <v>280</v>
      </c>
      <c r="D4" s="358">
        <v>280</v>
      </c>
      <c r="E4" s="359" t="s">
        <v>381</v>
      </c>
    </row>
    <row r="5" spans="1:13">
      <c r="A5" s="354">
        <v>2</v>
      </c>
      <c r="B5" s="357" t="s">
        <v>382</v>
      </c>
      <c r="C5" s="360">
        <v>270.35000000000002</v>
      </c>
      <c r="D5" s="492">
        <v>270.43</v>
      </c>
      <c r="E5" s="486" t="s">
        <v>458</v>
      </c>
    </row>
    <row r="6" spans="1:13">
      <c r="C6" s="356"/>
      <c r="D6" s="356"/>
      <c r="E6" s="362"/>
    </row>
    <row r="7" spans="1:13">
      <c r="A7" s="354">
        <v>3</v>
      </c>
      <c r="B7" s="357" t="s">
        <v>383</v>
      </c>
      <c r="C7" s="363">
        <f>C4-C5</f>
        <v>9.6499999999999773</v>
      </c>
      <c r="D7" s="363">
        <f>D4-D5</f>
        <v>9.5699999999999932</v>
      </c>
      <c r="E7" s="359" t="s">
        <v>384</v>
      </c>
    </row>
    <row r="8" spans="1:13">
      <c r="A8" s="354">
        <v>4</v>
      </c>
      <c r="B8" s="357" t="s">
        <v>385</v>
      </c>
      <c r="C8" s="364">
        <f>'Attach 4 P1'!D8</f>
        <v>6867.5999999999995</v>
      </c>
      <c r="D8" s="364">
        <f>'Attach 4 P1'!E8</f>
        <v>6867.5999999999995</v>
      </c>
    </row>
    <row r="9" spans="1:13">
      <c r="A9" s="354">
        <v>5</v>
      </c>
      <c r="B9" s="357" t="s">
        <v>386</v>
      </c>
      <c r="C9" s="365">
        <v>366</v>
      </c>
      <c r="D9" s="365">
        <v>366</v>
      </c>
    </row>
    <row r="10" spans="1:13">
      <c r="A10" s="354">
        <v>6</v>
      </c>
      <c r="B10" s="357" t="s">
        <v>387</v>
      </c>
      <c r="C10" s="366">
        <f>C7*C8*C9</f>
        <v>24255676.439999942</v>
      </c>
      <c r="D10" s="366">
        <f>D7*D8*D9</f>
        <v>24054593.111999977</v>
      </c>
      <c r="E10" s="359" t="s">
        <v>388</v>
      </c>
    </row>
    <row r="11" spans="1:13">
      <c r="B11" s="357"/>
      <c r="C11" s="367"/>
      <c r="D11" s="367"/>
      <c r="E11" s="359"/>
    </row>
    <row r="12" spans="1:13">
      <c r="A12" s="354">
        <v>7</v>
      </c>
      <c r="B12" s="368" t="s">
        <v>389</v>
      </c>
      <c r="C12" s="242">
        <v>28</v>
      </c>
      <c r="D12" s="242">
        <v>28</v>
      </c>
      <c r="E12" s="359" t="s">
        <v>390</v>
      </c>
    </row>
    <row r="13" spans="1:13">
      <c r="A13" s="354">
        <v>8</v>
      </c>
      <c r="B13" s="357" t="s">
        <v>391</v>
      </c>
      <c r="C13" s="369">
        <v>85</v>
      </c>
      <c r="D13" s="369">
        <v>85</v>
      </c>
      <c r="E13" s="359" t="s">
        <v>390</v>
      </c>
    </row>
    <row r="14" spans="1:13">
      <c r="A14" s="354">
        <v>9</v>
      </c>
      <c r="B14" s="357" t="s">
        <v>392</v>
      </c>
      <c r="C14" s="370">
        <f>+C12/C13</f>
        <v>0.32941176470588235</v>
      </c>
      <c r="D14" s="370">
        <f>+D12/D13</f>
        <v>0.32941176470588235</v>
      </c>
      <c r="E14" s="359" t="s">
        <v>393</v>
      </c>
    </row>
    <row r="15" spans="1:13">
      <c r="B15" s="357"/>
      <c r="C15" s="367"/>
      <c r="D15" s="367"/>
      <c r="E15" s="359"/>
    </row>
    <row r="16" spans="1:13">
      <c r="A16" s="354">
        <v>10</v>
      </c>
      <c r="B16" s="357" t="s">
        <v>394</v>
      </c>
      <c r="C16" s="367">
        <f>C10*C14</f>
        <v>7990105.1802352751</v>
      </c>
      <c r="D16" s="367">
        <f>D10*D14</f>
        <v>7923865.9663058752</v>
      </c>
      <c r="E16" s="359" t="s">
        <v>395</v>
      </c>
    </row>
    <row r="17" spans="1:5">
      <c r="B17" s="357"/>
      <c r="C17" s="367"/>
      <c r="D17" s="367"/>
      <c r="E17" s="359"/>
    </row>
    <row r="18" spans="1:5">
      <c r="A18" s="354">
        <v>11</v>
      </c>
      <c r="B18" s="371" t="s">
        <v>396</v>
      </c>
      <c r="C18" s="372">
        <f>'Attach2 - BidFactors'!C360</f>
        <v>26612506.425911386</v>
      </c>
      <c r="D18" s="372">
        <f>'Attach2 - BidFactors'!C360</f>
        <v>26612506.425911386</v>
      </c>
    </row>
    <row r="19" spans="1:5">
      <c r="A19" s="354">
        <v>12</v>
      </c>
      <c r="B19" s="357" t="s">
        <v>397</v>
      </c>
      <c r="C19" s="365">
        <f>+C14*C18</f>
        <v>8766472.705006104</v>
      </c>
      <c r="D19" s="365">
        <f>+D14*D18</f>
        <v>8766472.705006104</v>
      </c>
      <c r="E19" s="359" t="s">
        <v>398</v>
      </c>
    </row>
    <row r="20" spans="1:5">
      <c r="B20" s="357"/>
      <c r="C20" s="367"/>
      <c r="D20" s="367"/>
      <c r="E20" s="359"/>
    </row>
    <row r="21" spans="1:5" ht="13.75" thickBot="1">
      <c r="A21" s="354">
        <v>13</v>
      </c>
      <c r="B21" s="357" t="s">
        <v>399</v>
      </c>
      <c r="C21" s="373">
        <f>ROUND(+C16/C19,2)</f>
        <v>0.91</v>
      </c>
      <c r="D21" s="373">
        <f>ROUND(+D16/D19,2)</f>
        <v>0.9</v>
      </c>
      <c r="E21" s="374" t="s">
        <v>400</v>
      </c>
    </row>
    <row r="22" spans="1:5" ht="13.75" thickTop="1">
      <c r="B22" s="357"/>
      <c r="C22" s="367"/>
      <c r="D22" s="367"/>
      <c r="E22" s="359"/>
    </row>
    <row r="23" spans="1:5">
      <c r="B23" s="357"/>
      <c r="C23" s="367"/>
      <c r="D23" s="367"/>
      <c r="E23" s="359"/>
    </row>
    <row r="24" spans="1:5">
      <c r="B24" s="357"/>
      <c r="C24" s="367"/>
      <c r="D24" s="367"/>
      <c r="E24" s="359"/>
    </row>
    <row r="26" spans="1:5">
      <c r="C26" s="372"/>
      <c r="D26" s="372"/>
    </row>
    <row r="28" spans="1:5">
      <c r="B28" s="357"/>
      <c r="C28" s="358"/>
      <c r="D28" s="358"/>
      <c r="E28" s="359"/>
    </row>
    <row r="135" spans="5:5">
      <c r="E135" s="375"/>
    </row>
  </sheetData>
  <mergeCells count="2">
    <mergeCell ref="G1:M1"/>
    <mergeCell ref="G2:M2"/>
  </mergeCells>
  <pageMargins left="0.7" right="0.7" top="1" bottom="0.75" header="0.3" footer="0.3"/>
  <pageSetup scale="69" orientation="landscape" r:id="rId1"/>
  <headerFooter>
    <oddHeader xml:space="preserve">&amp;C&amp;"Arial,Bold"Public Service Electric and Gas Company Specific Addendum
Attachment 4 P2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586C-AA5A-46D0-86C7-50FFF2E5E210}">
  <sheetPr>
    <pageSetUpPr fitToPage="1"/>
  </sheetPr>
  <dimension ref="A1:U135"/>
  <sheetViews>
    <sheetView view="pageBreakPreview" zoomScaleNormal="100" zoomScaleSheetLayoutView="100" workbookViewId="0"/>
  </sheetViews>
  <sheetFormatPr defaultColWidth="9.26953125" defaultRowHeight="13"/>
  <cols>
    <col min="1" max="1" width="3.40625" style="354" bestFit="1" customWidth="1"/>
    <col min="2" max="2" width="54.7265625" style="354" customWidth="1"/>
    <col min="3" max="3" width="31" style="354" customWidth="1"/>
    <col min="4" max="4" width="2.54296875" style="354" customWidth="1"/>
    <col min="5" max="5" width="39.54296875" style="354" customWidth="1"/>
    <col min="6" max="6" width="2.7265625" style="354" customWidth="1"/>
    <col min="7" max="7" width="3.54296875" style="354" customWidth="1"/>
    <col min="8" max="8" width="2.7265625" style="354" customWidth="1"/>
    <col min="9" max="9" width="3.40625" style="354" customWidth="1"/>
    <col min="10" max="10" width="16.26953125" style="354" customWidth="1"/>
    <col min="11" max="11" width="9.26953125" style="376"/>
    <col min="12" max="16384" width="9.26953125" style="354"/>
  </cols>
  <sheetData>
    <row r="1" spans="1:21" ht="31.9" customHeight="1">
      <c r="B1" s="355" t="s">
        <v>374</v>
      </c>
      <c r="L1" s="511"/>
      <c r="M1" s="511"/>
      <c r="N1" s="511"/>
      <c r="O1" s="511"/>
      <c r="P1" s="511"/>
      <c r="Q1" s="511"/>
      <c r="R1" s="511"/>
    </row>
    <row r="2" spans="1:21" ht="52">
      <c r="B2" s="490" t="s">
        <v>404</v>
      </c>
      <c r="C2" s="488" t="s">
        <v>378</v>
      </c>
      <c r="L2" s="513"/>
      <c r="M2" s="511"/>
      <c r="N2" s="511"/>
      <c r="O2" s="511"/>
      <c r="P2" s="511"/>
      <c r="Q2" s="511"/>
      <c r="R2" s="511"/>
      <c r="S2" s="511"/>
      <c r="T2" s="511"/>
      <c r="U2" s="511"/>
    </row>
    <row r="3" spans="1:21" ht="26">
      <c r="C3" s="356" t="s">
        <v>405</v>
      </c>
      <c r="E3" s="322" t="s">
        <v>307</v>
      </c>
    </row>
    <row r="4" spans="1:21">
      <c r="A4" s="354">
        <v>1</v>
      </c>
      <c r="B4" s="357" t="s">
        <v>380</v>
      </c>
      <c r="C4" s="358">
        <v>280</v>
      </c>
      <c r="D4" s="378"/>
      <c r="E4" s="359" t="s">
        <v>381</v>
      </c>
    </row>
    <row r="5" spans="1:21">
      <c r="A5" s="354">
        <v>2</v>
      </c>
      <c r="B5" s="357" t="s">
        <v>382</v>
      </c>
      <c r="C5" s="492">
        <v>270.43</v>
      </c>
      <c r="E5" s="486" t="s">
        <v>459</v>
      </c>
      <c r="F5" s="359"/>
      <c r="G5" s="359"/>
      <c r="H5" s="359"/>
      <c r="I5" s="440"/>
      <c r="K5" s="379"/>
    </row>
    <row r="6" spans="1:21">
      <c r="C6" s="356"/>
      <c r="E6" s="362"/>
    </row>
    <row r="7" spans="1:21">
      <c r="A7" s="354">
        <v>3</v>
      </c>
      <c r="B7" s="357" t="s">
        <v>383</v>
      </c>
      <c r="C7" s="363">
        <f>C4-C5</f>
        <v>9.5699999999999932</v>
      </c>
      <c r="E7" s="359" t="s">
        <v>384</v>
      </c>
    </row>
    <row r="8" spans="1:21">
      <c r="A8" s="354">
        <v>4</v>
      </c>
      <c r="B8" s="357" t="s">
        <v>385</v>
      </c>
      <c r="C8" s="364">
        <f>'Attach 4 P1'!E8</f>
        <v>6867.5999999999995</v>
      </c>
    </row>
    <row r="9" spans="1:21">
      <c r="A9" s="354">
        <v>5</v>
      </c>
      <c r="B9" s="357" t="s">
        <v>386</v>
      </c>
      <c r="C9" s="380">
        <v>365</v>
      </c>
    </row>
    <row r="10" spans="1:21">
      <c r="A10" s="354">
        <v>6</v>
      </c>
      <c r="B10" s="357" t="s">
        <v>387</v>
      </c>
      <c r="C10" s="366">
        <f>C7*C8*C9</f>
        <v>23988870.179999977</v>
      </c>
      <c r="E10" s="359" t="s">
        <v>388</v>
      </c>
    </row>
    <row r="11" spans="1:21">
      <c r="B11" s="357"/>
      <c r="C11" s="367"/>
      <c r="E11" s="359"/>
    </row>
    <row r="12" spans="1:21">
      <c r="A12" s="354">
        <v>7</v>
      </c>
      <c r="B12" s="368" t="s">
        <v>389</v>
      </c>
      <c r="C12" s="242">
        <v>28</v>
      </c>
      <c r="E12" s="359" t="s">
        <v>390</v>
      </c>
    </row>
    <row r="13" spans="1:21">
      <c r="A13" s="354">
        <v>8</v>
      </c>
      <c r="B13" s="357" t="s">
        <v>391</v>
      </c>
      <c r="C13" s="369">
        <v>85</v>
      </c>
      <c r="E13" s="359" t="s">
        <v>390</v>
      </c>
    </row>
    <row r="14" spans="1:21">
      <c r="A14" s="354">
        <v>9</v>
      </c>
      <c r="B14" s="357" t="s">
        <v>392</v>
      </c>
      <c r="C14" s="370">
        <f>+C12/C13</f>
        <v>0.32941176470588235</v>
      </c>
      <c r="E14" s="359" t="s">
        <v>393</v>
      </c>
    </row>
    <row r="15" spans="1:21">
      <c r="B15" s="357"/>
      <c r="C15" s="367"/>
      <c r="E15" s="359"/>
    </row>
    <row r="16" spans="1:21">
      <c r="A16" s="354">
        <v>10</v>
      </c>
      <c r="B16" s="357" t="s">
        <v>394</v>
      </c>
      <c r="C16" s="367">
        <f>C10*C14</f>
        <v>7902216.0592941102</v>
      </c>
      <c r="E16" s="359" t="s">
        <v>395</v>
      </c>
    </row>
    <row r="17" spans="1:5">
      <c r="B17" s="357"/>
      <c r="C17" s="367"/>
      <c r="E17" s="359"/>
    </row>
    <row r="18" spans="1:5">
      <c r="A18" s="354">
        <v>11</v>
      </c>
      <c r="B18" s="371" t="s">
        <v>396</v>
      </c>
      <c r="C18" s="372">
        <f>'Attach2 - BidFactors'!C360</f>
        <v>26612506.425911386</v>
      </c>
    </row>
    <row r="19" spans="1:5">
      <c r="A19" s="354">
        <v>12</v>
      </c>
      <c r="B19" s="357" t="s">
        <v>397</v>
      </c>
      <c r="C19" s="365">
        <f>+C14*C18</f>
        <v>8766472.705006104</v>
      </c>
      <c r="E19" s="359" t="s">
        <v>398</v>
      </c>
    </row>
    <row r="20" spans="1:5">
      <c r="B20" s="357"/>
      <c r="C20" s="367"/>
      <c r="E20" s="359"/>
    </row>
    <row r="21" spans="1:5" ht="13.75" thickBot="1">
      <c r="A21" s="354">
        <v>13</v>
      </c>
      <c r="B21" s="357" t="s">
        <v>399</v>
      </c>
      <c r="C21" s="373">
        <f>ROUND(+C16/C19,2)</f>
        <v>0.9</v>
      </c>
      <c r="E21" s="374" t="s">
        <v>400</v>
      </c>
    </row>
    <row r="22" spans="1:5" ht="13.75" thickTop="1">
      <c r="B22" s="357"/>
      <c r="C22" s="367"/>
      <c r="E22" s="359"/>
    </row>
    <row r="23" spans="1:5">
      <c r="B23" s="357"/>
      <c r="C23" s="367"/>
      <c r="E23" s="359"/>
    </row>
    <row r="24" spans="1:5">
      <c r="B24" s="357"/>
      <c r="C24" s="367"/>
      <c r="E24" s="359"/>
    </row>
    <row r="26" spans="1:5">
      <c r="C26" s="372"/>
    </row>
    <row r="28" spans="1:5">
      <c r="B28" s="357"/>
      <c r="C28" s="358"/>
      <c r="E28" s="359"/>
    </row>
    <row r="135" spans="5:5">
      <c r="E135" s="375"/>
    </row>
  </sheetData>
  <mergeCells count="2">
    <mergeCell ref="L1:R1"/>
    <mergeCell ref="L2:U2"/>
  </mergeCells>
  <pageMargins left="0.7" right="0.7" top="1" bottom="0.75" header="0.3" footer="0.3"/>
  <pageSetup scale="78" orientation="landscape" r:id="rId1"/>
  <headerFooter>
    <oddHeader>&amp;C&amp;"Arial,Bold"Public Service Electric and Gas Company Specific Addendum
Attachment 4 P3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EF31-8AB4-477F-B9CA-F16E460E72A8}">
  <sheetPr>
    <pageSetUpPr fitToPage="1"/>
  </sheetPr>
  <dimension ref="A1:M274"/>
  <sheetViews>
    <sheetView showGridLines="0" view="pageBreakPreview" zoomScaleNormal="100" zoomScaleSheetLayoutView="100" workbookViewId="0"/>
  </sheetViews>
  <sheetFormatPr defaultColWidth="9.26953125" defaultRowHeight="13" outlineLevelRow="1"/>
  <cols>
    <col min="1" max="1" width="12.26953125" style="354" bestFit="1" customWidth="1"/>
    <col min="2" max="2" width="46" style="354" customWidth="1"/>
    <col min="3" max="5" width="16.54296875" style="354" customWidth="1"/>
    <col min="6" max="6" width="4.54296875" style="354" customWidth="1"/>
    <col min="7" max="7" width="48.26953125" style="354" bestFit="1" customWidth="1"/>
    <col min="8" max="8" width="3.54296875" style="376" customWidth="1"/>
    <col min="9" max="9" width="11" style="354" customWidth="1"/>
    <col min="10" max="10" width="23.26953125" style="354" customWidth="1"/>
    <col min="11" max="11" width="12.54296875" style="354" customWidth="1"/>
    <col min="12" max="12" width="30.1328125" style="354" customWidth="1"/>
    <col min="13" max="13" width="14.26953125" style="354" bestFit="1" customWidth="1"/>
    <col min="14" max="14" width="24.26953125" style="354" bestFit="1" customWidth="1"/>
    <col min="15" max="16" width="10.7265625" style="354" bestFit="1" customWidth="1"/>
    <col min="17" max="17" width="14.26953125" style="354" bestFit="1" customWidth="1"/>
    <col min="18" max="16384" width="9.26953125" style="354"/>
  </cols>
  <sheetData>
    <row r="1" spans="1:13" ht="20.5">
      <c r="A1" s="381" t="s">
        <v>406</v>
      </c>
      <c r="I1" s="498"/>
      <c r="J1" s="499"/>
      <c r="K1" s="499"/>
      <c r="L1" s="499"/>
      <c r="M1" s="500"/>
    </row>
    <row r="2" spans="1:13" ht="15" customHeight="1">
      <c r="A2" s="382" t="s">
        <v>407</v>
      </c>
      <c r="D2" s="514"/>
      <c r="E2" s="514"/>
      <c r="F2" s="514"/>
      <c r="G2" s="514"/>
      <c r="H2" s="515"/>
      <c r="I2" s="516"/>
      <c r="J2" s="516"/>
      <c r="K2" s="516"/>
      <c r="L2" s="516"/>
      <c r="M2" s="517"/>
    </row>
    <row r="3" spans="1:13" ht="12.75" customHeight="1">
      <c r="A3" s="489" t="s">
        <v>408</v>
      </c>
      <c r="D3" s="514"/>
      <c r="E3" s="514"/>
      <c r="F3" s="514"/>
      <c r="G3" s="514"/>
      <c r="H3" s="515"/>
      <c r="I3" s="516"/>
      <c r="J3" s="516"/>
      <c r="K3" s="516"/>
      <c r="L3" s="516"/>
      <c r="M3" s="517"/>
    </row>
    <row r="5" spans="1:13">
      <c r="A5" s="383" t="s">
        <v>304</v>
      </c>
      <c r="B5" s="357" t="s">
        <v>305</v>
      </c>
    </row>
    <row r="6" spans="1:13" ht="39">
      <c r="A6" s="384" t="s">
        <v>306</v>
      </c>
      <c r="B6" s="357" t="s">
        <v>87</v>
      </c>
      <c r="C6" s="362" t="s">
        <v>89</v>
      </c>
      <c r="D6" s="362" t="s">
        <v>409</v>
      </c>
      <c r="E6" s="362" t="s">
        <v>410</v>
      </c>
      <c r="G6" s="322" t="s">
        <v>307</v>
      </c>
    </row>
    <row r="8" spans="1:13">
      <c r="A8" s="384">
        <v>1</v>
      </c>
      <c r="B8" s="357" t="s">
        <v>99</v>
      </c>
      <c r="C8" s="273">
        <f>'Attach3 - AuctionRateResult'!D8</f>
        <v>107.36</v>
      </c>
      <c r="D8" s="273">
        <f>'Attach3 - AuctionRateResult'!E8</f>
        <v>108.27</v>
      </c>
      <c r="E8" s="273">
        <f>D10</f>
        <v>109.17</v>
      </c>
      <c r="G8" s="324" t="s">
        <v>461</v>
      </c>
    </row>
    <row r="9" spans="1:13">
      <c r="A9" s="384" t="s">
        <v>308</v>
      </c>
      <c r="B9" s="357" t="s">
        <v>411</v>
      </c>
      <c r="C9" s="273">
        <f>'Attach 4 P2'!C21</f>
        <v>0.91</v>
      </c>
      <c r="D9" s="273">
        <f>'Attach 4 P2'!D21</f>
        <v>0.9</v>
      </c>
      <c r="E9" s="385"/>
      <c r="G9" s="327" t="s">
        <v>412</v>
      </c>
    </row>
    <row r="10" spans="1:13">
      <c r="A10" s="384" t="s">
        <v>310</v>
      </c>
      <c r="B10" s="357" t="s">
        <v>312</v>
      </c>
      <c r="C10" s="386">
        <f>C8+C9</f>
        <v>108.27</v>
      </c>
      <c r="D10" s="386">
        <f t="shared" ref="D10:E10" si="0">D8+D9</f>
        <v>109.17</v>
      </c>
      <c r="E10" s="386">
        <f t="shared" si="0"/>
        <v>109.17</v>
      </c>
      <c r="G10" s="387" t="s">
        <v>413</v>
      </c>
    </row>
    <row r="11" spans="1:13">
      <c r="A11" s="384"/>
      <c r="B11" s="357"/>
      <c r="C11" s="386"/>
      <c r="D11" s="386"/>
      <c r="E11" s="386"/>
      <c r="G11" s="359"/>
    </row>
    <row r="12" spans="1:13">
      <c r="A12" s="384">
        <v>2</v>
      </c>
      <c r="B12" s="368" t="s">
        <v>100</v>
      </c>
      <c r="C12" s="354">
        <f>'Attach3 - AuctionRateResult'!D14</f>
        <v>28</v>
      </c>
      <c r="D12" s="354">
        <f>'Attach3 - AuctionRateResult'!E14</f>
        <v>28</v>
      </c>
      <c r="E12" s="354">
        <v>29</v>
      </c>
      <c r="G12" s="327" t="s">
        <v>315</v>
      </c>
    </row>
    <row r="13" spans="1:13">
      <c r="A13" s="384">
        <v>3</v>
      </c>
      <c r="B13" s="357" t="s">
        <v>316</v>
      </c>
      <c r="C13" s="354">
        <v>85</v>
      </c>
      <c r="D13" s="354">
        <v>85</v>
      </c>
      <c r="E13" s="354">
        <v>85</v>
      </c>
      <c r="G13" s="327" t="s">
        <v>315</v>
      </c>
    </row>
    <row r="14" spans="1:13">
      <c r="A14" s="384"/>
      <c r="B14" s="357"/>
      <c r="G14" s="327"/>
    </row>
    <row r="15" spans="1:13">
      <c r="A15" s="384"/>
      <c r="B15" s="357" t="s">
        <v>103</v>
      </c>
    </row>
    <row r="16" spans="1:13">
      <c r="A16" s="384">
        <v>4</v>
      </c>
      <c r="B16" s="249" t="s">
        <v>104</v>
      </c>
      <c r="C16" s="388">
        <v>1</v>
      </c>
      <c r="D16" s="388">
        <v>1</v>
      </c>
      <c r="E16" s="388">
        <v>1</v>
      </c>
      <c r="G16" s="327" t="s">
        <v>315</v>
      </c>
      <c r="K16" s="389"/>
    </row>
    <row r="17" spans="1:12">
      <c r="A17" s="384">
        <v>5</v>
      </c>
      <c r="B17" s="249" t="s">
        <v>105</v>
      </c>
      <c r="C17" s="388">
        <v>1</v>
      </c>
      <c r="D17" s="388">
        <v>1</v>
      </c>
      <c r="E17" s="388">
        <v>1</v>
      </c>
      <c r="G17" s="327" t="s">
        <v>315</v>
      </c>
      <c r="K17" s="389"/>
    </row>
    <row r="18" spans="1:12">
      <c r="A18" s="384"/>
    </row>
    <row r="19" spans="1:12">
      <c r="A19" s="384"/>
      <c r="B19" s="371" t="s">
        <v>414</v>
      </c>
    </row>
    <row r="20" spans="1:12">
      <c r="A20" s="384">
        <v>6</v>
      </c>
      <c r="B20" s="354" t="s">
        <v>318</v>
      </c>
      <c r="C20" s="372">
        <f>'Attach3 - AuctionRateResult'!C21</f>
        <v>10351093.266882937</v>
      </c>
      <c r="D20" s="372"/>
      <c r="E20" s="372"/>
      <c r="G20" s="327" t="s">
        <v>315</v>
      </c>
    </row>
    <row r="21" spans="1:12">
      <c r="A21" s="384">
        <v>7</v>
      </c>
      <c r="B21" s="354" t="s">
        <v>320</v>
      </c>
      <c r="C21" s="372">
        <f>'Attach3 - AuctionRateResult'!C22</f>
        <v>16261413.159028448</v>
      </c>
      <c r="D21" s="372"/>
      <c r="E21" s="372"/>
    </row>
    <row r="22" spans="1:12">
      <c r="A22" s="384"/>
    </row>
    <row r="23" spans="1:12">
      <c r="A23" s="384"/>
      <c r="B23" s="357" t="s">
        <v>321</v>
      </c>
    </row>
    <row r="24" spans="1:12">
      <c r="A24" s="384">
        <v>8</v>
      </c>
      <c r="B24" s="249" t="s">
        <v>104</v>
      </c>
      <c r="C24" s="390">
        <f>((+C$10)*C$12/C$13*C16*$C20/1000)</f>
        <v>369176.00357825455</v>
      </c>
      <c r="D24" s="390">
        <f t="shared" ref="D24:E25" si="1">((+D$10)*D$12/D$13*D16*$C20/1000)</f>
        <v>372244.79828796576</v>
      </c>
      <c r="E24" s="390">
        <f t="shared" si="1"/>
        <v>385539.25536967878</v>
      </c>
      <c r="F24" s="391"/>
      <c r="G24" s="387" t="s">
        <v>415</v>
      </c>
      <c r="J24" s="392"/>
      <c r="L24" s="392"/>
    </row>
    <row r="25" spans="1:12" ht="15.25">
      <c r="A25" s="384">
        <v>9</v>
      </c>
      <c r="B25" s="249" t="s">
        <v>105</v>
      </c>
      <c r="C25" s="393">
        <f>((+C$10)*C$12/C$13*C17*$C21/1000)</f>
        <v>579969.99619275623</v>
      </c>
      <c r="D25" s="393">
        <f t="shared" si="1"/>
        <v>584791.02691755071</v>
      </c>
      <c r="E25" s="393">
        <f t="shared" si="1"/>
        <v>605676.42073603452</v>
      </c>
      <c r="F25" s="391"/>
      <c r="G25" s="387" t="s">
        <v>416</v>
      </c>
    </row>
    <row r="26" spans="1:12">
      <c r="A26" s="384">
        <v>10</v>
      </c>
      <c r="B26" s="354" t="s">
        <v>324</v>
      </c>
      <c r="C26" s="392">
        <f>+C25+C24</f>
        <v>949145.99977101083</v>
      </c>
      <c r="D26" s="392">
        <f>+D25+D24</f>
        <v>957035.82520551654</v>
      </c>
      <c r="E26" s="392">
        <f>+E25+E24</f>
        <v>991215.67610571324</v>
      </c>
      <c r="J26" s="392"/>
      <c r="L26" s="392"/>
    </row>
    <row r="27" spans="1:12">
      <c r="A27" s="384"/>
    </row>
    <row r="28" spans="1:12">
      <c r="A28" s="384"/>
      <c r="B28" s="357" t="s">
        <v>326</v>
      </c>
    </row>
    <row r="29" spans="1:12">
      <c r="A29" s="384">
        <v>11</v>
      </c>
      <c r="B29" s="249" t="s">
        <v>104</v>
      </c>
      <c r="C29" s="394">
        <f>ROUND(+SUM(C24:E24)/C20*1000,3)</f>
        <v>108.874</v>
      </c>
      <c r="D29" s="395"/>
      <c r="G29" s="387" t="s">
        <v>417</v>
      </c>
    </row>
    <row r="30" spans="1:12">
      <c r="A30" s="384">
        <v>12</v>
      </c>
      <c r="B30" s="249" t="s">
        <v>105</v>
      </c>
      <c r="C30" s="386">
        <f>ROUND(+SUM(C25:E25)/C21*1000,3)</f>
        <v>108.874</v>
      </c>
      <c r="G30" s="387" t="s">
        <v>418</v>
      </c>
    </row>
    <row r="31" spans="1:12">
      <c r="A31" s="384"/>
      <c r="B31" s="249"/>
      <c r="C31" s="396"/>
      <c r="G31" s="359"/>
    </row>
    <row r="32" spans="1:12">
      <c r="A32" s="384">
        <v>13</v>
      </c>
      <c r="B32" s="354" t="s">
        <v>329</v>
      </c>
      <c r="C32" s="397">
        <f>ROUND(+SUM(C26:E26)/(C20+C21)*1000,3)</f>
        <v>108.874</v>
      </c>
      <c r="D32" s="354" t="s">
        <v>330</v>
      </c>
      <c r="G32" s="387" t="s">
        <v>331</v>
      </c>
    </row>
    <row r="33" spans="1:13">
      <c r="D33" s="354" t="s">
        <v>332</v>
      </c>
      <c r="G33" s="327" t="s">
        <v>419</v>
      </c>
    </row>
    <row r="34" spans="1:13">
      <c r="C34" s="395"/>
    </row>
    <row r="35" spans="1:13">
      <c r="B35" s="398"/>
      <c r="D35" s="395"/>
    </row>
    <row r="36" spans="1:13">
      <c r="A36" s="384"/>
      <c r="B36" s="399"/>
      <c r="C36" s="392"/>
      <c r="D36" s="395"/>
      <c r="G36" s="359"/>
    </row>
    <row r="37" spans="1:13" ht="15.25">
      <c r="A37" s="384"/>
      <c r="B37" s="399"/>
      <c r="C37" s="400"/>
      <c r="D37" s="395"/>
      <c r="G37" s="359"/>
    </row>
    <row r="38" spans="1:13">
      <c r="A38" s="384"/>
      <c r="B38" s="399"/>
      <c r="C38" s="401"/>
      <c r="D38" s="395"/>
      <c r="G38" s="359"/>
    </row>
    <row r="39" spans="1:13">
      <c r="B39" s="399"/>
      <c r="D39" s="395"/>
    </row>
    <row r="41" spans="1:13">
      <c r="A41" s="402"/>
      <c r="B41" s="357"/>
      <c r="G41" s="322"/>
    </row>
    <row r="42" spans="1:13">
      <c r="A42" s="402"/>
      <c r="B42" s="357"/>
      <c r="G42" s="322"/>
    </row>
    <row r="43" spans="1:13">
      <c r="B43" s="357"/>
    </row>
    <row r="44" spans="1:13">
      <c r="B44" s="322"/>
    </row>
    <row r="45" spans="1:13">
      <c r="B45" s="357"/>
    </row>
    <row r="46" spans="1:13">
      <c r="C46" s="403"/>
      <c r="D46" s="403"/>
      <c r="E46" s="403"/>
      <c r="F46" s="403"/>
      <c r="G46" s="403"/>
      <c r="H46" s="404"/>
      <c r="I46" s="403"/>
      <c r="J46" s="403"/>
    </row>
    <row r="47" spans="1:13">
      <c r="C47" s="403"/>
      <c r="D47" s="403"/>
      <c r="E47" s="403"/>
      <c r="F47" s="403"/>
      <c r="G47" s="403"/>
    </row>
    <row r="48" spans="1:13">
      <c r="B48" s="405"/>
      <c r="E48" s="302"/>
      <c r="F48" s="303"/>
      <c r="G48" s="303"/>
      <c r="H48" s="406"/>
      <c r="I48" s="302"/>
      <c r="J48" s="302"/>
      <c r="K48" s="304"/>
      <c r="L48" s="304"/>
      <c r="M48" s="304"/>
    </row>
    <row r="49" spans="2:13">
      <c r="B49" s="407"/>
      <c r="C49" s="305"/>
      <c r="D49" s="215"/>
      <c r="E49" s="303"/>
      <c r="F49" s="302"/>
      <c r="G49" s="302"/>
      <c r="H49" s="408"/>
      <c r="J49" s="306"/>
      <c r="K49" s="304"/>
      <c r="L49" s="304"/>
      <c r="M49" s="304"/>
    </row>
    <row r="50" spans="2:13">
      <c r="B50" s="407"/>
      <c r="C50" s="305"/>
      <c r="D50" s="215"/>
      <c r="E50" s="303"/>
      <c r="F50" s="302"/>
      <c r="G50" s="302"/>
      <c r="H50" s="409"/>
      <c r="J50" s="306"/>
      <c r="K50" s="410"/>
      <c r="L50" s="304"/>
      <c r="M50" s="304"/>
    </row>
    <row r="51" spans="2:13">
      <c r="E51" s="305"/>
      <c r="F51" s="215"/>
      <c r="G51" s="215"/>
      <c r="L51" s="304"/>
      <c r="M51" s="304"/>
    </row>
    <row r="52" spans="2:13">
      <c r="B52" s="411"/>
      <c r="C52" s="303"/>
      <c r="D52" s="303"/>
      <c r="E52" s="305"/>
      <c r="F52" s="215"/>
      <c r="G52" s="215"/>
      <c r="H52" s="412"/>
      <c r="I52" s="215"/>
      <c r="J52" s="215"/>
      <c r="K52" s="304"/>
      <c r="L52" s="304"/>
      <c r="M52" s="304"/>
    </row>
    <row r="53" spans="2:13">
      <c r="B53" s="411"/>
      <c r="C53" s="413"/>
      <c r="D53" s="413"/>
      <c r="E53" s="414"/>
      <c r="F53" s="215"/>
      <c r="G53" s="215"/>
      <c r="H53" s="412"/>
      <c r="I53" s="215"/>
      <c r="J53" s="215"/>
      <c r="K53" s="304"/>
      <c r="L53" s="304"/>
      <c r="M53" s="304"/>
    </row>
    <row r="54" spans="2:13">
      <c r="B54" s="411"/>
      <c r="C54" s="413"/>
      <c r="D54" s="413"/>
      <c r="E54" s="414"/>
      <c r="F54" s="215"/>
      <c r="G54" s="215"/>
      <c r="H54" s="412"/>
      <c r="I54" s="215"/>
      <c r="J54" s="215"/>
      <c r="K54" s="304"/>
      <c r="L54" s="304"/>
      <c r="M54" s="304"/>
    </row>
    <row r="55" spans="2:13">
      <c r="G55" s="215"/>
      <c r="H55" s="412"/>
      <c r="I55" s="215"/>
      <c r="J55" s="215"/>
      <c r="K55" s="304"/>
      <c r="L55" s="304"/>
      <c r="M55" s="304"/>
    </row>
    <row r="56" spans="2:13">
      <c r="H56" s="412"/>
      <c r="I56" s="215"/>
      <c r="J56" s="215"/>
      <c r="K56" s="304"/>
      <c r="L56" s="304"/>
      <c r="M56" s="304"/>
    </row>
    <row r="57" spans="2:13">
      <c r="C57" s="215"/>
      <c r="D57" s="215"/>
      <c r="E57" s="215"/>
      <c r="F57" s="215"/>
      <c r="G57" s="215"/>
      <c r="H57" s="412"/>
      <c r="I57" s="215"/>
      <c r="J57" s="215"/>
      <c r="K57" s="304"/>
      <c r="L57" s="304"/>
      <c r="M57" s="304"/>
    </row>
    <row r="58" spans="2:13">
      <c r="B58" s="405"/>
      <c r="C58" s="303"/>
      <c r="D58" s="303"/>
      <c r="E58" s="302"/>
      <c r="F58" s="303"/>
      <c r="G58" s="303"/>
      <c r="H58" s="406"/>
      <c r="I58" s="302"/>
      <c r="J58" s="302"/>
      <c r="K58" s="304"/>
      <c r="L58" s="304"/>
      <c r="M58" s="304"/>
    </row>
    <row r="59" spans="2:13">
      <c r="B59" s="407"/>
      <c r="C59" s="215"/>
      <c r="D59" s="215"/>
      <c r="E59" s="303"/>
      <c r="F59" s="215"/>
      <c r="G59" s="215"/>
      <c r="H59" s="412"/>
      <c r="J59" s="306"/>
      <c r="K59" s="304"/>
      <c r="L59" s="304"/>
      <c r="M59" s="304"/>
    </row>
    <row r="60" spans="2:13">
      <c r="B60" s="407"/>
      <c r="C60" s="215"/>
      <c r="D60" s="215"/>
      <c r="E60" s="303"/>
      <c r="F60" s="215"/>
      <c r="G60" s="215"/>
      <c r="J60" s="306"/>
      <c r="K60" s="410"/>
      <c r="L60" s="304"/>
      <c r="M60" s="304"/>
    </row>
    <row r="61" spans="2:13">
      <c r="C61" s="304"/>
      <c r="D61" s="304"/>
      <c r="E61" s="304"/>
      <c r="F61" s="304"/>
      <c r="G61" s="304"/>
      <c r="K61" s="304"/>
      <c r="L61" s="304"/>
      <c r="M61" s="304"/>
    </row>
    <row r="62" spans="2:13">
      <c r="C62" s="311"/>
      <c r="D62" s="311"/>
      <c r="E62" s="311"/>
      <c r="F62" s="311"/>
      <c r="G62" s="311"/>
      <c r="H62" s="408"/>
      <c r="I62" s="311"/>
      <c r="J62" s="311"/>
      <c r="K62" s="304"/>
      <c r="L62" s="304"/>
      <c r="M62" s="304"/>
    </row>
    <row r="65" spans="2:11">
      <c r="B65" s="357"/>
    </row>
    <row r="66" spans="2:11">
      <c r="B66" s="322"/>
    </row>
    <row r="68" spans="2:11">
      <c r="C68" s="403"/>
      <c r="D68" s="403"/>
      <c r="E68" s="403"/>
      <c r="F68" s="403"/>
      <c r="H68" s="415"/>
      <c r="I68" s="403"/>
      <c r="J68" s="403"/>
    </row>
    <row r="69" spans="2:11">
      <c r="C69" s="403"/>
      <c r="D69" s="416"/>
      <c r="E69" s="403"/>
      <c r="F69" s="416"/>
    </row>
    <row r="70" spans="2:11">
      <c r="B70" s="405"/>
      <c r="C70" s="303"/>
      <c r="D70" s="410"/>
      <c r="E70" s="417"/>
      <c r="F70" s="417"/>
      <c r="H70" s="418"/>
    </row>
    <row r="71" spans="2:11">
      <c r="B71" s="407"/>
      <c r="C71" s="302"/>
      <c r="D71" s="410"/>
      <c r="E71" s="303"/>
      <c r="F71" s="410"/>
      <c r="H71" s="419"/>
      <c r="I71" s="420"/>
      <c r="J71" s="420"/>
      <c r="K71" s="359"/>
    </row>
    <row r="72" spans="2:11">
      <c r="B72" s="407"/>
      <c r="C72" s="302"/>
      <c r="D72" s="410"/>
      <c r="E72" s="303"/>
      <c r="F72" s="410"/>
      <c r="H72" s="419"/>
      <c r="I72" s="420"/>
      <c r="J72" s="420"/>
      <c r="K72" s="359"/>
    </row>
    <row r="73" spans="2:11">
      <c r="C73" s="302"/>
      <c r="D73" s="410"/>
      <c r="E73" s="302"/>
      <c r="F73" s="410"/>
      <c r="H73" s="419"/>
      <c r="I73" s="420"/>
      <c r="J73" s="420"/>
      <c r="K73" s="359"/>
    </row>
    <row r="74" spans="2:11">
      <c r="B74" s="405"/>
      <c r="C74" s="303"/>
      <c r="D74" s="410"/>
      <c r="E74" s="303"/>
      <c r="F74" s="410"/>
      <c r="H74" s="418"/>
      <c r="I74" s="395"/>
      <c r="J74" s="395"/>
    </row>
    <row r="75" spans="2:11">
      <c r="B75" s="407"/>
      <c r="C75" s="302"/>
      <c r="D75" s="417"/>
      <c r="E75" s="303"/>
      <c r="F75" s="410"/>
      <c r="H75" s="419"/>
      <c r="I75" s="420"/>
      <c r="J75" s="420"/>
      <c r="K75" s="359"/>
    </row>
    <row r="76" spans="2:11">
      <c r="B76" s="407"/>
      <c r="C76" s="302"/>
      <c r="D76" s="417"/>
      <c r="E76" s="303"/>
      <c r="F76" s="410"/>
    </row>
    <row r="77" spans="2:11">
      <c r="C77" s="311"/>
      <c r="D77" s="417"/>
      <c r="E77" s="311"/>
      <c r="F77" s="417"/>
    </row>
    <row r="78" spans="2:11">
      <c r="C78" s="311"/>
      <c r="D78" s="417"/>
      <c r="E78" s="311"/>
      <c r="F78" s="417"/>
    </row>
    <row r="79" spans="2:11">
      <c r="C79" s="311"/>
      <c r="D79" s="417"/>
      <c r="E79" s="311"/>
      <c r="F79" s="417"/>
    </row>
    <row r="80" spans="2:11">
      <c r="C80" s="304"/>
      <c r="E80" s="304"/>
    </row>
    <row r="81" spans="1:13">
      <c r="A81" s="421"/>
      <c r="B81" s="398"/>
      <c r="C81" s="304"/>
      <c r="E81" s="304"/>
    </row>
    <row r="82" spans="1:13">
      <c r="A82" s="421"/>
      <c r="B82" s="322"/>
    </row>
    <row r="84" spans="1:13">
      <c r="B84" s="357"/>
    </row>
    <row r="85" spans="1:13">
      <c r="B85" s="322"/>
    </row>
    <row r="86" spans="1:13">
      <c r="B86" s="357"/>
    </row>
    <row r="87" spans="1:13">
      <c r="C87" s="403"/>
      <c r="D87" s="403"/>
      <c r="E87" s="403"/>
      <c r="F87" s="403"/>
      <c r="G87" s="403"/>
      <c r="H87" s="404"/>
      <c r="I87" s="403"/>
      <c r="J87" s="403"/>
    </row>
    <row r="88" spans="1:13">
      <c r="C88" s="421"/>
      <c r="D88" s="421"/>
      <c r="E88" s="421"/>
      <c r="F88" s="422"/>
      <c r="G88" s="422"/>
      <c r="H88" s="423"/>
      <c r="I88" s="422"/>
      <c r="J88" s="422"/>
    </row>
    <row r="89" spans="1:13">
      <c r="B89" s="405"/>
      <c r="C89" s="421"/>
      <c r="D89" s="421"/>
      <c r="E89" s="421"/>
      <c r="F89" s="422"/>
      <c r="G89" s="422"/>
      <c r="H89" s="423"/>
      <c r="I89" s="422"/>
      <c r="J89" s="422"/>
      <c r="L89" s="304"/>
      <c r="M89" s="304"/>
    </row>
    <row r="90" spans="1:13">
      <c r="B90" s="407"/>
      <c r="C90" s="421"/>
      <c r="D90" s="421"/>
      <c r="E90" s="422"/>
      <c r="F90" s="421"/>
      <c r="G90" s="422"/>
      <c r="H90" s="423"/>
      <c r="I90" s="422"/>
      <c r="J90" s="421"/>
      <c r="L90" s="304"/>
      <c r="M90" s="304"/>
    </row>
    <row r="91" spans="1:13">
      <c r="B91" s="407"/>
      <c r="C91" s="421"/>
      <c r="D91" s="421"/>
      <c r="E91" s="422"/>
      <c r="F91" s="421"/>
      <c r="G91" s="421"/>
      <c r="H91" s="424"/>
      <c r="I91" s="421"/>
      <c r="J91" s="421"/>
      <c r="L91" s="304"/>
      <c r="M91" s="304"/>
    </row>
    <row r="92" spans="1:13">
      <c r="B92" s="411"/>
      <c r="C92" s="421"/>
      <c r="D92" s="421"/>
      <c r="E92" s="421"/>
      <c r="F92" s="421"/>
      <c r="G92" s="421"/>
      <c r="H92" s="424"/>
      <c r="I92" s="421"/>
      <c r="J92" s="421"/>
      <c r="L92" s="304"/>
      <c r="M92" s="304"/>
    </row>
    <row r="93" spans="1:13">
      <c r="B93" s="414"/>
      <c r="C93" s="422"/>
      <c r="D93" s="422"/>
      <c r="E93" s="421"/>
      <c r="F93" s="421"/>
      <c r="G93" s="421"/>
      <c r="H93" s="424"/>
      <c r="I93" s="421"/>
      <c r="J93" s="421"/>
      <c r="L93" s="304"/>
      <c r="M93" s="304"/>
    </row>
    <row r="94" spans="1:13">
      <c r="B94" s="414"/>
      <c r="C94" s="422"/>
      <c r="D94" s="422"/>
      <c r="E94" s="421"/>
      <c r="F94" s="421"/>
      <c r="G94" s="421"/>
      <c r="H94" s="424"/>
      <c r="I94" s="421"/>
      <c r="J94" s="421"/>
      <c r="L94" s="304"/>
      <c r="M94" s="304"/>
    </row>
    <row r="95" spans="1:13">
      <c r="C95" s="422"/>
      <c r="D95" s="422"/>
      <c r="E95" s="421"/>
      <c r="F95" s="421"/>
      <c r="G95" s="421"/>
      <c r="H95" s="424"/>
      <c r="I95" s="421"/>
      <c r="J95" s="421"/>
      <c r="L95" s="304"/>
      <c r="M95" s="304"/>
    </row>
    <row r="96" spans="1:13">
      <c r="B96" s="405"/>
      <c r="C96" s="422"/>
      <c r="D96" s="422"/>
      <c r="E96" s="421"/>
      <c r="F96" s="422"/>
      <c r="G96" s="422"/>
      <c r="H96" s="423"/>
      <c r="I96" s="422"/>
      <c r="J96" s="422"/>
      <c r="L96" s="304"/>
      <c r="M96" s="304"/>
    </row>
    <row r="97" spans="2:13">
      <c r="B97" s="407"/>
      <c r="C97" s="421"/>
      <c r="D97" s="421"/>
      <c r="E97" s="422"/>
      <c r="F97" s="421"/>
      <c r="G97" s="421"/>
      <c r="H97" s="424"/>
      <c r="I97" s="421"/>
      <c r="J97" s="421"/>
      <c r="L97" s="304"/>
      <c r="M97" s="304"/>
    </row>
    <row r="98" spans="2:13">
      <c r="B98" s="407"/>
      <c r="C98" s="421"/>
      <c r="D98" s="421"/>
      <c r="E98" s="422"/>
      <c r="F98" s="421"/>
      <c r="G98" s="421"/>
      <c r="H98" s="424"/>
      <c r="I98" s="421"/>
      <c r="J98" s="421"/>
      <c r="L98" s="304"/>
      <c r="M98" s="304"/>
    </row>
    <row r="99" spans="2:13">
      <c r="C99" s="421"/>
      <c r="D99" s="421"/>
      <c r="E99" s="422"/>
      <c r="F99" s="421"/>
      <c r="G99" s="421"/>
      <c r="H99" s="424"/>
      <c r="I99" s="421"/>
      <c r="J99" s="421"/>
      <c r="L99" s="304"/>
      <c r="M99" s="304"/>
    </row>
    <row r="102" spans="2:13">
      <c r="B102" s="357"/>
    </row>
    <row r="103" spans="2:13">
      <c r="B103" s="322"/>
    </row>
    <row r="105" spans="2:13">
      <c r="C105" s="403"/>
      <c r="D105" s="403"/>
      <c r="E105" s="403"/>
      <c r="F105" s="403"/>
      <c r="H105" s="415"/>
      <c r="I105" s="403"/>
      <c r="J105" s="403"/>
    </row>
    <row r="106" spans="2:13">
      <c r="F106" s="416"/>
    </row>
    <row r="107" spans="2:13">
      <c r="B107" s="405"/>
      <c r="C107" s="422"/>
      <c r="D107" s="422"/>
      <c r="E107" s="422"/>
      <c r="F107" s="417"/>
      <c r="H107" s="418"/>
    </row>
    <row r="108" spans="2:13">
      <c r="B108" s="407"/>
      <c r="C108" s="422"/>
      <c r="D108" s="422"/>
      <c r="E108" s="422"/>
      <c r="F108" s="410"/>
      <c r="H108" s="419"/>
      <c r="I108" s="425"/>
      <c r="J108" s="425"/>
      <c r="K108" s="359"/>
    </row>
    <row r="109" spans="2:13">
      <c r="B109" s="407"/>
      <c r="C109" s="422"/>
      <c r="D109" s="422"/>
      <c r="E109" s="422"/>
      <c r="F109" s="410"/>
      <c r="H109" s="419"/>
      <c r="I109" s="425"/>
      <c r="J109" s="425"/>
      <c r="K109" s="359"/>
    </row>
    <row r="110" spans="2:13">
      <c r="C110" s="422"/>
      <c r="D110" s="422"/>
      <c r="E110" s="422"/>
      <c r="F110" s="410"/>
      <c r="H110" s="419"/>
      <c r="I110" s="420"/>
      <c r="J110" s="420"/>
      <c r="K110" s="359"/>
    </row>
    <row r="111" spans="2:13">
      <c r="B111" s="405"/>
      <c r="C111" s="422"/>
      <c r="D111" s="422"/>
      <c r="E111" s="422"/>
      <c r="F111" s="410"/>
      <c r="H111" s="418"/>
      <c r="I111" s="395"/>
      <c r="J111" s="395"/>
    </row>
    <row r="112" spans="2:13">
      <c r="B112" s="407"/>
      <c r="C112" s="422"/>
      <c r="D112" s="422"/>
      <c r="E112" s="422"/>
      <c r="F112" s="410"/>
      <c r="H112" s="419"/>
      <c r="I112" s="425"/>
      <c r="J112" s="425"/>
      <c r="K112" s="359"/>
    </row>
    <row r="113" spans="1:12">
      <c r="B113" s="407"/>
      <c r="C113" s="422"/>
      <c r="D113" s="422"/>
      <c r="E113" s="422"/>
      <c r="F113" s="410"/>
    </row>
    <row r="114" spans="1:12">
      <c r="C114" s="311"/>
      <c r="D114" s="417"/>
      <c r="E114" s="311"/>
      <c r="F114" s="417"/>
    </row>
    <row r="115" spans="1:12">
      <c r="C115" s="311"/>
      <c r="D115" s="417"/>
      <c r="E115" s="311"/>
      <c r="F115" s="417"/>
    </row>
    <row r="117" spans="1:12">
      <c r="A117" s="421"/>
      <c r="B117" s="357"/>
      <c r="C117" s="304"/>
      <c r="E117" s="304"/>
    </row>
    <row r="118" spans="1:12">
      <c r="C118" s="304"/>
      <c r="E118" s="304"/>
    </row>
    <row r="119" spans="1:12">
      <c r="C119" s="403"/>
      <c r="D119" s="403"/>
      <c r="E119" s="403"/>
      <c r="F119" s="403"/>
      <c r="G119" s="403"/>
      <c r="H119" s="404"/>
      <c r="I119" s="403"/>
      <c r="J119" s="403"/>
    </row>
    <row r="121" spans="1:12">
      <c r="B121" s="384"/>
      <c r="C121" s="401"/>
      <c r="D121" s="401"/>
      <c r="E121" s="426"/>
      <c r="F121" s="401"/>
      <c r="G121" s="390"/>
      <c r="H121" s="427"/>
      <c r="I121" s="401"/>
      <c r="J121" s="401"/>
    </row>
    <row r="122" spans="1:12" ht="15.25">
      <c r="B122" s="384"/>
      <c r="C122" s="393"/>
      <c r="D122" s="393"/>
      <c r="E122" s="393"/>
      <c r="F122" s="393"/>
      <c r="G122" s="393"/>
      <c r="H122" s="428"/>
      <c r="I122" s="393"/>
      <c r="J122" s="393"/>
    </row>
    <row r="123" spans="1:12">
      <c r="B123" s="384"/>
      <c r="C123" s="392"/>
      <c r="D123" s="392"/>
      <c r="E123" s="392"/>
      <c r="F123" s="392"/>
      <c r="G123" s="392"/>
      <c r="H123" s="429"/>
      <c r="I123" s="392"/>
      <c r="J123" s="392"/>
    </row>
    <row r="124" spans="1:12">
      <c r="B124" s="384"/>
      <c r="C124" s="392"/>
      <c r="D124" s="392"/>
      <c r="E124" s="392"/>
      <c r="F124" s="392"/>
      <c r="G124" s="392"/>
      <c r="H124" s="429"/>
      <c r="I124" s="392"/>
      <c r="J124" s="392"/>
      <c r="K124" s="392"/>
      <c r="L124" s="392"/>
    </row>
    <row r="125" spans="1:12">
      <c r="B125" s="384"/>
      <c r="C125" s="392"/>
      <c r="D125" s="392"/>
      <c r="E125" s="392"/>
      <c r="F125" s="392"/>
      <c r="G125" s="392"/>
      <c r="H125" s="429"/>
      <c r="I125" s="392"/>
      <c r="J125" s="392"/>
      <c r="K125" s="392"/>
      <c r="L125" s="392"/>
    </row>
    <row r="126" spans="1:12">
      <c r="B126" s="384"/>
      <c r="C126" s="403"/>
      <c r="D126" s="403"/>
      <c r="F126" s="403"/>
      <c r="G126" s="403"/>
      <c r="H126" s="429"/>
      <c r="I126" s="392"/>
      <c r="J126" s="392"/>
      <c r="K126" s="392"/>
      <c r="L126" s="392"/>
    </row>
    <row r="127" spans="1:12">
      <c r="B127" s="384"/>
      <c r="C127" s="403"/>
      <c r="D127" s="403"/>
      <c r="F127" s="403"/>
      <c r="G127" s="403"/>
      <c r="H127" s="429"/>
      <c r="I127" s="392"/>
      <c r="J127" s="392"/>
      <c r="K127" s="392"/>
      <c r="L127" s="392"/>
    </row>
    <row r="128" spans="1:12">
      <c r="B128" s="384"/>
      <c r="G128" s="392"/>
      <c r="H128" s="429"/>
      <c r="I128" s="392"/>
      <c r="J128" s="392"/>
      <c r="K128" s="392"/>
      <c r="L128" s="392"/>
    </row>
    <row r="129" spans="2:12">
      <c r="B129" s="384"/>
      <c r="C129" s="426"/>
      <c r="D129" s="426"/>
      <c r="F129" s="426"/>
      <c r="G129" s="430"/>
      <c r="H129" s="429"/>
      <c r="I129" s="392"/>
      <c r="J129" s="392"/>
      <c r="K129" s="392"/>
      <c r="L129" s="392"/>
    </row>
    <row r="130" spans="2:12" ht="15.25">
      <c r="B130" s="384"/>
      <c r="C130" s="431"/>
      <c r="D130" s="431"/>
      <c r="F130" s="431"/>
      <c r="G130" s="431"/>
      <c r="H130" s="429"/>
      <c r="I130" s="392"/>
      <c r="J130" s="392"/>
      <c r="K130" s="392"/>
      <c r="L130" s="392"/>
    </row>
    <row r="131" spans="2:12">
      <c r="B131" s="384"/>
      <c r="C131" s="392"/>
      <c r="D131" s="392"/>
      <c r="F131" s="392"/>
      <c r="G131" s="392"/>
      <c r="H131" s="429"/>
      <c r="I131" s="392"/>
      <c r="J131" s="392"/>
      <c r="K131" s="392"/>
      <c r="L131" s="392"/>
    </row>
    <row r="132" spans="2:12">
      <c r="B132" s="384"/>
      <c r="C132" s="392"/>
      <c r="F132" s="392"/>
      <c r="G132" s="392"/>
      <c r="H132" s="429"/>
      <c r="I132" s="392"/>
      <c r="J132" s="392"/>
      <c r="K132" s="392"/>
      <c r="L132" s="392"/>
    </row>
    <row r="133" spans="2:12">
      <c r="B133" s="384"/>
      <c r="C133" s="392"/>
      <c r="D133" s="392"/>
      <c r="E133" s="392"/>
      <c r="F133" s="392"/>
      <c r="G133" s="392"/>
      <c r="H133" s="429"/>
      <c r="I133" s="392"/>
      <c r="J133" s="392"/>
      <c r="K133" s="392"/>
      <c r="L133" s="392"/>
    </row>
    <row r="134" spans="2:12">
      <c r="B134" s="384"/>
      <c r="C134" s="403"/>
      <c r="D134" s="403"/>
      <c r="E134" s="403"/>
      <c r="F134" s="392"/>
      <c r="G134" s="392"/>
      <c r="H134" s="429"/>
      <c r="I134" s="392"/>
      <c r="J134" s="392"/>
      <c r="K134" s="392"/>
      <c r="L134" s="392"/>
    </row>
    <row r="135" spans="2:12">
      <c r="B135" s="384"/>
      <c r="C135" s="392"/>
      <c r="D135" s="392"/>
      <c r="E135" s="432"/>
      <c r="F135" s="392"/>
      <c r="G135" s="392"/>
      <c r="H135" s="429"/>
      <c r="I135" s="392"/>
      <c r="J135" s="392"/>
      <c r="K135" s="392"/>
      <c r="L135" s="392"/>
    </row>
    <row r="136" spans="2:12" ht="15.25">
      <c r="B136" s="384"/>
      <c r="C136" s="400"/>
      <c r="D136" s="400"/>
      <c r="E136" s="400"/>
    </row>
    <row r="137" spans="2:12">
      <c r="B137" s="384"/>
      <c r="C137" s="392"/>
      <c r="D137" s="392"/>
      <c r="E137" s="433"/>
    </row>
    <row r="138" spans="2:12">
      <c r="B138" s="384"/>
      <c r="C138" s="304"/>
      <c r="E138" s="304"/>
    </row>
    <row r="139" spans="2:12">
      <c r="C139" s="403"/>
      <c r="D139" s="403"/>
      <c r="E139" s="403"/>
      <c r="F139" s="403"/>
      <c r="G139" s="403"/>
      <c r="H139" s="404"/>
      <c r="I139" s="403"/>
      <c r="J139" s="403"/>
      <c r="K139" s="403"/>
      <c r="L139" s="403"/>
    </row>
    <row r="141" spans="2:12">
      <c r="B141" s="384"/>
      <c r="C141" s="392"/>
    </row>
    <row r="142" spans="2:12" ht="15.25">
      <c r="B142" s="384"/>
      <c r="C142" s="400"/>
    </row>
    <row r="143" spans="2:12">
      <c r="B143" s="384"/>
      <c r="C143" s="392"/>
    </row>
    <row r="144" spans="2:12">
      <c r="C144" s="304"/>
    </row>
    <row r="145" spans="1:10">
      <c r="B145" s="414"/>
      <c r="C145" s="384"/>
    </row>
    <row r="146" spans="1:10">
      <c r="B146" s="384"/>
      <c r="C146" s="392"/>
    </row>
    <row r="147" spans="1:10" ht="15.25">
      <c r="B147" s="384"/>
      <c r="C147" s="400"/>
    </row>
    <row r="148" spans="1:10">
      <c r="B148" s="384"/>
      <c r="C148" s="392"/>
    </row>
    <row r="153" spans="1:10">
      <c r="A153" s="421"/>
      <c r="B153" s="398"/>
      <c r="C153" s="304"/>
      <c r="E153" s="304"/>
    </row>
    <row r="154" spans="1:10">
      <c r="B154" s="322"/>
    </row>
    <row r="156" spans="1:10">
      <c r="B156" s="357"/>
    </row>
    <row r="157" spans="1:10">
      <c r="B157" s="322"/>
    </row>
    <row r="158" spans="1:10">
      <c r="B158" s="357"/>
    </row>
    <row r="159" spans="1:10">
      <c r="C159" s="403"/>
      <c r="D159" s="403"/>
      <c r="E159" s="403"/>
      <c r="F159" s="403"/>
      <c r="G159" s="403"/>
      <c r="H159" s="404"/>
      <c r="I159" s="403"/>
      <c r="J159" s="403"/>
    </row>
    <row r="160" spans="1:10">
      <c r="C160" s="421"/>
      <c r="D160" s="421"/>
      <c r="E160" s="421"/>
      <c r="F160" s="422"/>
      <c r="G160" s="422"/>
      <c r="H160" s="423"/>
      <c r="I160" s="422"/>
      <c r="J160" s="422"/>
    </row>
    <row r="161" spans="2:10">
      <c r="B161" s="405"/>
      <c r="C161" s="421"/>
      <c r="D161" s="421"/>
      <c r="E161" s="421"/>
      <c r="F161" s="422"/>
      <c r="G161" s="422"/>
      <c r="H161" s="423"/>
      <c r="I161" s="422"/>
      <c r="J161" s="422"/>
    </row>
    <row r="162" spans="2:10">
      <c r="B162" s="407"/>
      <c r="C162" s="421"/>
      <c r="D162" s="421"/>
      <c r="E162" s="422"/>
      <c r="G162" s="422"/>
      <c r="H162" s="423"/>
      <c r="I162" s="422"/>
      <c r="J162" s="421"/>
    </row>
    <row r="163" spans="2:10">
      <c r="B163" s="407"/>
      <c r="C163" s="421"/>
      <c r="D163" s="421"/>
      <c r="E163" s="422"/>
      <c r="F163" s="421"/>
      <c r="G163" s="421"/>
      <c r="H163" s="424"/>
      <c r="I163" s="421"/>
      <c r="J163" s="421"/>
    </row>
    <row r="164" spans="2:10">
      <c r="B164" s="411"/>
      <c r="C164" s="421"/>
      <c r="D164" s="421"/>
      <c r="E164" s="421"/>
      <c r="F164" s="421"/>
      <c r="G164" s="421"/>
      <c r="H164" s="424"/>
      <c r="I164" s="421"/>
      <c r="J164" s="421"/>
    </row>
    <row r="165" spans="2:10">
      <c r="B165" s="414"/>
      <c r="C165" s="422"/>
      <c r="D165" s="422"/>
      <c r="E165" s="421"/>
      <c r="F165" s="421"/>
      <c r="G165" s="421"/>
      <c r="H165" s="424"/>
      <c r="I165" s="421"/>
      <c r="J165" s="421"/>
    </row>
    <row r="166" spans="2:10">
      <c r="B166" s="414"/>
      <c r="C166" s="422"/>
      <c r="D166" s="422"/>
      <c r="E166" s="421"/>
      <c r="F166" s="421"/>
      <c r="G166" s="421"/>
      <c r="H166" s="424"/>
      <c r="I166" s="421"/>
      <c r="J166" s="421"/>
    </row>
    <row r="167" spans="2:10">
      <c r="C167" s="422"/>
      <c r="D167" s="422"/>
      <c r="E167" s="421"/>
      <c r="F167" s="421"/>
      <c r="G167" s="421"/>
      <c r="H167" s="424"/>
      <c r="I167" s="421"/>
      <c r="J167" s="421"/>
    </row>
    <row r="168" spans="2:10">
      <c r="B168" s="405"/>
      <c r="C168" s="422"/>
      <c r="D168" s="422"/>
      <c r="E168" s="421"/>
      <c r="F168" s="422"/>
      <c r="G168" s="422"/>
      <c r="H168" s="423"/>
      <c r="I168" s="422"/>
      <c r="J168" s="422"/>
    </row>
    <row r="169" spans="2:10">
      <c r="B169" s="407"/>
      <c r="C169" s="421"/>
      <c r="D169" s="421"/>
      <c r="E169" s="422"/>
      <c r="F169" s="421"/>
      <c r="G169" s="421"/>
      <c r="H169" s="424"/>
      <c r="I169" s="421"/>
      <c r="J169" s="421"/>
    </row>
    <row r="170" spans="2:10">
      <c r="B170" s="407"/>
      <c r="C170" s="421"/>
      <c r="D170" s="421"/>
      <c r="E170" s="422"/>
      <c r="F170" s="421"/>
      <c r="G170" s="421"/>
      <c r="H170" s="424"/>
      <c r="I170" s="421"/>
      <c r="J170" s="421"/>
    </row>
    <row r="171" spans="2:10">
      <c r="C171" s="421"/>
      <c r="D171" s="421"/>
      <c r="E171" s="422"/>
      <c r="F171" s="421"/>
      <c r="G171" s="421"/>
      <c r="H171" s="424"/>
      <c r="I171" s="421"/>
      <c r="J171" s="421"/>
    </row>
    <row r="174" spans="2:10">
      <c r="B174" s="357"/>
    </row>
    <row r="175" spans="2:10">
      <c r="B175" s="322"/>
    </row>
    <row r="177" spans="1:12">
      <c r="C177" s="403"/>
      <c r="D177" s="403"/>
      <c r="E177" s="403"/>
      <c r="F177" s="403"/>
      <c r="H177" s="415"/>
      <c r="I177" s="403"/>
      <c r="J177" s="403"/>
    </row>
    <row r="178" spans="1:12">
      <c r="F178" s="416"/>
    </row>
    <row r="179" spans="1:12">
      <c r="B179" s="405"/>
      <c r="C179" s="422"/>
      <c r="D179" s="422"/>
      <c r="E179" s="422"/>
      <c r="F179" s="417"/>
      <c r="H179" s="418"/>
    </row>
    <row r="180" spans="1:12">
      <c r="B180" s="407"/>
      <c r="C180" s="422"/>
      <c r="D180" s="422"/>
      <c r="E180" s="422"/>
      <c r="F180" s="410"/>
      <c r="H180" s="419"/>
      <c r="I180" s="434"/>
      <c r="J180" s="434"/>
    </row>
    <row r="181" spans="1:12">
      <c r="B181" s="407"/>
      <c r="C181" s="422"/>
      <c r="D181" s="422"/>
      <c r="E181" s="422"/>
      <c r="F181" s="410"/>
      <c r="H181" s="419"/>
      <c r="I181" s="434"/>
      <c r="J181" s="434"/>
    </row>
    <row r="182" spans="1:12">
      <c r="C182" s="422"/>
      <c r="D182" s="422"/>
      <c r="E182" s="422"/>
      <c r="F182" s="410"/>
      <c r="H182" s="419"/>
      <c r="I182" s="420"/>
      <c r="J182" s="420"/>
    </row>
    <row r="183" spans="1:12">
      <c r="B183" s="405"/>
      <c r="C183" s="422"/>
      <c r="D183" s="422"/>
      <c r="E183" s="422"/>
      <c r="F183" s="410"/>
      <c r="H183" s="418"/>
      <c r="I183" s="395"/>
      <c r="J183" s="395"/>
    </row>
    <row r="184" spans="1:12">
      <c r="B184" s="407"/>
      <c r="C184" s="422"/>
      <c r="D184" s="422"/>
      <c r="E184" s="422"/>
      <c r="F184" s="410"/>
      <c r="H184" s="419"/>
      <c r="I184" s="434"/>
      <c r="J184" s="434"/>
    </row>
    <row r="185" spans="1:12">
      <c r="B185" s="407"/>
      <c r="C185" s="422"/>
      <c r="D185" s="422"/>
      <c r="E185" s="422"/>
      <c r="F185" s="410"/>
    </row>
    <row r="189" spans="1:12">
      <c r="A189" s="421"/>
      <c r="B189" s="357"/>
      <c r="C189" s="304"/>
      <c r="E189" s="304"/>
    </row>
    <row r="190" spans="1:12">
      <c r="C190" s="304"/>
      <c r="E190" s="304"/>
    </row>
    <row r="191" spans="1:12">
      <c r="C191" s="403"/>
      <c r="D191" s="403"/>
      <c r="E191" s="403"/>
      <c r="F191" s="403"/>
      <c r="G191" s="403"/>
      <c r="H191" s="404"/>
      <c r="I191" s="403"/>
      <c r="J191" s="403"/>
      <c r="K191" s="403"/>
      <c r="L191" s="403"/>
    </row>
    <row r="193" spans="2:12">
      <c r="B193" s="384"/>
      <c r="C193" s="401"/>
      <c r="D193" s="401"/>
      <c r="E193" s="426"/>
      <c r="F193" s="401"/>
      <c r="G193" s="390"/>
      <c r="H193" s="427"/>
      <c r="I193" s="401"/>
      <c r="J193" s="401"/>
      <c r="K193" s="426"/>
      <c r="L193" s="426"/>
    </row>
    <row r="194" spans="2:12" ht="15.25">
      <c r="B194" s="384"/>
      <c r="C194" s="393"/>
      <c r="D194" s="393"/>
      <c r="E194" s="393"/>
      <c r="F194" s="393"/>
      <c r="G194" s="393"/>
      <c r="H194" s="428"/>
      <c r="I194" s="393"/>
      <c r="J194" s="393"/>
      <c r="K194" s="431"/>
      <c r="L194" s="431"/>
    </row>
    <row r="195" spans="2:12">
      <c r="B195" s="384"/>
      <c r="C195" s="392"/>
      <c r="D195" s="392"/>
      <c r="E195" s="392"/>
      <c r="F195" s="392"/>
      <c r="G195" s="392"/>
      <c r="H195" s="429"/>
      <c r="I195" s="392"/>
      <c r="J195" s="392"/>
      <c r="K195" s="392"/>
      <c r="L195" s="392"/>
    </row>
    <row r="196" spans="2:12">
      <c r="B196" s="384"/>
      <c r="C196" s="392"/>
      <c r="D196" s="392"/>
      <c r="E196" s="392"/>
      <c r="F196" s="392"/>
      <c r="G196" s="392"/>
      <c r="H196" s="429"/>
      <c r="I196" s="392"/>
      <c r="J196" s="392"/>
      <c r="K196" s="392"/>
      <c r="L196" s="392"/>
    </row>
    <row r="197" spans="2:12">
      <c r="B197" s="384"/>
      <c r="C197" s="392"/>
      <c r="D197" s="392"/>
      <c r="E197" s="392"/>
      <c r="F197" s="392"/>
      <c r="G197" s="392"/>
      <c r="H197" s="429"/>
      <c r="I197" s="392"/>
      <c r="J197" s="392"/>
      <c r="K197" s="392"/>
      <c r="L197" s="392"/>
    </row>
    <row r="198" spans="2:12" ht="15.25">
      <c r="B198" s="384"/>
      <c r="C198" s="400"/>
      <c r="E198" s="304"/>
    </row>
    <row r="199" spans="2:12">
      <c r="B199" s="384"/>
      <c r="C199" s="392"/>
      <c r="E199" s="304"/>
    </row>
    <row r="200" spans="2:12">
      <c r="B200" s="384"/>
      <c r="C200" s="304"/>
      <c r="E200" s="304"/>
    </row>
    <row r="201" spans="2:12">
      <c r="C201" s="403"/>
      <c r="D201" s="403"/>
      <c r="E201" s="403"/>
      <c r="F201" s="403"/>
      <c r="G201" s="403"/>
      <c r="H201" s="404"/>
      <c r="I201" s="403"/>
      <c r="J201" s="403"/>
      <c r="K201" s="403"/>
      <c r="L201" s="403"/>
    </row>
    <row r="203" spans="2:12">
      <c r="B203" s="384"/>
      <c r="C203" s="392"/>
    </row>
    <row r="204" spans="2:12" ht="15.25">
      <c r="B204" s="384"/>
      <c r="C204" s="400"/>
    </row>
    <row r="205" spans="2:12">
      <c r="B205" s="384"/>
      <c r="C205" s="392"/>
      <c r="D205" s="392"/>
      <c r="G205" s="384"/>
    </row>
    <row r="206" spans="2:12">
      <c r="C206" s="304"/>
      <c r="E206" s="304"/>
      <c r="G206" s="384"/>
    </row>
    <row r="207" spans="2:12">
      <c r="B207" s="414"/>
      <c r="C207" s="392"/>
      <c r="E207" s="435"/>
      <c r="G207" s="435"/>
    </row>
    <row r="208" spans="2:12">
      <c r="B208" s="384"/>
      <c r="C208" s="392"/>
      <c r="E208" s="348"/>
    </row>
    <row r="209" spans="1:10" ht="15.25">
      <c r="B209" s="384"/>
      <c r="C209" s="400"/>
      <c r="E209" s="353"/>
    </row>
    <row r="210" spans="1:10">
      <c r="B210" s="384"/>
      <c r="C210" s="392"/>
      <c r="E210" s="348"/>
    </row>
    <row r="212" spans="1:10">
      <c r="C212" s="436"/>
    </row>
    <row r="213" spans="1:10" outlineLevel="1">
      <c r="A213" s="357"/>
    </row>
    <row r="214" spans="1:10" outlineLevel="1">
      <c r="A214" s="421"/>
      <c r="B214" s="398"/>
      <c r="C214" s="304"/>
      <c r="E214" s="304"/>
    </row>
    <row r="215" spans="1:10" outlineLevel="1">
      <c r="B215" s="322"/>
    </row>
    <row r="216" spans="1:10" outlineLevel="1">
      <c r="A216" s="421"/>
    </row>
    <row r="217" spans="1:10" outlineLevel="1">
      <c r="B217" s="357"/>
    </row>
    <row r="218" spans="1:10" outlineLevel="1">
      <c r="B218" s="322"/>
    </row>
    <row r="219" spans="1:10" outlineLevel="1">
      <c r="B219" s="357"/>
    </row>
    <row r="220" spans="1:10" outlineLevel="1">
      <c r="C220" s="403"/>
      <c r="D220" s="403"/>
      <c r="E220" s="403"/>
      <c r="F220" s="403"/>
      <c r="G220" s="403"/>
      <c r="H220" s="404"/>
      <c r="I220" s="403"/>
      <c r="J220" s="403"/>
    </row>
    <row r="221" spans="1:10" outlineLevel="1">
      <c r="C221" s="421"/>
      <c r="D221" s="421"/>
      <c r="E221" s="421"/>
      <c r="F221" s="422"/>
      <c r="G221" s="422"/>
      <c r="H221" s="423"/>
      <c r="I221" s="422"/>
      <c r="J221" s="422"/>
    </row>
    <row r="222" spans="1:10" outlineLevel="1">
      <c r="B222" s="405"/>
      <c r="C222" s="421"/>
      <c r="D222" s="421"/>
      <c r="E222" s="421"/>
      <c r="F222" s="422"/>
      <c r="G222" s="422"/>
      <c r="H222" s="423"/>
      <c r="I222" s="422"/>
      <c r="J222" s="422"/>
    </row>
    <row r="223" spans="1:10" outlineLevel="1">
      <c r="B223" s="407"/>
      <c r="C223" s="421"/>
      <c r="D223" s="421"/>
      <c r="E223" s="422"/>
    </row>
    <row r="224" spans="1:10" outlineLevel="1">
      <c r="B224" s="407"/>
      <c r="C224" s="421"/>
      <c r="D224" s="421"/>
      <c r="E224" s="422"/>
      <c r="F224" s="421"/>
      <c r="G224" s="421"/>
      <c r="H224" s="424"/>
      <c r="I224" s="421"/>
      <c r="J224" s="421"/>
    </row>
    <row r="225" spans="2:10" outlineLevel="1">
      <c r="B225" s="411"/>
      <c r="C225" s="421"/>
      <c r="D225" s="421"/>
      <c r="E225" s="421"/>
      <c r="F225" s="421"/>
      <c r="G225" s="421"/>
      <c r="H225" s="424"/>
      <c r="I225" s="421"/>
      <c r="J225" s="421"/>
    </row>
    <row r="226" spans="2:10" outlineLevel="1">
      <c r="B226" s="414"/>
      <c r="C226" s="422"/>
      <c r="D226" s="422"/>
      <c r="E226" s="421"/>
      <c r="F226" s="421"/>
      <c r="G226" s="421"/>
      <c r="H226" s="424"/>
      <c r="I226" s="421"/>
      <c r="J226" s="421"/>
    </row>
    <row r="227" spans="2:10" outlineLevel="1">
      <c r="B227" s="414"/>
      <c r="C227" s="422"/>
      <c r="D227" s="422"/>
      <c r="E227" s="421"/>
      <c r="F227" s="421"/>
      <c r="G227" s="421"/>
      <c r="H227" s="424"/>
      <c r="I227" s="421"/>
      <c r="J227" s="421"/>
    </row>
    <row r="228" spans="2:10" outlineLevel="1">
      <c r="C228" s="422"/>
      <c r="D228" s="422"/>
      <c r="E228" s="421"/>
      <c r="F228" s="421"/>
      <c r="G228" s="421"/>
      <c r="H228" s="424"/>
      <c r="I228" s="421"/>
      <c r="J228" s="421"/>
    </row>
    <row r="229" spans="2:10" outlineLevel="1">
      <c r="B229" s="405"/>
      <c r="C229" s="422"/>
      <c r="D229" s="422"/>
      <c r="E229" s="421"/>
      <c r="F229" s="422"/>
      <c r="G229" s="422"/>
      <c r="H229" s="423"/>
      <c r="I229" s="422"/>
      <c r="J229" s="422"/>
    </row>
    <row r="230" spans="2:10" outlineLevel="1">
      <c r="B230" s="407"/>
      <c r="C230" s="421"/>
      <c r="D230" s="421"/>
      <c r="E230" s="422"/>
      <c r="F230" s="421"/>
      <c r="G230" s="421"/>
      <c r="H230" s="424"/>
      <c r="I230" s="421"/>
      <c r="J230" s="421"/>
    </row>
    <row r="231" spans="2:10" outlineLevel="1">
      <c r="B231" s="407"/>
      <c r="C231" s="421"/>
      <c r="D231" s="421"/>
      <c r="E231" s="422"/>
      <c r="F231" s="421"/>
      <c r="G231" s="421"/>
      <c r="H231" s="424"/>
      <c r="I231" s="421"/>
      <c r="J231" s="421"/>
    </row>
    <row r="232" spans="2:10" outlineLevel="1">
      <c r="C232" s="421"/>
      <c r="D232" s="421"/>
      <c r="E232" s="422"/>
      <c r="F232" s="421"/>
      <c r="G232" s="421"/>
      <c r="H232" s="424"/>
      <c r="I232" s="421"/>
      <c r="J232" s="421"/>
    </row>
    <row r="233" spans="2:10" outlineLevel="1"/>
    <row r="234" spans="2:10" outlineLevel="1"/>
    <row r="235" spans="2:10" outlineLevel="1">
      <c r="B235" s="357"/>
    </row>
    <row r="236" spans="2:10" outlineLevel="1">
      <c r="B236" s="322"/>
    </row>
    <row r="237" spans="2:10" outlineLevel="1"/>
    <row r="238" spans="2:10" outlineLevel="1">
      <c r="C238" s="403"/>
      <c r="D238" s="403"/>
      <c r="E238" s="403"/>
      <c r="F238" s="403"/>
      <c r="H238" s="415"/>
      <c r="I238" s="403"/>
      <c r="J238" s="403"/>
    </row>
    <row r="239" spans="2:10" outlineLevel="1">
      <c r="F239" s="416"/>
    </row>
    <row r="240" spans="2:10" outlineLevel="1">
      <c r="B240" s="405"/>
      <c r="C240" s="422"/>
      <c r="D240" s="422"/>
      <c r="E240" s="422"/>
      <c r="F240" s="417"/>
      <c r="H240" s="418"/>
    </row>
    <row r="241" spans="1:12" outlineLevel="1">
      <c r="B241" s="407"/>
      <c r="C241" s="422"/>
      <c r="D241" s="422"/>
      <c r="E241" s="422"/>
      <c r="F241" s="410"/>
      <c r="H241" s="419"/>
      <c r="I241" s="434"/>
      <c r="J241" s="434"/>
    </row>
    <row r="242" spans="1:12" outlineLevel="1">
      <c r="B242" s="407"/>
      <c r="C242" s="422"/>
      <c r="D242" s="422"/>
      <c r="E242" s="422"/>
      <c r="F242" s="410"/>
      <c r="H242" s="419"/>
      <c r="I242" s="434"/>
      <c r="J242" s="434"/>
    </row>
    <row r="243" spans="1:12" outlineLevel="1">
      <c r="C243" s="422"/>
      <c r="D243" s="422"/>
      <c r="E243" s="422"/>
      <c r="F243" s="410"/>
      <c r="H243" s="419"/>
      <c r="I243" s="420"/>
      <c r="J243" s="420"/>
    </row>
    <row r="244" spans="1:12" outlineLevel="1">
      <c r="B244" s="405"/>
      <c r="C244" s="422"/>
      <c r="D244" s="422"/>
      <c r="E244" s="422"/>
      <c r="F244" s="410"/>
      <c r="H244" s="418"/>
      <c r="I244" s="395"/>
      <c r="J244" s="395"/>
    </row>
    <row r="245" spans="1:12" outlineLevel="1">
      <c r="B245" s="407"/>
      <c r="C245" s="422"/>
      <c r="D245" s="422"/>
      <c r="E245" s="422"/>
      <c r="F245" s="410"/>
      <c r="H245" s="419"/>
      <c r="I245" s="434"/>
      <c r="J245" s="434"/>
    </row>
    <row r="246" spans="1:12" outlineLevel="1">
      <c r="B246" s="407"/>
      <c r="C246" s="422"/>
      <c r="D246" s="422"/>
      <c r="E246" s="422"/>
      <c r="F246" s="410"/>
    </row>
    <row r="247" spans="1:12" outlineLevel="1"/>
    <row r="248" spans="1:12" outlineLevel="1"/>
    <row r="249" spans="1:12" outlineLevel="1"/>
    <row r="250" spans="1:12" outlineLevel="1"/>
    <row r="251" spans="1:12" outlineLevel="1">
      <c r="A251" s="421"/>
      <c r="B251" s="357"/>
      <c r="C251" s="304"/>
      <c r="E251" s="304"/>
    </row>
    <row r="252" spans="1:12" outlineLevel="1">
      <c r="C252" s="304"/>
      <c r="E252" s="304"/>
    </row>
    <row r="253" spans="1:12" outlineLevel="1">
      <c r="C253" s="403"/>
      <c r="D253" s="403"/>
      <c r="E253" s="403"/>
      <c r="F253" s="403"/>
      <c r="G253" s="403"/>
      <c r="H253" s="404"/>
      <c r="I253" s="403"/>
      <c r="J253" s="403"/>
      <c r="K253" s="403"/>
      <c r="L253" s="403"/>
    </row>
    <row r="254" spans="1:12" outlineLevel="1"/>
    <row r="255" spans="1:12" outlineLevel="1">
      <c r="B255" s="384"/>
      <c r="C255" s="401"/>
      <c r="D255" s="401"/>
      <c r="E255" s="426"/>
      <c r="F255" s="401"/>
      <c r="G255" s="390"/>
      <c r="H255" s="427"/>
      <c r="I255" s="401"/>
      <c r="J255" s="401"/>
      <c r="K255" s="426"/>
      <c r="L255" s="426"/>
    </row>
    <row r="256" spans="1:12" ht="15.25" outlineLevel="1">
      <c r="B256" s="384"/>
      <c r="C256" s="393"/>
      <c r="D256" s="393"/>
      <c r="E256" s="393"/>
      <c r="F256" s="437"/>
      <c r="G256" s="437"/>
      <c r="H256" s="428"/>
      <c r="I256" s="437"/>
      <c r="J256" s="437"/>
      <c r="K256" s="431"/>
      <c r="L256" s="431"/>
    </row>
    <row r="257" spans="2:12" outlineLevel="1">
      <c r="B257" s="384"/>
      <c r="C257" s="392"/>
      <c r="D257" s="392"/>
      <c r="E257" s="392"/>
      <c r="F257" s="392"/>
      <c r="G257" s="392"/>
      <c r="H257" s="429"/>
      <c r="I257" s="392"/>
      <c r="J257" s="392"/>
      <c r="K257" s="392"/>
      <c r="L257" s="392"/>
    </row>
    <row r="258" spans="2:12" outlineLevel="1">
      <c r="B258" s="384"/>
      <c r="C258" s="392"/>
      <c r="D258" s="392"/>
      <c r="E258" s="392"/>
      <c r="F258" s="392"/>
      <c r="G258" s="392"/>
      <c r="H258" s="429"/>
      <c r="I258" s="392"/>
      <c r="J258" s="392"/>
      <c r="K258" s="392"/>
      <c r="L258" s="392"/>
    </row>
    <row r="259" spans="2:12" outlineLevel="1">
      <c r="B259" s="384"/>
      <c r="C259" s="392"/>
      <c r="D259" s="392"/>
      <c r="E259" s="392"/>
      <c r="F259" s="392"/>
      <c r="G259" s="392"/>
      <c r="H259" s="429"/>
      <c r="I259" s="392"/>
      <c r="J259" s="392"/>
      <c r="K259" s="392"/>
      <c r="L259" s="392"/>
    </row>
    <row r="260" spans="2:12" ht="15.25" outlineLevel="1">
      <c r="B260" s="384"/>
      <c r="C260" s="400"/>
      <c r="E260" s="304"/>
    </row>
    <row r="261" spans="2:12" outlineLevel="1">
      <c r="B261" s="384"/>
      <c r="C261" s="392"/>
      <c r="E261" s="304"/>
    </row>
    <row r="262" spans="2:12" outlineLevel="1">
      <c r="B262" s="384"/>
      <c r="C262" s="304"/>
      <c r="E262" s="304"/>
    </row>
    <row r="263" spans="2:12" outlineLevel="1">
      <c r="C263" s="403"/>
      <c r="D263" s="403"/>
      <c r="E263" s="403"/>
      <c r="F263" s="403"/>
      <c r="G263" s="403"/>
      <c r="H263" s="404"/>
      <c r="I263" s="403"/>
      <c r="J263" s="403"/>
      <c r="K263" s="403"/>
      <c r="L263" s="403"/>
    </row>
    <row r="264" spans="2:12" outlineLevel="1"/>
    <row r="265" spans="2:12" outlineLevel="1">
      <c r="C265" s="356"/>
      <c r="D265" s="356"/>
      <c r="E265" s="356"/>
    </row>
    <row r="266" spans="2:12" outlineLevel="1">
      <c r="B266" s="384"/>
      <c r="C266" s="392"/>
      <c r="D266" s="436"/>
      <c r="E266" s="392"/>
    </row>
    <row r="267" spans="2:12" outlineLevel="1">
      <c r="B267" s="384"/>
      <c r="C267" s="438"/>
      <c r="D267" s="439"/>
      <c r="E267" s="438"/>
    </row>
    <row r="268" spans="2:12" outlineLevel="1">
      <c r="B268" s="384"/>
      <c r="C268" s="392"/>
      <c r="D268" s="392"/>
      <c r="E268" s="392"/>
      <c r="G268" s="384"/>
    </row>
    <row r="269" spans="2:12" outlineLevel="1">
      <c r="C269" s="304"/>
      <c r="E269" s="304"/>
      <c r="G269" s="384"/>
    </row>
    <row r="270" spans="2:12" outlineLevel="1">
      <c r="B270" s="414"/>
      <c r="C270" s="392"/>
      <c r="E270" s="435"/>
      <c r="G270" s="435"/>
    </row>
    <row r="271" spans="2:12" outlineLevel="1">
      <c r="B271" s="384"/>
      <c r="C271" s="392"/>
      <c r="E271" s="348"/>
    </row>
    <row r="272" spans="2:12" outlineLevel="1">
      <c r="B272" s="384"/>
      <c r="C272" s="438"/>
      <c r="E272" s="353"/>
    </row>
    <row r="273" spans="2:5" outlineLevel="1">
      <c r="B273" s="384"/>
      <c r="C273" s="392"/>
      <c r="E273" s="348"/>
    </row>
    <row r="274" spans="2:5" outlineLevel="1"/>
  </sheetData>
  <mergeCells count="2">
    <mergeCell ref="D2:H3"/>
    <mergeCell ref="I2:M3"/>
  </mergeCells>
  <pageMargins left="0.75" right="0.75" top="1" bottom="1" header="0.5" footer="0.5"/>
  <pageSetup scale="75" orientation="landscape" r:id="rId1"/>
  <headerFooter alignWithMargins="0">
    <oddHeader>&amp;C&amp;"Arial,Bold"Public Service Electric and Gas Company Specific Addendum
Attachment 4 P4</oddHeader>
  </headerFooter>
  <rowBreaks count="7" manualBreakCount="7">
    <brk id="33" max="7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84C2-9102-46D2-BE61-F5D1493CCAEC}">
  <sheetPr>
    <pageSetUpPr fitToPage="1"/>
  </sheetPr>
  <dimension ref="A1:M274"/>
  <sheetViews>
    <sheetView showGridLines="0" view="pageBreakPreview" zoomScaleNormal="70" zoomScaleSheetLayoutView="100" workbookViewId="0"/>
  </sheetViews>
  <sheetFormatPr defaultColWidth="9.26953125" defaultRowHeight="13" outlineLevelRow="1"/>
  <cols>
    <col min="1" max="1" width="12.40625" style="354" bestFit="1" customWidth="1"/>
    <col min="2" max="2" width="46" style="354" customWidth="1"/>
    <col min="3" max="5" width="16.54296875" style="354" customWidth="1"/>
    <col min="6" max="6" width="4.54296875" style="354" customWidth="1"/>
    <col min="7" max="7" width="41.54296875" style="354" bestFit="1" customWidth="1"/>
    <col min="8" max="8" width="3.54296875" style="376" customWidth="1"/>
    <col min="9" max="9" width="11" style="354" customWidth="1"/>
    <col min="10" max="10" width="23.40625" style="354" customWidth="1"/>
    <col min="11" max="11" width="12.54296875" style="354" customWidth="1"/>
    <col min="12" max="12" width="21" style="354" customWidth="1"/>
    <col min="13" max="13" width="14.40625" style="354" bestFit="1" customWidth="1"/>
    <col min="14" max="14" width="24.26953125" style="354" bestFit="1" customWidth="1"/>
    <col min="15" max="16" width="10.7265625" style="354" bestFit="1" customWidth="1"/>
    <col min="17" max="17" width="14.40625" style="354" bestFit="1" customWidth="1"/>
    <col min="18" max="16384" width="9.26953125" style="354"/>
  </cols>
  <sheetData>
    <row r="1" spans="1:11" ht="20.5">
      <c r="A1" s="381" t="s">
        <v>406</v>
      </c>
      <c r="D1" s="440"/>
      <c r="I1" s="441"/>
    </row>
    <row r="2" spans="1:11" ht="15" customHeight="1">
      <c r="A2" s="382" t="s">
        <v>420</v>
      </c>
      <c r="D2" s="514"/>
      <c r="E2" s="514"/>
      <c r="F2" s="514"/>
      <c r="G2" s="514"/>
      <c r="H2" s="515"/>
    </row>
    <row r="3" spans="1:11" ht="12.75" customHeight="1">
      <c r="A3" s="489" t="s">
        <v>408</v>
      </c>
      <c r="D3" s="514"/>
      <c r="E3" s="514"/>
      <c r="F3" s="514"/>
      <c r="G3" s="514"/>
      <c r="H3" s="515"/>
      <c r="I3" s="442"/>
      <c r="J3" s="442"/>
    </row>
    <row r="5" spans="1:11">
      <c r="A5" s="383" t="s">
        <v>304</v>
      </c>
      <c r="B5" s="357" t="s">
        <v>305</v>
      </c>
    </row>
    <row r="6" spans="1:11" ht="39">
      <c r="A6" s="384" t="s">
        <v>306</v>
      </c>
      <c r="B6" s="357" t="s">
        <v>87</v>
      </c>
      <c r="C6" s="362" t="s">
        <v>409</v>
      </c>
      <c r="D6" s="362" t="s">
        <v>421</v>
      </c>
      <c r="E6" s="362" t="s">
        <v>422</v>
      </c>
      <c r="G6" s="322" t="s">
        <v>307</v>
      </c>
    </row>
    <row r="8" spans="1:11">
      <c r="A8" s="384">
        <v>1</v>
      </c>
      <c r="B8" s="357" t="s">
        <v>99</v>
      </c>
      <c r="C8" s="273">
        <f>'Attach3 - AuctionRateResult'!E8</f>
        <v>108.27</v>
      </c>
      <c r="D8" s="443">
        <f>'Attach 4 P4 '!E8</f>
        <v>109.17</v>
      </c>
      <c r="E8" s="273">
        <f>D10</f>
        <v>109.17</v>
      </c>
      <c r="G8" s="324" t="s">
        <v>462</v>
      </c>
    </row>
    <row r="9" spans="1:11">
      <c r="A9" s="384" t="s">
        <v>308</v>
      </c>
      <c r="B9" s="444" t="s">
        <v>423</v>
      </c>
      <c r="C9" s="326">
        <f>'Attach 4 P3'!C21</f>
        <v>0.9</v>
      </c>
      <c r="D9" s="385"/>
      <c r="E9" s="385"/>
      <c r="G9" s="327" t="s">
        <v>424</v>
      </c>
    </row>
    <row r="10" spans="1:11">
      <c r="A10" s="384" t="s">
        <v>310</v>
      </c>
      <c r="B10" s="357" t="s">
        <v>312</v>
      </c>
      <c r="C10" s="386">
        <f>C8+C9</f>
        <v>109.17</v>
      </c>
      <c r="D10" s="386">
        <f t="shared" ref="D10:E10" si="0">D8+D9</f>
        <v>109.17</v>
      </c>
      <c r="E10" s="386">
        <f t="shared" si="0"/>
        <v>109.17</v>
      </c>
      <c r="G10" s="387" t="s">
        <v>413</v>
      </c>
    </row>
    <row r="11" spans="1:11">
      <c r="A11" s="384"/>
      <c r="B11" s="357"/>
      <c r="C11" s="386"/>
      <c r="D11" s="386"/>
      <c r="E11" s="386"/>
      <c r="G11" s="359"/>
    </row>
    <row r="12" spans="1:11">
      <c r="A12" s="384">
        <v>2</v>
      </c>
      <c r="B12" s="368" t="s">
        <v>100</v>
      </c>
      <c r="C12" s="354">
        <f>'Attach3 - AuctionRateResult'!E14</f>
        <v>28</v>
      </c>
      <c r="D12" s="354">
        <v>29</v>
      </c>
      <c r="E12" s="354">
        <v>28</v>
      </c>
      <c r="G12" s="327" t="s">
        <v>315</v>
      </c>
    </row>
    <row r="13" spans="1:11">
      <c r="A13" s="384">
        <v>3</v>
      </c>
      <c r="B13" s="357" t="s">
        <v>316</v>
      </c>
      <c r="C13" s="354">
        <v>85</v>
      </c>
      <c r="D13" s="354">
        <f>C13</f>
        <v>85</v>
      </c>
      <c r="E13" s="354">
        <f>C13</f>
        <v>85</v>
      </c>
      <c r="G13" s="327" t="s">
        <v>315</v>
      </c>
    </row>
    <row r="14" spans="1:11">
      <c r="A14" s="384"/>
      <c r="B14" s="357"/>
      <c r="G14" s="327"/>
    </row>
    <row r="15" spans="1:11">
      <c r="A15" s="384"/>
      <c r="B15" s="357" t="s">
        <v>103</v>
      </c>
    </row>
    <row r="16" spans="1:11">
      <c r="A16" s="384">
        <v>4</v>
      </c>
      <c r="B16" s="249" t="s">
        <v>104</v>
      </c>
      <c r="C16" s="388">
        <v>1</v>
      </c>
      <c r="D16" s="388">
        <v>1</v>
      </c>
      <c r="E16" s="388">
        <v>1</v>
      </c>
      <c r="G16" s="327" t="s">
        <v>315</v>
      </c>
      <c r="K16" s="389"/>
    </row>
    <row r="17" spans="1:12">
      <c r="A17" s="384">
        <v>5</v>
      </c>
      <c r="B17" s="249" t="s">
        <v>105</v>
      </c>
      <c r="C17" s="388">
        <v>1</v>
      </c>
      <c r="D17" s="388">
        <v>1</v>
      </c>
      <c r="E17" s="388">
        <v>1</v>
      </c>
      <c r="G17" s="327" t="s">
        <v>315</v>
      </c>
      <c r="K17" s="389"/>
    </row>
    <row r="18" spans="1:12">
      <c r="A18" s="384"/>
    </row>
    <row r="19" spans="1:12">
      <c r="A19" s="384"/>
      <c r="B19" s="371" t="s">
        <v>414</v>
      </c>
    </row>
    <row r="20" spans="1:12">
      <c r="A20" s="384">
        <v>6</v>
      </c>
      <c r="B20" s="354" t="s">
        <v>318</v>
      </c>
      <c r="C20" s="372">
        <f>'Attach3 - AuctionRateResult'!C21</f>
        <v>10351093.266882937</v>
      </c>
      <c r="D20" s="372"/>
      <c r="E20" s="372"/>
      <c r="G20" s="327" t="s">
        <v>315</v>
      </c>
    </row>
    <row r="21" spans="1:12">
      <c r="A21" s="384">
        <v>7</v>
      </c>
      <c r="B21" s="354" t="s">
        <v>320</v>
      </c>
      <c r="C21" s="372">
        <f>'Attach3 - AuctionRateResult'!C22</f>
        <v>16261413.159028448</v>
      </c>
      <c r="D21" s="372"/>
      <c r="E21" s="372"/>
    </row>
    <row r="22" spans="1:12">
      <c r="A22" s="384"/>
    </row>
    <row r="23" spans="1:12">
      <c r="A23" s="384"/>
      <c r="B23" s="357" t="s">
        <v>321</v>
      </c>
    </row>
    <row r="24" spans="1:12">
      <c r="A24" s="384">
        <v>8</v>
      </c>
      <c r="B24" s="249" t="s">
        <v>104</v>
      </c>
      <c r="C24" s="390">
        <f>((+C$10)*C$12/C$13*C16*$C20/1000)</f>
        <v>372244.79828796576</v>
      </c>
      <c r="D24" s="390">
        <f t="shared" ref="D24:E25" si="1">((+D$10)*D$12/D$13*D16*$C20/1000)</f>
        <v>385539.25536967878</v>
      </c>
      <c r="E24" s="390">
        <f t="shared" si="1"/>
        <v>372244.79828796576</v>
      </c>
      <c r="F24" s="391"/>
      <c r="G24" s="387" t="s">
        <v>415</v>
      </c>
      <c r="J24" s="392"/>
      <c r="L24" s="392"/>
    </row>
    <row r="25" spans="1:12" ht="15.25">
      <c r="A25" s="384">
        <v>9</v>
      </c>
      <c r="B25" s="249" t="s">
        <v>105</v>
      </c>
      <c r="C25" s="393">
        <f>((+C$10)*C$12/C$13*C17*$C21/1000)</f>
        <v>584791.02691755071</v>
      </c>
      <c r="D25" s="393">
        <f t="shared" si="1"/>
        <v>605676.42073603452</v>
      </c>
      <c r="E25" s="393">
        <f t="shared" si="1"/>
        <v>584791.02691755071</v>
      </c>
      <c r="F25" s="391"/>
      <c r="G25" s="387" t="s">
        <v>416</v>
      </c>
    </row>
    <row r="26" spans="1:12">
      <c r="A26" s="384">
        <v>10</v>
      </c>
      <c r="B26" s="354" t="s">
        <v>324</v>
      </c>
      <c r="C26" s="392">
        <f>+C25+C24</f>
        <v>957035.82520551654</v>
      </c>
      <c r="D26" s="392">
        <f>+D25+D24</f>
        <v>991215.67610571324</v>
      </c>
      <c r="E26" s="392">
        <f>+E25+E24</f>
        <v>957035.82520551654</v>
      </c>
      <c r="J26" s="392"/>
      <c r="L26" s="392"/>
    </row>
    <row r="27" spans="1:12">
      <c r="A27" s="384"/>
    </row>
    <row r="28" spans="1:12">
      <c r="A28" s="384"/>
      <c r="B28" s="357" t="s">
        <v>326</v>
      </c>
    </row>
    <row r="29" spans="1:12">
      <c r="A29" s="384">
        <v>11</v>
      </c>
      <c r="B29" s="249" t="s">
        <v>104</v>
      </c>
      <c r="C29" s="394">
        <f>ROUND(+SUM(C24:E24)/C20*1000,3)</f>
        <v>109.17</v>
      </c>
      <c r="D29" s="395"/>
      <c r="G29" s="387" t="s">
        <v>417</v>
      </c>
    </row>
    <row r="30" spans="1:12">
      <c r="A30" s="384">
        <v>12</v>
      </c>
      <c r="B30" s="249" t="s">
        <v>105</v>
      </c>
      <c r="C30" s="386">
        <f>ROUND(+SUM(C25:E25)/C21*1000,3)</f>
        <v>109.17</v>
      </c>
      <c r="G30" s="387" t="s">
        <v>418</v>
      </c>
    </row>
    <row r="31" spans="1:12">
      <c r="A31" s="384"/>
      <c r="B31" s="249"/>
      <c r="C31" s="396"/>
      <c r="G31" s="359"/>
    </row>
    <row r="32" spans="1:12">
      <c r="A32" s="384">
        <v>13</v>
      </c>
      <c r="B32" s="354" t="s">
        <v>329</v>
      </c>
      <c r="C32" s="397">
        <f>ROUND(+SUM(C26:E26)/(C20+C21)*1000,3)</f>
        <v>109.17</v>
      </c>
      <c r="D32" s="354" t="s">
        <v>330</v>
      </c>
      <c r="G32" s="387" t="s">
        <v>331</v>
      </c>
    </row>
    <row r="33" spans="1:13">
      <c r="D33" s="354" t="s">
        <v>332</v>
      </c>
      <c r="G33" s="327" t="s">
        <v>419</v>
      </c>
    </row>
    <row r="34" spans="1:13">
      <c r="C34" s="395"/>
    </row>
    <row r="35" spans="1:13">
      <c r="B35" s="398"/>
      <c r="D35" s="395"/>
    </row>
    <row r="36" spans="1:13">
      <c r="A36" s="384"/>
      <c r="B36" s="399"/>
      <c r="C36" s="392"/>
      <c r="D36" s="395"/>
      <c r="G36" s="359"/>
    </row>
    <row r="37" spans="1:13" ht="15.25">
      <c r="A37" s="384"/>
      <c r="B37" s="399"/>
      <c r="C37" s="400"/>
      <c r="D37" s="395"/>
      <c r="G37" s="359"/>
    </row>
    <row r="38" spans="1:13">
      <c r="A38" s="384"/>
      <c r="B38" s="399"/>
      <c r="C38" s="401"/>
      <c r="D38" s="395"/>
      <c r="G38" s="359"/>
    </row>
    <row r="39" spans="1:13">
      <c r="B39" s="399"/>
      <c r="D39" s="395"/>
    </row>
    <row r="41" spans="1:13">
      <c r="A41" s="402"/>
      <c r="B41" s="357"/>
      <c r="G41" s="322"/>
    </row>
    <row r="42" spans="1:13">
      <c r="A42" s="402"/>
      <c r="B42" s="357"/>
      <c r="G42" s="322"/>
    </row>
    <row r="43" spans="1:13">
      <c r="B43" s="357"/>
    </row>
    <row r="44" spans="1:13">
      <c r="B44" s="322"/>
    </row>
    <row r="45" spans="1:13">
      <c r="B45" s="357"/>
    </row>
    <row r="46" spans="1:13">
      <c r="C46" s="403"/>
      <c r="D46" s="403"/>
      <c r="E46" s="403"/>
      <c r="F46" s="403"/>
      <c r="G46" s="403"/>
      <c r="H46" s="404"/>
      <c r="I46" s="403"/>
      <c r="J46" s="403"/>
    </row>
    <row r="47" spans="1:13">
      <c r="C47" s="403"/>
      <c r="D47" s="403"/>
      <c r="E47" s="403"/>
      <c r="F47" s="403"/>
      <c r="G47" s="403"/>
    </row>
    <row r="48" spans="1:13">
      <c r="B48" s="405"/>
      <c r="E48" s="302"/>
      <c r="F48" s="303"/>
      <c r="G48" s="303"/>
      <c r="H48" s="406"/>
      <c r="I48" s="302"/>
      <c r="J48" s="302"/>
      <c r="K48" s="304"/>
      <c r="L48" s="304"/>
      <c r="M48" s="304"/>
    </row>
    <row r="49" spans="2:13">
      <c r="B49" s="407"/>
      <c r="C49" s="305"/>
      <c r="D49" s="215"/>
      <c r="E49" s="303"/>
      <c r="F49" s="302"/>
      <c r="G49" s="302"/>
      <c r="H49" s="408"/>
      <c r="J49" s="306"/>
      <c r="K49" s="304"/>
      <c r="L49" s="304"/>
      <c r="M49" s="304"/>
    </row>
    <row r="50" spans="2:13">
      <c r="B50" s="407"/>
      <c r="C50" s="305"/>
      <c r="D50" s="215"/>
      <c r="E50" s="303"/>
      <c r="F50" s="302"/>
      <c r="G50" s="302"/>
      <c r="H50" s="409"/>
      <c r="J50" s="306"/>
      <c r="K50" s="410"/>
      <c r="L50" s="304"/>
      <c r="M50" s="304"/>
    </row>
    <row r="51" spans="2:13">
      <c r="E51" s="305"/>
      <c r="F51" s="215"/>
      <c r="G51" s="215"/>
      <c r="L51" s="304"/>
      <c r="M51" s="304"/>
    </row>
    <row r="52" spans="2:13">
      <c r="B52" s="411"/>
      <c r="C52" s="303"/>
      <c r="D52" s="303"/>
      <c r="E52" s="305"/>
      <c r="F52" s="215"/>
      <c r="G52" s="215"/>
      <c r="H52" s="412"/>
      <c r="I52" s="215"/>
      <c r="J52" s="215"/>
      <c r="K52" s="304"/>
      <c r="L52" s="304"/>
      <c r="M52" s="304"/>
    </row>
    <row r="53" spans="2:13">
      <c r="B53" s="411"/>
      <c r="C53" s="413"/>
      <c r="D53" s="413"/>
      <c r="E53" s="414"/>
      <c r="F53" s="215"/>
      <c r="G53" s="215"/>
      <c r="H53" s="412"/>
      <c r="I53" s="215"/>
      <c r="J53" s="215"/>
      <c r="K53" s="304"/>
      <c r="L53" s="304"/>
      <c r="M53" s="304"/>
    </row>
    <row r="54" spans="2:13">
      <c r="B54" s="411"/>
      <c r="C54" s="413"/>
      <c r="D54" s="413"/>
      <c r="E54" s="414"/>
      <c r="F54" s="215"/>
      <c r="G54" s="215"/>
      <c r="H54" s="412"/>
      <c r="I54" s="215"/>
      <c r="J54" s="215"/>
      <c r="K54" s="304"/>
      <c r="L54" s="304"/>
      <c r="M54" s="304"/>
    </row>
    <row r="55" spans="2:13">
      <c r="G55" s="215"/>
      <c r="H55" s="412"/>
      <c r="I55" s="215"/>
      <c r="J55" s="215"/>
      <c r="K55" s="304"/>
      <c r="L55" s="304"/>
      <c r="M55" s="304"/>
    </row>
    <row r="56" spans="2:13">
      <c r="H56" s="412"/>
      <c r="I56" s="215"/>
      <c r="J56" s="215"/>
      <c r="K56" s="304"/>
      <c r="L56" s="304"/>
      <c r="M56" s="304"/>
    </row>
    <row r="57" spans="2:13">
      <c r="C57" s="215"/>
      <c r="D57" s="215"/>
      <c r="E57" s="215"/>
      <c r="F57" s="215"/>
      <c r="G57" s="215"/>
      <c r="H57" s="412"/>
      <c r="I57" s="215"/>
      <c r="J57" s="215"/>
      <c r="K57" s="304"/>
      <c r="L57" s="304"/>
      <c r="M57" s="304"/>
    </row>
    <row r="58" spans="2:13">
      <c r="B58" s="405"/>
      <c r="C58" s="303"/>
      <c r="D58" s="303"/>
      <c r="E58" s="302"/>
      <c r="F58" s="303"/>
      <c r="G58" s="303"/>
      <c r="H58" s="406"/>
      <c r="I58" s="302"/>
      <c r="J58" s="302"/>
      <c r="K58" s="304"/>
      <c r="L58" s="304"/>
      <c r="M58" s="304"/>
    </row>
    <row r="59" spans="2:13">
      <c r="B59" s="407"/>
      <c r="C59" s="215"/>
      <c r="D59" s="215"/>
      <c r="E59" s="303"/>
      <c r="F59" s="215"/>
      <c r="G59" s="215"/>
      <c r="H59" s="412"/>
      <c r="J59" s="306"/>
      <c r="K59" s="304"/>
      <c r="L59" s="304"/>
      <c r="M59" s="304"/>
    </row>
    <row r="60" spans="2:13">
      <c r="B60" s="407"/>
      <c r="C60" s="215"/>
      <c r="D60" s="215"/>
      <c r="E60" s="303"/>
      <c r="F60" s="215"/>
      <c r="G60" s="215"/>
      <c r="J60" s="306"/>
      <c r="K60" s="410"/>
      <c r="L60" s="304"/>
      <c r="M60" s="304"/>
    </row>
    <row r="61" spans="2:13">
      <c r="C61" s="304"/>
      <c r="D61" s="304"/>
      <c r="E61" s="304"/>
      <c r="F61" s="304"/>
      <c r="G61" s="304"/>
      <c r="K61" s="304"/>
      <c r="L61" s="304"/>
      <c r="M61" s="304"/>
    </row>
    <row r="62" spans="2:13">
      <c r="C62" s="311"/>
      <c r="D62" s="311"/>
      <c r="E62" s="311"/>
      <c r="F62" s="311"/>
      <c r="G62" s="311"/>
      <c r="H62" s="408"/>
      <c r="I62" s="311"/>
      <c r="J62" s="311"/>
      <c r="K62" s="304"/>
      <c r="L62" s="304"/>
      <c r="M62" s="304"/>
    </row>
    <row r="65" spans="2:11">
      <c r="B65" s="357"/>
    </row>
    <row r="66" spans="2:11">
      <c r="B66" s="322"/>
    </row>
    <row r="68" spans="2:11">
      <c r="C68" s="403"/>
      <c r="D68" s="403"/>
      <c r="E68" s="403"/>
      <c r="F68" s="403"/>
      <c r="H68" s="415"/>
      <c r="I68" s="403"/>
      <c r="J68" s="403"/>
    </row>
    <row r="69" spans="2:11">
      <c r="C69" s="403"/>
      <c r="D69" s="416"/>
      <c r="E69" s="403"/>
      <c r="F69" s="416"/>
    </row>
    <row r="70" spans="2:11">
      <c r="B70" s="405"/>
      <c r="C70" s="303"/>
      <c r="D70" s="410"/>
      <c r="E70" s="417"/>
      <c r="F70" s="417"/>
      <c r="H70" s="418"/>
    </row>
    <row r="71" spans="2:11">
      <c r="B71" s="407"/>
      <c r="C71" s="302"/>
      <c r="D71" s="410"/>
      <c r="E71" s="303"/>
      <c r="F71" s="410"/>
      <c r="H71" s="419"/>
      <c r="I71" s="420"/>
      <c r="J71" s="420"/>
      <c r="K71" s="359"/>
    </row>
    <row r="72" spans="2:11">
      <c r="B72" s="407"/>
      <c r="C72" s="302"/>
      <c r="D72" s="410"/>
      <c r="E72" s="303"/>
      <c r="F72" s="410"/>
      <c r="H72" s="419"/>
      <c r="I72" s="420"/>
      <c r="J72" s="420"/>
      <c r="K72" s="359"/>
    </row>
    <row r="73" spans="2:11">
      <c r="C73" s="302"/>
      <c r="D73" s="410"/>
      <c r="E73" s="302"/>
      <c r="F73" s="410"/>
      <c r="H73" s="419"/>
      <c r="I73" s="420"/>
      <c r="J73" s="420"/>
      <c r="K73" s="359"/>
    </row>
    <row r="74" spans="2:11">
      <c r="B74" s="405"/>
      <c r="C74" s="303"/>
      <c r="D74" s="410"/>
      <c r="E74" s="303"/>
      <c r="F74" s="410"/>
      <c r="H74" s="418"/>
      <c r="I74" s="395"/>
      <c r="J74" s="395"/>
    </row>
    <row r="75" spans="2:11">
      <c r="B75" s="407"/>
      <c r="C75" s="302"/>
      <c r="D75" s="417"/>
      <c r="E75" s="303"/>
      <c r="F75" s="410"/>
      <c r="H75" s="419"/>
      <c r="I75" s="420"/>
      <c r="J75" s="420"/>
      <c r="K75" s="359"/>
    </row>
    <row r="76" spans="2:11">
      <c r="B76" s="407"/>
      <c r="C76" s="302"/>
      <c r="D76" s="417"/>
      <c r="E76" s="303"/>
      <c r="F76" s="410"/>
    </row>
    <row r="77" spans="2:11">
      <c r="C77" s="311"/>
      <c r="D77" s="417"/>
      <c r="E77" s="311"/>
      <c r="F77" s="417"/>
    </row>
    <row r="78" spans="2:11">
      <c r="C78" s="311"/>
      <c r="D78" s="417"/>
      <c r="E78" s="311"/>
      <c r="F78" s="417"/>
    </row>
    <row r="79" spans="2:11">
      <c r="C79" s="311"/>
      <c r="D79" s="417"/>
      <c r="E79" s="311"/>
      <c r="F79" s="417"/>
    </row>
    <row r="80" spans="2:11">
      <c r="C80" s="304"/>
      <c r="E80" s="304"/>
    </row>
    <row r="81" spans="1:13">
      <c r="A81" s="421"/>
      <c r="B81" s="398"/>
      <c r="C81" s="304"/>
      <c r="E81" s="304"/>
    </row>
    <row r="82" spans="1:13">
      <c r="A82" s="421"/>
      <c r="B82" s="322"/>
    </row>
    <row r="84" spans="1:13">
      <c r="B84" s="357"/>
    </row>
    <row r="85" spans="1:13">
      <c r="B85" s="322"/>
    </row>
    <row r="86" spans="1:13">
      <c r="B86" s="357"/>
    </row>
    <row r="87" spans="1:13">
      <c r="C87" s="403"/>
      <c r="D87" s="403"/>
      <c r="E87" s="403"/>
      <c r="F87" s="403"/>
      <c r="G87" s="403"/>
      <c r="H87" s="404"/>
      <c r="I87" s="403"/>
      <c r="J87" s="403"/>
    </row>
    <row r="88" spans="1:13">
      <c r="C88" s="421"/>
      <c r="D88" s="421"/>
      <c r="E88" s="421"/>
      <c r="F88" s="422"/>
      <c r="G88" s="422"/>
      <c r="H88" s="423"/>
      <c r="I88" s="422"/>
      <c r="J88" s="422"/>
    </row>
    <row r="89" spans="1:13">
      <c r="B89" s="405"/>
      <c r="C89" s="421"/>
      <c r="D89" s="421"/>
      <c r="E89" s="421"/>
      <c r="F89" s="422"/>
      <c r="G89" s="422"/>
      <c r="H89" s="423"/>
      <c r="I89" s="422"/>
      <c r="J89" s="422"/>
      <c r="L89" s="304"/>
      <c r="M89" s="304"/>
    </row>
    <row r="90" spans="1:13">
      <c r="B90" s="407"/>
      <c r="C90" s="421"/>
      <c r="D90" s="421"/>
      <c r="E90" s="422"/>
      <c r="F90" s="421"/>
      <c r="G90" s="422"/>
      <c r="H90" s="423"/>
      <c r="I90" s="422"/>
      <c r="J90" s="421"/>
      <c r="L90" s="304"/>
      <c r="M90" s="304"/>
    </row>
    <row r="91" spans="1:13">
      <c r="B91" s="407"/>
      <c r="C91" s="421"/>
      <c r="D91" s="421"/>
      <c r="E91" s="422"/>
      <c r="F91" s="421"/>
      <c r="G91" s="421"/>
      <c r="H91" s="424"/>
      <c r="I91" s="421"/>
      <c r="J91" s="421"/>
      <c r="L91" s="304"/>
      <c r="M91" s="304"/>
    </row>
    <row r="92" spans="1:13">
      <c r="B92" s="411"/>
      <c r="C92" s="421"/>
      <c r="D92" s="421"/>
      <c r="E92" s="421"/>
      <c r="F92" s="421"/>
      <c r="G92" s="421"/>
      <c r="H92" s="424"/>
      <c r="I92" s="421"/>
      <c r="J92" s="421"/>
      <c r="L92" s="304"/>
      <c r="M92" s="304"/>
    </row>
    <row r="93" spans="1:13">
      <c r="B93" s="414"/>
      <c r="C93" s="422"/>
      <c r="D93" s="422"/>
      <c r="E93" s="421"/>
      <c r="F93" s="421"/>
      <c r="G93" s="421"/>
      <c r="H93" s="424"/>
      <c r="I93" s="421"/>
      <c r="J93" s="421"/>
      <c r="L93" s="304"/>
      <c r="M93" s="304"/>
    </row>
    <row r="94" spans="1:13">
      <c r="B94" s="414"/>
      <c r="C94" s="422"/>
      <c r="D94" s="422"/>
      <c r="E94" s="421"/>
      <c r="F94" s="421"/>
      <c r="G94" s="421"/>
      <c r="H94" s="424"/>
      <c r="I94" s="421"/>
      <c r="J94" s="421"/>
      <c r="L94" s="304"/>
      <c r="M94" s="304"/>
    </row>
    <row r="95" spans="1:13">
      <c r="C95" s="422"/>
      <c r="D95" s="422"/>
      <c r="E95" s="421"/>
      <c r="F95" s="421"/>
      <c r="G95" s="421"/>
      <c r="H95" s="424"/>
      <c r="I95" s="421"/>
      <c r="J95" s="421"/>
      <c r="L95" s="304"/>
      <c r="M95" s="304"/>
    </row>
    <row r="96" spans="1:13">
      <c r="B96" s="405"/>
      <c r="C96" s="422"/>
      <c r="D96" s="422"/>
      <c r="E96" s="421"/>
      <c r="F96" s="422"/>
      <c r="G96" s="422"/>
      <c r="H96" s="423"/>
      <c r="I96" s="422"/>
      <c r="J96" s="422"/>
      <c r="L96" s="304"/>
      <c r="M96" s="304"/>
    </row>
    <row r="97" spans="2:13">
      <c r="B97" s="407"/>
      <c r="C97" s="421"/>
      <c r="D97" s="421"/>
      <c r="E97" s="422"/>
      <c r="F97" s="421"/>
      <c r="G97" s="421"/>
      <c r="H97" s="424"/>
      <c r="I97" s="421"/>
      <c r="J97" s="421"/>
      <c r="L97" s="304"/>
      <c r="M97" s="304"/>
    </row>
    <row r="98" spans="2:13">
      <c r="B98" s="407"/>
      <c r="C98" s="421"/>
      <c r="D98" s="421"/>
      <c r="E98" s="422"/>
      <c r="F98" s="421"/>
      <c r="G98" s="421"/>
      <c r="H98" s="424"/>
      <c r="I98" s="421"/>
      <c r="J98" s="421"/>
      <c r="L98" s="304"/>
      <c r="M98" s="304"/>
    </row>
    <row r="99" spans="2:13">
      <c r="C99" s="421"/>
      <c r="D99" s="421"/>
      <c r="E99" s="422"/>
      <c r="F99" s="421"/>
      <c r="G99" s="421"/>
      <c r="H99" s="424"/>
      <c r="I99" s="421"/>
      <c r="J99" s="421"/>
      <c r="L99" s="304"/>
      <c r="M99" s="304"/>
    </row>
    <row r="102" spans="2:13">
      <c r="B102" s="357"/>
    </row>
    <row r="103" spans="2:13">
      <c r="B103" s="322"/>
    </row>
    <row r="105" spans="2:13">
      <c r="C105" s="403"/>
      <c r="D105" s="403"/>
      <c r="E105" s="403"/>
      <c r="F105" s="403"/>
      <c r="H105" s="415"/>
      <c r="I105" s="403"/>
      <c r="J105" s="403"/>
    </row>
    <row r="106" spans="2:13">
      <c r="F106" s="416"/>
    </row>
    <row r="107" spans="2:13">
      <c r="B107" s="405"/>
      <c r="C107" s="422"/>
      <c r="D107" s="422"/>
      <c r="E107" s="422"/>
      <c r="F107" s="417"/>
      <c r="H107" s="418"/>
    </row>
    <row r="108" spans="2:13">
      <c r="B108" s="407"/>
      <c r="C108" s="422"/>
      <c r="D108" s="422"/>
      <c r="E108" s="422"/>
      <c r="F108" s="410"/>
      <c r="H108" s="419"/>
      <c r="I108" s="425"/>
      <c r="J108" s="425"/>
      <c r="K108" s="359"/>
    </row>
    <row r="109" spans="2:13">
      <c r="B109" s="407"/>
      <c r="C109" s="422"/>
      <c r="D109" s="422"/>
      <c r="E109" s="422"/>
      <c r="F109" s="410"/>
      <c r="H109" s="419"/>
      <c r="I109" s="425"/>
      <c r="J109" s="425"/>
      <c r="K109" s="359"/>
    </row>
    <row r="110" spans="2:13">
      <c r="C110" s="422"/>
      <c r="D110" s="422"/>
      <c r="E110" s="422"/>
      <c r="F110" s="410"/>
      <c r="H110" s="419"/>
      <c r="I110" s="420"/>
      <c r="J110" s="420"/>
      <c r="K110" s="359"/>
    </row>
    <row r="111" spans="2:13">
      <c r="B111" s="405"/>
      <c r="C111" s="422"/>
      <c r="D111" s="422"/>
      <c r="E111" s="422"/>
      <c r="F111" s="410"/>
      <c r="H111" s="418"/>
      <c r="I111" s="395"/>
      <c r="J111" s="395"/>
    </row>
    <row r="112" spans="2:13">
      <c r="B112" s="407"/>
      <c r="C112" s="422"/>
      <c r="D112" s="422"/>
      <c r="E112" s="422"/>
      <c r="F112" s="410"/>
      <c r="H112" s="419"/>
      <c r="I112" s="425"/>
      <c r="J112" s="425"/>
      <c r="K112" s="359"/>
    </row>
    <row r="113" spans="1:12">
      <c r="B113" s="407"/>
      <c r="C113" s="422"/>
      <c r="D113" s="422"/>
      <c r="E113" s="422"/>
      <c r="F113" s="410"/>
    </row>
    <row r="114" spans="1:12">
      <c r="C114" s="311"/>
      <c r="D114" s="417"/>
      <c r="E114" s="311"/>
      <c r="F114" s="417"/>
    </row>
    <row r="115" spans="1:12">
      <c r="C115" s="311"/>
      <c r="D115" s="417"/>
      <c r="E115" s="311"/>
      <c r="F115" s="417"/>
    </row>
    <row r="117" spans="1:12">
      <c r="A117" s="421"/>
      <c r="B117" s="357"/>
      <c r="C117" s="304"/>
      <c r="E117" s="304"/>
    </row>
    <row r="118" spans="1:12">
      <c r="C118" s="304"/>
      <c r="E118" s="304"/>
    </row>
    <row r="119" spans="1:12">
      <c r="C119" s="403"/>
      <c r="D119" s="403"/>
      <c r="E119" s="403"/>
      <c r="F119" s="403"/>
      <c r="G119" s="403"/>
      <c r="H119" s="404"/>
      <c r="I119" s="403"/>
      <c r="J119" s="403"/>
    </row>
    <row r="121" spans="1:12">
      <c r="B121" s="384"/>
      <c r="C121" s="401"/>
      <c r="D121" s="401"/>
      <c r="E121" s="426"/>
      <c r="F121" s="401"/>
      <c r="G121" s="390"/>
      <c r="H121" s="427"/>
      <c r="I121" s="401"/>
      <c r="J121" s="401"/>
    </row>
    <row r="122" spans="1:12" ht="15.25">
      <c r="B122" s="384"/>
      <c r="C122" s="393"/>
      <c r="D122" s="393"/>
      <c r="E122" s="393"/>
      <c r="F122" s="393"/>
      <c r="G122" s="393"/>
      <c r="H122" s="428"/>
      <c r="I122" s="393"/>
      <c r="J122" s="393"/>
    </row>
    <row r="123" spans="1:12">
      <c r="B123" s="384"/>
      <c r="C123" s="392"/>
      <c r="D123" s="392"/>
      <c r="E123" s="392"/>
      <c r="F123" s="392"/>
      <c r="G123" s="392"/>
      <c r="H123" s="429"/>
      <c r="I123" s="392"/>
      <c r="J123" s="392"/>
    </row>
    <row r="124" spans="1:12">
      <c r="B124" s="384"/>
      <c r="C124" s="392"/>
      <c r="D124" s="392"/>
      <c r="E124" s="392"/>
      <c r="F124" s="392"/>
      <c r="G124" s="392"/>
      <c r="H124" s="429"/>
      <c r="I124" s="392"/>
      <c r="J124" s="392"/>
      <c r="K124" s="392"/>
      <c r="L124" s="392"/>
    </row>
    <row r="125" spans="1:12">
      <c r="B125" s="384"/>
      <c r="C125" s="392"/>
      <c r="D125" s="392"/>
      <c r="E125" s="392"/>
      <c r="F125" s="392"/>
      <c r="G125" s="392"/>
      <c r="H125" s="429"/>
      <c r="I125" s="392"/>
      <c r="J125" s="392"/>
      <c r="K125" s="392"/>
      <c r="L125" s="392"/>
    </row>
    <row r="126" spans="1:12">
      <c r="B126" s="384"/>
      <c r="C126" s="403"/>
      <c r="D126" s="403"/>
      <c r="F126" s="403"/>
      <c r="G126" s="403"/>
      <c r="H126" s="429"/>
      <c r="I126" s="392"/>
      <c r="J126" s="392"/>
      <c r="K126" s="392"/>
      <c r="L126" s="392"/>
    </row>
    <row r="127" spans="1:12">
      <c r="B127" s="384"/>
      <c r="C127" s="403"/>
      <c r="D127" s="403"/>
      <c r="F127" s="403"/>
      <c r="G127" s="403"/>
      <c r="H127" s="429"/>
      <c r="I127" s="392"/>
      <c r="J127" s="392"/>
      <c r="K127" s="392"/>
      <c r="L127" s="392"/>
    </row>
    <row r="128" spans="1:12">
      <c r="B128" s="384"/>
      <c r="G128" s="392"/>
      <c r="H128" s="429"/>
      <c r="I128" s="392"/>
      <c r="J128" s="392"/>
      <c r="K128" s="392"/>
      <c r="L128" s="392"/>
    </row>
    <row r="129" spans="2:12">
      <c r="B129" s="384"/>
      <c r="C129" s="426"/>
      <c r="D129" s="426"/>
      <c r="F129" s="426"/>
      <c r="G129" s="430"/>
      <c r="H129" s="429"/>
      <c r="I129" s="392"/>
      <c r="J129" s="392"/>
      <c r="K129" s="392"/>
      <c r="L129" s="392"/>
    </row>
    <row r="130" spans="2:12" ht="15.25">
      <c r="B130" s="384"/>
      <c r="C130" s="431"/>
      <c r="D130" s="431"/>
      <c r="F130" s="431"/>
      <c r="G130" s="431"/>
      <c r="H130" s="429"/>
      <c r="I130" s="392"/>
      <c r="J130" s="392"/>
      <c r="K130" s="392"/>
      <c r="L130" s="392"/>
    </row>
    <row r="131" spans="2:12">
      <c r="B131" s="384"/>
      <c r="C131" s="392"/>
      <c r="D131" s="392"/>
      <c r="F131" s="392"/>
      <c r="G131" s="392"/>
      <c r="H131" s="429"/>
      <c r="I131" s="392"/>
      <c r="J131" s="392"/>
      <c r="K131" s="392"/>
      <c r="L131" s="392"/>
    </row>
    <row r="132" spans="2:12">
      <c r="B132" s="384"/>
      <c r="C132" s="392"/>
      <c r="F132" s="392"/>
      <c r="G132" s="392"/>
      <c r="H132" s="429"/>
      <c r="I132" s="392"/>
      <c r="J132" s="392"/>
      <c r="K132" s="392"/>
      <c r="L132" s="392"/>
    </row>
    <row r="133" spans="2:12">
      <c r="B133" s="384"/>
      <c r="C133" s="392"/>
      <c r="D133" s="392"/>
      <c r="E133" s="392"/>
      <c r="F133" s="392"/>
      <c r="G133" s="392"/>
      <c r="H133" s="429"/>
      <c r="I133" s="392"/>
      <c r="J133" s="392"/>
      <c r="K133" s="392"/>
      <c r="L133" s="392"/>
    </row>
    <row r="134" spans="2:12">
      <c r="B134" s="384"/>
      <c r="C134" s="403"/>
      <c r="D134" s="403"/>
      <c r="E134" s="403"/>
      <c r="F134" s="392"/>
      <c r="G134" s="392"/>
      <c r="H134" s="429"/>
      <c r="I134" s="392"/>
      <c r="J134" s="392"/>
      <c r="K134" s="392"/>
      <c r="L134" s="392"/>
    </row>
    <row r="135" spans="2:12">
      <c r="B135" s="384"/>
      <c r="C135" s="392"/>
      <c r="D135" s="392"/>
      <c r="E135" s="432"/>
      <c r="F135" s="392"/>
      <c r="G135" s="392"/>
      <c r="H135" s="429"/>
      <c r="I135" s="392"/>
      <c r="J135" s="392"/>
      <c r="K135" s="392"/>
      <c r="L135" s="392"/>
    </row>
    <row r="136" spans="2:12" ht="15.25">
      <c r="B136" s="384"/>
      <c r="C136" s="400"/>
      <c r="D136" s="400"/>
      <c r="E136" s="400"/>
    </row>
    <row r="137" spans="2:12">
      <c r="B137" s="384"/>
      <c r="C137" s="392"/>
      <c r="D137" s="392"/>
      <c r="E137" s="433"/>
    </row>
    <row r="138" spans="2:12">
      <c r="B138" s="384"/>
      <c r="C138" s="304"/>
      <c r="E138" s="304"/>
    </row>
    <row r="139" spans="2:12">
      <c r="C139" s="403"/>
      <c r="D139" s="403"/>
      <c r="E139" s="403"/>
      <c r="F139" s="403"/>
      <c r="G139" s="403"/>
      <c r="H139" s="404"/>
      <c r="I139" s="403"/>
      <c r="J139" s="403"/>
      <c r="K139" s="403"/>
      <c r="L139" s="403"/>
    </row>
    <row r="141" spans="2:12">
      <c r="B141" s="384"/>
      <c r="C141" s="392"/>
    </row>
    <row r="142" spans="2:12" ht="15.25">
      <c r="B142" s="384"/>
      <c r="C142" s="400"/>
    </row>
    <row r="143" spans="2:12">
      <c r="B143" s="384"/>
      <c r="C143" s="392"/>
    </row>
    <row r="144" spans="2:12">
      <c r="C144" s="304"/>
    </row>
    <row r="145" spans="1:10">
      <c r="B145" s="414"/>
      <c r="C145" s="384"/>
    </row>
    <row r="146" spans="1:10">
      <c r="B146" s="384"/>
      <c r="C146" s="392"/>
    </row>
    <row r="147" spans="1:10" ht="15.25">
      <c r="B147" s="384"/>
      <c r="C147" s="400"/>
    </row>
    <row r="148" spans="1:10">
      <c r="B148" s="384"/>
      <c r="C148" s="392"/>
    </row>
    <row r="153" spans="1:10">
      <c r="A153" s="421"/>
      <c r="B153" s="398"/>
      <c r="C153" s="304"/>
      <c r="E153" s="304"/>
    </row>
    <row r="154" spans="1:10">
      <c r="B154" s="322"/>
    </row>
    <row r="156" spans="1:10">
      <c r="B156" s="357"/>
    </row>
    <row r="157" spans="1:10">
      <c r="B157" s="322"/>
    </row>
    <row r="158" spans="1:10">
      <c r="B158" s="357"/>
    </row>
    <row r="159" spans="1:10">
      <c r="C159" s="403"/>
      <c r="D159" s="403"/>
      <c r="E159" s="403"/>
      <c r="F159" s="403"/>
      <c r="G159" s="403"/>
      <c r="H159" s="404"/>
      <c r="I159" s="403"/>
      <c r="J159" s="403"/>
    </row>
    <row r="160" spans="1:10">
      <c r="C160" s="421"/>
      <c r="D160" s="421"/>
      <c r="E160" s="421"/>
      <c r="F160" s="422"/>
      <c r="G160" s="422"/>
      <c r="H160" s="423"/>
      <c r="I160" s="422"/>
      <c r="J160" s="422"/>
    </row>
    <row r="161" spans="2:10">
      <c r="B161" s="405"/>
      <c r="C161" s="421"/>
      <c r="D161" s="421"/>
      <c r="E161" s="421"/>
      <c r="F161" s="422"/>
      <c r="G161" s="422"/>
      <c r="H161" s="423"/>
      <c r="I161" s="422"/>
      <c r="J161" s="422"/>
    </row>
    <row r="162" spans="2:10">
      <c r="B162" s="407"/>
      <c r="C162" s="421"/>
      <c r="D162" s="421"/>
      <c r="E162" s="422"/>
      <c r="G162" s="422"/>
      <c r="H162" s="423"/>
      <c r="I162" s="422"/>
      <c r="J162" s="421"/>
    </row>
    <row r="163" spans="2:10">
      <c r="B163" s="407"/>
      <c r="C163" s="421"/>
      <c r="D163" s="421"/>
      <c r="E163" s="422"/>
      <c r="F163" s="421"/>
      <c r="G163" s="421"/>
      <c r="H163" s="424"/>
      <c r="I163" s="421"/>
      <c r="J163" s="421"/>
    </row>
    <row r="164" spans="2:10">
      <c r="B164" s="411"/>
      <c r="C164" s="421"/>
      <c r="D164" s="421"/>
      <c r="E164" s="421"/>
      <c r="F164" s="421"/>
      <c r="G164" s="421"/>
      <c r="H164" s="424"/>
      <c r="I164" s="421"/>
      <c r="J164" s="421"/>
    </row>
    <row r="165" spans="2:10">
      <c r="B165" s="414"/>
      <c r="C165" s="422"/>
      <c r="D165" s="422"/>
      <c r="E165" s="421"/>
      <c r="F165" s="421"/>
      <c r="G165" s="421"/>
      <c r="H165" s="424"/>
      <c r="I165" s="421"/>
      <c r="J165" s="421"/>
    </row>
    <row r="166" spans="2:10">
      <c r="B166" s="414"/>
      <c r="C166" s="422"/>
      <c r="D166" s="422"/>
      <c r="E166" s="421"/>
      <c r="F166" s="421"/>
      <c r="G166" s="421"/>
      <c r="H166" s="424"/>
      <c r="I166" s="421"/>
      <c r="J166" s="421"/>
    </row>
    <row r="167" spans="2:10">
      <c r="C167" s="422"/>
      <c r="D167" s="422"/>
      <c r="E167" s="421"/>
      <c r="F167" s="421"/>
      <c r="G167" s="421"/>
      <c r="H167" s="424"/>
      <c r="I167" s="421"/>
      <c r="J167" s="421"/>
    </row>
    <row r="168" spans="2:10">
      <c r="B168" s="405"/>
      <c r="C168" s="422"/>
      <c r="D168" s="422"/>
      <c r="E168" s="421"/>
      <c r="F168" s="422"/>
      <c r="G168" s="422"/>
      <c r="H168" s="423"/>
      <c r="I168" s="422"/>
      <c r="J168" s="422"/>
    </row>
    <row r="169" spans="2:10">
      <c r="B169" s="407"/>
      <c r="C169" s="421"/>
      <c r="D169" s="421"/>
      <c r="E169" s="422"/>
      <c r="F169" s="421"/>
      <c r="G169" s="421"/>
      <c r="H169" s="424"/>
      <c r="I169" s="421"/>
      <c r="J169" s="421"/>
    </row>
    <row r="170" spans="2:10">
      <c r="B170" s="407"/>
      <c r="C170" s="421"/>
      <c r="D170" s="421"/>
      <c r="E170" s="422"/>
      <c r="F170" s="421"/>
      <c r="G170" s="421"/>
      <c r="H170" s="424"/>
      <c r="I170" s="421"/>
      <c r="J170" s="421"/>
    </row>
    <row r="171" spans="2:10">
      <c r="C171" s="421"/>
      <c r="D171" s="421"/>
      <c r="E171" s="422"/>
      <c r="F171" s="421"/>
      <c r="G171" s="421"/>
      <c r="H171" s="424"/>
      <c r="I171" s="421"/>
      <c r="J171" s="421"/>
    </row>
    <row r="174" spans="2:10">
      <c r="B174" s="357"/>
    </row>
    <row r="175" spans="2:10">
      <c r="B175" s="322"/>
    </row>
    <row r="177" spans="1:12">
      <c r="C177" s="403"/>
      <c r="D177" s="403"/>
      <c r="E177" s="403"/>
      <c r="F177" s="403"/>
      <c r="H177" s="415"/>
      <c r="I177" s="403"/>
      <c r="J177" s="403"/>
    </row>
    <row r="178" spans="1:12">
      <c r="F178" s="416"/>
    </row>
    <row r="179" spans="1:12">
      <c r="B179" s="405"/>
      <c r="C179" s="422"/>
      <c r="D179" s="422"/>
      <c r="E179" s="422"/>
      <c r="F179" s="417"/>
      <c r="H179" s="418"/>
    </row>
    <row r="180" spans="1:12">
      <c r="B180" s="407"/>
      <c r="C180" s="422"/>
      <c r="D180" s="422"/>
      <c r="E180" s="422"/>
      <c r="F180" s="410"/>
      <c r="H180" s="419"/>
      <c r="I180" s="434"/>
      <c r="J180" s="434"/>
    </row>
    <row r="181" spans="1:12">
      <c r="B181" s="407"/>
      <c r="C181" s="422"/>
      <c r="D181" s="422"/>
      <c r="E181" s="422"/>
      <c r="F181" s="410"/>
      <c r="H181" s="419"/>
      <c r="I181" s="434"/>
      <c r="J181" s="434"/>
    </row>
    <row r="182" spans="1:12">
      <c r="C182" s="422"/>
      <c r="D182" s="422"/>
      <c r="E182" s="422"/>
      <c r="F182" s="410"/>
      <c r="H182" s="419"/>
      <c r="I182" s="420"/>
      <c r="J182" s="420"/>
    </row>
    <row r="183" spans="1:12">
      <c r="B183" s="405"/>
      <c r="C183" s="422"/>
      <c r="D183" s="422"/>
      <c r="E183" s="422"/>
      <c r="F183" s="410"/>
      <c r="H183" s="418"/>
      <c r="I183" s="395"/>
      <c r="J183" s="395"/>
    </row>
    <row r="184" spans="1:12">
      <c r="B184" s="407"/>
      <c r="C184" s="422"/>
      <c r="D184" s="422"/>
      <c r="E184" s="422"/>
      <c r="F184" s="410"/>
      <c r="H184" s="419"/>
      <c r="I184" s="434"/>
      <c r="J184" s="434"/>
    </row>
    <row r="185" spans="1:12">
      <c r="B185" s="407"/>
      <c r="C185" s="422"/>
      <c r="D185" s="422"/>
      <c r="E185" s="422"/>
      <c r="F185" s="410"/>
    </row>
    <row r="189" spans="1:12">
      <c r="A189" s="421"/>
      <c r="B189" s="357"/>
      <c r="C189" s="304"/>
      <c r="E189" s="304"/>
    </row>
    <row r="190" spans="1:12">
      <c r="C190" s="304"/>
      <c r="E190" s="304"/>
    </row>
    <row r="191" spans="1:12">
      <c r="C191" s="403"/>
      <c r="D191" s="403"/>
      <c r="E191" s="403"/>
      <c r="F191" s="403"/>
      <c r="G191" s="403"/>
      <c r="H191" s="404"/>
      <c r="I191" s="403"/>
      <c r="J191" s="403"/>
      <c r="K191" s="403"/>
      <c r="L191" s="403"/>
    </row>
    <row r="193" spans="2:12">
      <c r="B193" s="384"/>
      <c r="C193" s="401"/>
      <c r="D193" s="401"/>
      <c r="E193" s="426"/>
      <c r="F193" s="401"/>
      <c r="G193" s="390"/>
      <c r="H193" s="427"/>
      <c r="I193" s="401"/>
      <c r="J193" s="401"/>
      <c r="K193" s="426"/>
      <c r="L193" s="426"/>
    </row>
    <row r="194" spans="2:12" ht="15.25">
      <c r="B194" s="384"/>
      <c r="C194" s="393"/>
      <c r="D194" s="393"/>
      <c r="E194" s="393"/>
      <c r="F194" s="393"/>
      <c r="G194" s="393"/>
      <c r="H194" s="428"/>
      <c r="I194" s="393"/>
      <c r="J194" s="393"/>
      <c r="K194" s="431"/>
      <c r="L194" s="431"/>
    </row>
    <row r="195" spans="2:12">
      <c r="B195" s="384"/>
      <c r="C195" s="392"/>
      <c r="D195" s="392"/>
      <c r="E195" s="392"/>
      <c r="F195" s="392"/>
      <c r="G195" s="392"/>
      <c r="H195" s="429"/>
      <c r="I195" s="392"/>
      <c r="J195" s="392"/>
      <c r="K195" s="392"/>
      <c r="L195" s="392"/>
    </row>
    <row r="196" spans="2:12">
      <c r="B196" s="384"/>
      <c r="C196" s="392"/>
      <c r="D196" s="392"/>
      <c r="E196" s="392"/>
      <c r="F196" s="392"/>
      <c r="G196" s="392"/>
      <c r="H196" s="429"/>
      <c r="I196" s="392"/>
      <c r="J196" s="392"/>
      <c r="K196" s="392"/>
      <c r="L196" s="392"/>
    </row>
    <row r="197" spans="2:12">
      <c r="B197" s="384"/>
      <c r="C197" s="392"/>
      <c r="D197" s="392"/>
      <c r="E197" s="392"/>
      <c r="F197" s="392"/>
      <c r="G197" s="392"/>
      <c r="H197" s="429"/>
      <c r="I197" s="392"/>
      <c r="J197" s="392"/>
      <c r="K197" s="392"/>
      <c r="L197" s="392"/>
    </row>
    <row r="198" spans="2:12" ht="15.25">
      <c r="B198" s="384"/>
      <c r="C198" s="400"/>
      <c r="E198" s="304"/>
    </row>
    <row r="199" spans="2:12">
      <c r="B199" s="384"/>
      <c r="C199" s="392"/>
      <c r="E199" s="304"/>
    </row>
    <row r="200" spans="2:12">
      <c r="B200" s="384"/>
      <c r="C200" s="304"/>
      <c r="E200" s="304"/>
    </row>
    <row r="201" spans="2:12">
      <c r="C201" s="403"/>
      <c r="D201" s="403"/>
      <c r="E201" s="403"/>
      <c r="F201" s="403"/>
      <c r="G201" s="403"/>
      <c r="H201" s="404"/>
      <c r="I201" s="403"/>
      <c r="J201" s="403"/>
      <c r="K201" s="403"/>
      <c r="L201" s="403"/>
    </row>
    <row r="203" spans="2:12">
      <c r="B203" s="384"/>
      <c r="C203" s="392"/>
    </row>
    <row r="204" spans="2:12" ht="15.25">
      <c r="B204" s="384"/>
      <c r="C204" s="400"/>
    </row>
    <row r="205" spans="2:12">
      <c r="B205" s="384"/>
      <c r="C205" s="392"/>
      <c r="D205" s="392"/>
      <c r="G205" s="384"/>
    </row>
    <row r="206" spans="2:12">
      <c r="C206" s="304"/>
      <c r="E206" s="304"/>
      <c r="G206" s="384"/>
    </row>
    <row r="207" spans="2:12">
      <c r="B207" s="414"/>
      <c r="C207" s="392"/>
      <c r="E207" s="435"/>
      <c r="G207" s="435"/>
    </row>
    <row r="208" spans="2:12">
      <c r="B208" s="384"/>
      <c r="C208" s="392"/>
      <c r="E208" s="348"/>
    </row>
    <row r="209" spans="1:10" ht="15.25">
      <c r="B209" s="384"/>
      <c r="C209" s="400"/>
      <c r="E209" s="353"/>
    </row>
    <row r="210" spans="1:10">
      <c r="B210" s="384"/>
      <c r="C210" s="392"/>
      <c r="E210" s="348"/>
    </row>
    <row r="212" spans="1:10">
      <c r="C212" s="436"/>
    </row>
    <row r="213" spans="1:10" outlineLevel="1">
      <c r="A213" s="357"/>
    </row>
    <row r="214" spans="1:10" outlineLevel="1">
      <c r="A214" s="421"/>
      <c r="B214" s="398"/>
      <c r="C214" s="304"/>
      <c r="E214" s="304"/>
    </row>
    <row r="215" spans="1:10" outlineLevel="1">
      <c r="B215" s="322"/>
    </row>
    <row r="216" spans="1:10" outlineLevel="1">
      <c r="A216" s="421"/>
    </row>
    <row r="217" spans="1:10" outlineLevel="1">
      <c r="B217" s="357"/>
    </row>
    <row r="218" spans="1:10" outlineLevel="1">
      <c r="B218" s="322"/>
    </row>
    <row r="219" spans="1:10" outlineLevel="1">
      <c r="B219" s="357"/>
    </row>
    <row r="220" spans="1:10" outlineLevel="1">
      <c r="C220" s="403"/>
      <c r="D220" s="403"/>
      <c r="E220" s="403"/>
      <c r="F220" s="403"/>
      <c r="G220" s="403"/>
      <c r="H220" s="404"/>
      <c r="I220" s="403"/>
      <c r="J220" s="403"/>
    </row>
    <row r="221" spans="1:10" outlineLevel="1">
      <c r="C221" s="421"/>
      <c r="D221" s="421"/>
      <c r="E221" s="421"/>
      <c r="F221" s="422"/>
      <c r="G221" s="422"/>
      <c r="H221" s="423"/>
      <c r="I221" s="422"/>
      <c r="J221" s="422"/>
    </row>
    <row r="222" spans="1:10" outlineLevel="1">
      <c r="B222" s="405"/>
      <c r="C222" s="421"/>
      <c r="D222" s="421"/>
      <c r="E222" s="421"/>
      <c r="F222" s="422"/>
      <c r="G222" s="422"/>
      <c r="H222" s="423"/>
      <c r="I222" s="422"/>
      <c r="J222" s="422"/>
    </row>
    <row r="223" spans="1:10" outlineLevel="1">
      <c r="B223" s="407"/>
      <c r="C223" s="421"/>
      <c r="D223" s="421"/>
      <c r="E223" s="422"/>
    </row>
    <row r="224" spans="1:10" outlineLevel="1">
      <c r="B224" s="407"/>
      <c r="C224" s="421"/>
      <c r="D224" s="421"/>
      <c r="E224" s="422"/>
      <c r="F224" s="421"/>
      <c r="G224" s="421"/>
      <c r="H224" s="424"/>
      <c r="I224" s="421"/>
      <c r="J224" s="421"/>
    </row>
    <row r="225" spans="2:10" outlineLevel="1">
      <c r="B225" s="411"/>
      <c r="C225" s="421"/>
      <c r="D225" s="421"/>
      <c r="E225" s="421"/>
      <c r="F225" s="421"/>
      <c r="G225" s="421"/>
      <c r="H225" s="424"/>
      <c r="I225" s="421"/>
      <c r="J225" s="421"/>
    </row>
    <row r="226" spans="2:10" outlineLevel="1">
      <c r="B226" s="414"/>
      <c r="C226" s="422"/>
      <c r="D226" s="422"/>
      <c r="E226" s="421"/>
      <c r="F226" s="421"/>
      <c r="G226" s="421"/>
      <c r="H226" s="424"/>
      <c r="I226" s="421"/>
      <c r="J226" s="421"/>
    </row>
    <row r="227" spans="2:10" outlineLevel="1">
      <c r="B227" s="414"/>
      <c r="C227" s="422"/>
      <c r="D227" s="422"/>
      <c r="E227" s="421"/>
      <c r="F227" s="421"/>
      <c r="G227" s="421"/>
      <c r="H227" s="424"/>
      <c r="I227" s="421"/>
      <c r="J227" s="421"/>
    </row>
    <row r="228" spans="2:10" outlineLevel="1">
      <c r="C228" s="422"/>
      <c r="D228" s="422"/>
      <c r="E228" s="421"/>
      <c r="F228" s="421"/>
      <c r="G228" s="421"/>
      <c r="H228" s="424"/>
      <c r="I228" s="421"/>
      <c r="J228" s="421"/>
    </row>
    <row r="229" spans="2:10" outlineLevel="1">
      <c r="B229" s="405"/>
      <c r="C229" s="422"/>
      <c r="D229" s="422"/>
      <c r="E229" s="421"/>
      <c r="F229" s="422"/>
      <c r="G229" s="422"/>
      <c r="H229" s="423"/>
      <c r="I229" s="422"/>
      <c r="J229" s="422"/>
    </row>
    <row r="230" spans="2:10" outlineLevel="1">
      <c r="B230" s="407"/>
      <c r="C230" s="421"/>
      <c r="D230" s="421"/>
      <c r="E230" s="422"/>
      <c r="F230" s="421"/>
      <c r="G230" s="421"/>
      <c r="H230" s="424"/>
      <c r="I230" s="421"/>
      <c r="J230" s="421"/>
    </row>
    <row r="231" spans="2:10" outlineLevel="1">
      <c r="B231" s="407"/>
      <c r="C231" s="421"/>
      <c r="D231" s="421"/>
      <c r="E231" s="422"/>
      <c r="F231" s="421"/>
      <c r="G231" s="421"/>
      <c r="H231" s="424"/>
      <c r="I231" s="421"/>
      <c r="J231" s="421"/>
    </row>
    <row r="232" spans="2:10" outlineLevel="1">
      <c r="C232" s="421"/>
      <c r="D232" s="421"/>
      <c r="E232" s="422"/>
      <c r="F232" s="421"/>
      <c r="G232" s="421"/>
      <c r="H232" s="424"/>
      <c r="I232" s="421"/>
      <c r="J232" s="421"/>
    </row>
    <row r="233" spans="2:10" outlineLevel="1"/>
    <row r="234" spans="2:10" outlineLevel="1"/>
    <row r="235" spans="2:10" outlineLevel="1">
      <c r="B235" s="357"/>
    </row>
    <row r="236" spans="2:10" outlineLevel="1">
      <c r="B236" s="322"/>
    </row>
    <row r="237" spans="2:10" outlineLevel="1"/>
    <row r="238" spans="2:10" outlineLevel="1">
      <c r="C238" s="403"/>
      <c r="D238" s="403"/>
      <c r="E238" s="403"/>
      <c r="F238" s="403"/>
      <c r="H238" s="415"/>
      <c r="I238" s="403"/>
      <c r="J238" s="403"/>
    </row>
    <row r="239" spans="2:10" outlineLevel="1">
      <c r="F239" s="416"/>
    </row>
    <row r="240" spans="2:10" outlineLevel="1">
      <c r="B240" s="405"/>
      <c r="C240" s="422"/>
      <c r="D240" s="422"/>
      <c r="E240" s="422"/>
      <c r="F240" s="417"/>
      <c r="H240" s="418"/>
    </row>
    <row r="241" spans="1:12" outlineLevel="1">
      <c r="B241" s="407"/>
      <c r="C241" s="422"/>
      <c r="D241" s="422"/>
      <c r="E241" s="422"/>
      <c r="F241" s="410"/>
      <c r="H241" s="419"/>
      <c r="I241" s="434"/>
      <c r="J241" s="434"/>
    </row>
    <row r="242" spans="1:12" outlineLevel="1">
      <c r="B242" s="407"/>
      <c r="C242" s="422"/>
      <c r="D242" s="422"/>
      <c r="E242" s="422"/>
      <c r="F242" s="410"/>
      <c r="H242" s="419"/>
      <c r="I242" s="434"/>
      <c r="J242" s="434"/>
    </row>
    <row r="243" spans="1:12" outlineLevel="1">
      <c r="C243" s="422"/>
      <c r="D243" s="422"/>
      <c r="E243" s="422"/>
      <c r="F243" s="410"/>
      <c r="H243" s="419"/>
      <c r="I243" s="420"/>
      <c r="J243" s="420"/>
    </row>
    <row r="244" spans="1:12" outlineLevel="1">
      <c r="B244" s="405"/>
      <c r="C244" s="422"/>
      <c r="D244" s="422"/>
      <c r="E244" s="422"/>
      <c r="F244" s="410"/>
      <c r="H244" s="418"/>
      <c r="I244" s="395"/>
      <c r="J244" s="395"/>
    </row>
    <row r="245" spans="1:12" outlineLevel="1">
      <c r="B245" s="407"/>
      <c r="C245" s="422"/>
      <c r="D245" s="422"/>
      <c r="E245" s="422"/>
      <c r="F245" s="410"/>
      <c r="H245" s="419"/>
      <c r="I245" s="434"/>
      <c r="J245" s="434"/>
    </row>
    <row r="246" spans="1:12" outlineLevel="1">
      <c r="B246" s="407"/>
      <c r="C246" s="422"/>
      <c r="D246" s="422"/>
      <c r="E246" s="422"/>
      <c r="F246" s="410"/>
    </row>
    <row r="247" spans="1:12" outlineLevel="1"/>
    <row r="248" spans="1:12" outlineLevel="1"/>
    <row r="249" spans="1:12" outlineLevel="1"/>
    <row r="250" spans="1:12" outlineLevel="1"/>
    <row r="251" spans="1:12" outlineLevel="1">
      <c r="A251" s="421"/>
      <c r="B251" s="357"/>
      <c r="C251" s="304"/>
      <c r="E251" s="304"/>
    </row>
    <row r="252" spans="1:12" outlineLevel="1">
      <c r="C252" s="304"/>
      <c r="E252" s="304"/>
    </row>
    <row r="253" spans="1:12" outlineLevel="1">
      <c r="C253" s="403"/>
      <c r="D253" s="403"/>
      <c r="E253" s="403"/>
      <c r="F253" s="403"/>
      <c r="G253" s="403"/>
      <c r="H253" s="404"/>
      <c r="I253" s="403"/>
      <c r="J253" s="403"/>
      <c r="K253" s="403"/>
      <c r="L253" s="403"/>
    </row>
    <row r="254" spans="1:12" outlineLevel="1"/>
    <row r="255" spans="1:12" outlineLevel="1">
      <c r="B255" s="384"/>
      <c r="C255" s="401"/>
      <c r="D255" s="401"/>
      <c r="E255" s="426"/>
      <c r="F255" s="401"/>
      <c r="G255" s="390"/>
      <c r="H255" s="427"/>
      <c r="I255" s="401"/>
      <c r="J255" s="401"/>
      <c r="K255" s="426"/>
      <c r="L255" s="426"/>
    </row>
    <row r="256" spans="1:12" ht="15.25" outlineLevel="1">
      <c r="B256" s="384"/>
      <c r="C256" s="393"/>
      <c r="D256" s="393"/>
      <c r="E256" s="393"/>
      <c r="F256" s="437"/>
      <c r="G256" s="437"/>
      <c r="H256" s="428"/>
      <c r="I256" s="437"/>
      <c r="J256" s="437"/>
      <c r="K256" s="431"/>
      <c r="L256" s="431"/>
    </row>
    <row r="257" spans="2:12" outlineLevel="1">
      <c r="B257" s="384"/>
      <c r="C257" s="392"/>
      <c r="D257" s="392"/>
      <c r="E257" s="392"/>
      <c r="F257" s="392"/>
      <c r="G257" s="392"/>
      <c r="H257" s="429"/>
      <c r="I257" s="392"/>
      <c r="J257" s="392"/>
      <c r="K257" s="392"/>
      <c r="L257" s="392"/>
    </row>
    <row r="258" spans="2:12" outlineLevel="1">
      <c r="B258" s="384"/>
      <c r="C258" s="392"/>
      <c r="D258" s="392"/>
      <c r="E258" s="392"/>
      <c r="F258" s="392"/>
      <c r="G258" s="392"/>
      <c r="H258" s="429"/>
      <c r="I258" s="392"/>
      <c r="J258" s="392"/>
      <c r="K258" s="392"/>
      <c r="L258" s="392"/>
    </row>
    <row r="259" spans="2:12" outlineLevel="1">
      <c r="B259" s="384"/>
      <c r="C259" s="392"/>
      <c r="D259" s="392"/>
      <c r="E259" s="392"/>
      <c r="F259" s="392"/>
      <c r="G259" s="392"/>
      <c r="H259" s="429"/>
      <c r="I259" s="392"/>
      <c r="J259" s="392"/>
      <c r="K259" s="392"/>
      <c r="L259" s="392"/>
    </row>
    <row r="260" spans="2:12" ht="15.25" outlineLevel="1">
      <c r="B260" s="384"/>
      <c r="C260" s="400"/>
      <c r="E260" s="304"/>
    </row>
    <row r="261" spans="2:12" outlineLevel="1">
      <c r="B261" s="384"/>
      <c r="C261" s="392"/>
      <c r="E261" s="304"/>
    </row>
    <row r="262" spans="2:12" outlineLevel="1">
      <c r="B262" s="384"/>
      <c r="C262" s="304"/>
      <c r="E262" s="304"/>
    </row>
    <row r="263" spans="2:12" outlineLevel="1">
      <c r="C263" s="403"/>
      <c r="D263" s="403"/>
      <c r="E263" s="403"/>
      <c r="F263" s="403"/>
      <c r="G263" s="403"/>
      <c r="H263" s="404"/>
      <c r="I263" s="403"/>
      <c r="J263" s="403"/>
      <c r="K263" s="403"/>
      <c r="L263" s="403"/>
    </row>
    <row r="264" spans="2:12" outlineLevel="1"/>
    <row r="265" spans="2:12" outlineLevel="1">
      <c r="C265" s="356"/>
      <c r="D265" s="356"/>
      <c r="E265" s="356"/>
    </row>
    <row r="266" spans="2:12" outlineLevel="1">
      <c r="B266" s="384"/>
      <c r="C266" s="392"/>
      <c r="D266" s="436"/>
      <c r="E266" s="392"/>
    </row>
    <row r="267" spans="2:12" outlineLevel="1">
      <c r="B267" s="384"/>
      <c r="C267" s="438"/>
      <c r="D267" s="439"/>
      <c r="E267" s="438"/>
    </row>
    <row r="268" spans="2:12" outlineLevel="1">
      <c r="B268" s="384"/>
      <c r="C268" s="392"/>
      <c r="D268" s="392"/>
      <c r="E268" s="392"/>
      <c r="G268" s="384"/>
    </row>
    <row r="269" spans="2:12" outlineLevel="1">
      <c r="C269" s="304"/>
      <c r="E269" s="304"/>
      <c r="G269" s="384"/>
    </row>
    <row r="270" spans="2:12" outlineLevel="1">
      <c r="B270" s="414"/>
      <c r="C270" s="392"/>
      <c r="E270" s="435"/>
      <c r="G270" s="435"/>
    </row>
    <row r="271" spans="2:12" outlineLevel="1">
      <c r="B271" s="384"/>
      <c r="C271" s="392"/>
      <c r="E271" s="348"/>
    </row>
    <row r="272" spans="2:12" outlineLevel="1">
      <c r="B272" s="384"/>
      <c r="C272" s="438"/>
      <c r="E272" s="353"/>
    </row>
    <row r="273" spans="2:5" outlineLevel="1">
      <c r="B273" s="384"/>
      <c r="C273" s="392"/>
      <c r="E273" s="348"/>
    </row>
    <row r="274" spans="2:5" outlineLevel="1"/>
  </sheetData>
  <mergeCells count="1">
    <mergeCell ref="D2:H3"/>
  </mergeCells>
  <pageMargins left="0.75" right="0.75" top="1" bottom="1" header="0.5" footer="0.5"/>
  <pageSetup scale="78" orientation="landscape" r:id="rId1"/>
  <headerFooter alignWithMargins="0">
    <oddHeader>&amp;C&amp;"Arial,Bold"Public Service Electric and Gas Company Specific Addendum
Attachment 4 P5</oddHeader>
  </headerFooter>
  <rowBreaks count="7" manualBreakCount="7">
    <brk id="33" max="6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2F1F-DEE5-416A-AA34-1178AB66A5DB}">
  <sheetPr>
    <pageSetUpPr fitToPage="1"/>
  </sheetPr>
  <dimension ref="A1:P135"/>
  <sheetViews>
    <sheetView view="pageBreakPreview" zoomScaleNormal="110" zoomScaleSheetLayoutView="100" workbookViewId="0"/>
  </sheetViews>
  <sheetFormatPr defaultColWidth="9.26953125" defaultRowHeight="13"/>
  <cols>
    <col min="1" max="1" width="3.40625" style="354" bestFit="1" customWidth="1"/>
    <col min="2" max="2" width="62.54296875" style="354" bestFit="1" customWidth="1"/>
    <col min="3" max="3" width="36" style="354" customWidth="1"/>
    <col min="4" max="4" width="23.54296875" style="354" customWidth="1"/>
    <col min="5" max="5" width="42.86328125" style="354" customWidth="1"/>
    <col min="6" max="6" width="4.26953125" style="376" customWidth="1"/>
    <col min="7" max="7" width="65.86328125" style="354" customWidth="1"/>
    <col min="8" max="8" width="25.7265625" style="354" customWidth="1"/>
    <col min="9" max="16384" width="9.26953125" style="354"/>
  </cols>
  <sheetData>
    <row r="1" spans="1:16" ht="30" customHeight="1">
      <c r="B1" s="355" t="s">
        <v>425</v>
      </c>
      <c r="D1" s="514"/>
      <c r="E1" s="514"/>
      <c r="F1" s="445"/>
      <c r="G1" s="518"/>
      <c r="H1" s="518"/>
      <c r="I1" s="519"/>
      <c r="J1" s="519"/>
      <c r="K1" s="519"/>
      <c r="L1" s="519"/>
      <c r="M1" s="519"/>
      <c r="N1" s="519"/>
    </row>
    <row r="2" spans="1:16" ht="52">
      <c r="B2" s="490" t="s">
        <v>375</v>
      </c>
      <c r="C2" s="488" t="s">
        <v>460</v>
      </c>
      <c r="D2" s="514"/>
      <c r="E2" s="514"/>
      <c r="G2" s="518"/>
      <c r="H2" s="518"/>
      <c r="I2" s="519"/>
      <c r="J2" s="519"/>
      <c r="K2" s="519"/>
      <c r="L2" s="519"/>
      <c r="M2" s="519"/>
      <c r="N2" s="519"/>
    </row>
    <row r="3" spans="1:16" ht="26">
      <c r="C3" s="356" t="s">
        <v>379</v>
      </c>
      <c r="E3" s="322" t="s">
        <v>307</v>
      </c>
    </row>
    <row r="4" spans="1:16" ht="26">
      <c r="A4" s="354">
        <v>1</v>
      </c>
      <c r="B4" s="357" t="s">
        <v>380</v>
      </c>
      <c r="C4" s="358">
        <v>280</v>
      </c>
      <c r="E4" s="447" t="s">
        <v>381</v>
      </c>
    </row>
    <row r="5" spans="1:16">
      <c r="A5" s="354">
        <v>2</v>
      </c>
      <c r="B5" s="357" t="s">
        <v>382</v>
      </c>
      <c r="C5" s="492">
        <v>270.43</v>
      </c>
      <c r="E5" s="486" t="s">
        <v>459</v>
      </c>
      <c r="F5" s="448"/>
    </row>
    <row r="6" spans="1:16">
      <c r="C6" s="356"/>
      <c r="E6" s="362"/>
    </row>
    <row r="7" spans="1:16" ht="13.75" thickBot="1">
      <c r="A7" s="354">
        <v>3</v>
      </c>
      <c r="B7" s="357" t="s">
        <v>383</v>
      </c>
      <c r="C7" s="373">
        <f>C4-C5</f>
        <v>9.5699999999999932</v>
      </c>
      <c r="E7" s="359" t="s">
        <v>384</v>
      </c>
    </row>
    <row r="8" spans="1:16" s="376" customFormat="1" ht="13.75" thickTop="1">
      <c r="A8" s="354"/>
      <c r="B8" s="357"/>
      <c r="C8" s="367"/>
      <c r="D8" s="359"/>
      <c r="E8" s="354"/>
      <c r="G8" s="354"/>
      <c r="H8" s="354"/>
      <c r="I8" s="354"/>
      <c r="J8" s="354"/>
      <c r="K8" s="354"/>
      <c r="L8" s="354"/>
      <c r="M8" s="354"/>
      <c r="N8" s="354"/>
      <c r="O8" s="354"/>
      <c r="P8" s="354"/>
    </row>
    <row r="9" spans="1:16" s="376" customFormat="1">
      <c r="A9" s="354">
        <v>4</v>
      </c>
      <c r="B9" s="371" t="s">
        <v>426</v>
      </c>
      <c r="C9" s="446">
        <v>696.05</v>
      </c>
      <c r="D9" s="359"/>
      <c r="E9" s="354" t="s">
        <v>427</v>
      </c>
      <c r="G9" s="354"/>
      <c r="H9" s="354"/>
      <c r="I9" s="354"/>
      <c r="J9" s="354"/>
      <c r="K9" s="354"/>
      <c r="L9" s="354"/>
      <c r="M9" s="354"/>
      <c r="N9" s="354"/>
      <c r="O9" s="354"/>
      <c r="P9" s="354"/>
    </row>
    <row r="10" spans="1:16" s="376" customFormat="1">
      <c r="A10" s="354"/>
      <c r="B10" s="357"/>
      <c r="C10" s="358"/>
      <c r="D10" s="359"/>
      <c r="E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</row>
    <row r="12" spans="1:16" s="376" customFormat="1" ht="13.75" thickBot="1">
      <c r="A12" s="354">
        <v>5</v>
      </c>
      <c r="B12" s="371" t="s">
        <v>428</v>
      </c>
      <c r="C12" s="373">
        <f>C9+C7</f>
        <v>705.61999999999989</v>
      </c>
      <c r="D12" s="354" t="s">
        <v>330</v>
      </c>
      <c r="E12" s="359" t="s">
        <v>429</v>
      </c>
      <c r="G12" s="354"/>
      <c r="H12" s="354"/>
      <c r="I12" s="354"/>
      <c r="J12" s="354"/>
      <c r="K12" s="354"/>
      <c r="L12" s="354"/>
      <c r="M12" s="354"/>
      <c r="N12" s="354"/>
      <c r="O12" s="354"/>
      <c r="P12" s="354"/>
    </row>
    <row r="13" spans="1:16" ht="13.75" thickTop="1">
      <c r="D13" s="354" t="s">
        <v>332</v>
      </c>
    </row>
    <row r="14" spans="1:16" s="376" customFormat="1">
      <c r="A14" s="354"/>
      <c r="B14" s="357"/>
      <c r="C14" s="358"/>
      <c r="D14" s="359"/>
      <c r="E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</row>
    <row r="17" spans="1:16" s="376" customFormat="1">
      <c r="A17" s="354"/>
      <c r="B17" s="354"/>
      <c r="C17" s="354"/>
      <c r="D17" s="354"/>
      <c r="E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</row>
    <row r="135" spans="5:5">
      <c r="E135" s="375"/>
    </row>
  </sheetData>
  <mergeCells count="10">
    <mergeCell ref="D2:E2"/>
    <mergeCell ref="G2:H2"/>
    <mergeCell ref="I2:J2"/>
    <mergeCell ref="K2:L2"/>
    <mergeCell ref="M2:N2"/>
    <mergeCell ref="D1:E1"/>
    <mergeCell ref="G1:H1"/>
    <mergeCell ref="I1:J1"/>
    <mergeCell ref="K1:L1"/>
    <mergeCell ref="M1:N1"/>
  </mergeCells>
  <pageMargins left="0.7" right="0.7" top="1" bottom="0.75" header="0.3" footer="0.3"/>
  <pageSetup scale="74" orientation="landscape" r:id="rId1"/>
  <headerFooter>
    <oddHeader xml:space="preserve">&amp;C&amp;"Arial,Bold"Public Service Electric and Gas Company Specific Addendum
Attachment 4 P6
</oddHeader>
  </headerFooter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Inputs</vt:lpstr>
      <vt:lpstr>Attach2 - BidFactors</vt:lpstr>
      <vt:lpstr>Attach3 - AuctionRateResult</vt:lpstr>
      <vt:lpstr>Attach 4 P1</vt:lpstr>
      <vt:lpstr>Attach 4 P2</vt:lpstr>
      <vt:lpstr>Attach 4 P3</vt:lpstr>
      <vt:lpstr>Attach 4 P4 </vt:lpstr>
      <vt:lpstr>Attach 4 P5</vt:lpstr>
      <vt:lpstr>Attach 4 P6 - CIEP</vt:lpstr>
      <vt:lpstr>Notes from review JT</vt:lpstr>
      <vt:lpstr>'Attach 4 P1'!Print_Area</vt:lpstr>
      <vt:lpstr>'Attach 4 P2'!Print_Area</vt:lpstr>
      <vt:lpstr>'Attach 4 P3'!Print_Area</vt:lpstr>
      <vt:lpstr>'Attach 4 P4 '!Print_Area</vt:lpstr>
      <vt:lpstr>'Attach 4 P5'!Print_Area</vt:lpstr>
      <vt:lpstr>'Attach 4 P6 - CIEP'!Print_Area</vt:lpstr>
      <vt:lpstr>'Attach2 - BidFactors'!Print_Area</vt:lpstr>
      <vt:lpstr>'Attach3 - AuctionRateResult'!Print_Area</vt:lpstr>
      <vt:lpstr>'Attach 4 P4 '!Print_Titles</vt:lpstr>
      <vt:lpstr>'Attach 4 P5'!Print_Titles</vt:lpstr>
      <vt:lpstr>'Attach3 - AuctionRateResult'!Print_Titles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Carruthers, Jennifer L.</dc:creator>
  <cp:lastModifiedBy>Morrison, Kate</cp:lastModifiedBy>
  <cp:lastPrinted>2025-06-25T19:02:56Z</cp:lastPrinted>
  <dcterms:created xsi:type="dcterms:W3CDTF">2025-06-24T17:32:02Z</dcterms:created>
  <dcterms:modified xsi:type="dcterms:W3CDTF">2025-07-01T14:05:34Z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fcb19a01-5eb0-48db-8775-4acd9435745e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2025-07-01T13:44:02Z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30524c90-24ac-4f65-8d2e-91de52095db9</vt:lpwstr>
  </property>
  <property fmtid="{D5CDD505-2E9C-101B-9397-08002B2CF9AE}" pid="9" name="MSIP_Label_38f1469a-2c2a-4aee-b92b-090d4c5468ff_ContentBits">
    <vt:lpwstr>0</vt:lpwstr>
  </property>
  <property fmtid="{D5CDD505-2E9C-101B-9397-08002B2CF9AE}" pid="10" name="MSIP_Label_38f1469a-2c2a-4aee-b92b-090d4c5468ff_Tag">
    <vt:lpwstr>10, 3, 0, 1</vt:lpwstr>
  </property>
</Properties>
</file>