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ra-dcfs\work\Projects\Energy\BGS 24-25 (A) (121824)\2025 Auction\3 RSCP Rates\1 July Filing\2 Received from EDCs\to post\"/>
    </mc:Choice>
  </mc:AlternateContent>
  <xr:revisionPtr revIDLastSave="0" documentId="13_ncr:1_{2122497A-421B-4311-BD05-AA3AE0C77664}" xr6:coauthVersionLast="47" xr6:coauthVersionMax="47" xr10:uidLastSave="{00000000-0000-0000-0000-000000000000}"/>
  <bookViews>
    <workbookView xWindow="15005" yWindow="-17370" windowWidth="30900" windowHeight="16860" xr2:uid="{A540894F-A4A7-4CC1-923E-972790C57D27}"/>
  </bookViews>
  <sheets>
    <sheet name="BGS Cost &amp; Bid Factors" sheetId="1" r:id="rId1"/>
    <sheet name="Weighted Avg Price Calc" sheetId="2" r:id="rId2"/>
    <sheet name="Rate Calculations" sheetId="3" r:id="rId3"/>
    <sheet name="Usage By Season" sheetId="4" state="hidden" r:id="rId4"/>
  </sheets>
  <definedNames>
    <definedName name="\a">#REF!</definedName>
    <definedName name="\P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DAT4">#REF!</definedName>
    <definedName name="_Fill" hidden="1">#REF!</definedName>
    <definedName name="_New2">#REF!</definedName>
    <definedName name="_New3">#REF!</definedName>
    <definedName name="_New4">#REF!</definedName>
    <definedName name="_Order1" hidden="1">255</definedName>
    <definedName name="_RA2004">#REF!</definedName>
    <definedName name="_RC101">#REF!</definedName>
    <definedName name="_RC201">#REF!</definedName>
    <definedName name="_RC401">#REF!</definedName>
    <definedName name="_RC501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djAvg">#REF!</definedName>
    <definedName name="anscount" hidden="1">1</definedName>
    <definedName name="AvgRate">#REF!</definedName>
    <definedName name="Base">#REF!</definedName>
    <definedName name="BGS_Auction_Cost">#REF!</definedName>
    <definedName name="BGS_Forecast">#REF!</definedName>
    <definedName name="BGS_Rate">#REF!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#REF!</definedName>
    <definedName name="BilledLMSales">#REF!</definedName>
    <definedName name="BilledLMWalkCode">#REF!</definedName>
    <definedName name="BilledLYTDRev">#REF!</definedName>
    <definedName name="BilledLYTDSales">#REF!</definedName>
    <definedName name="BilledLYTDWalkCode">#REF!</definedName>
    <definedName name="BilledSC">#REF!</definedName>
    <definedName name="BilledTMRev">#REF!</definedName>
    <definedName name="BilledTMSales">#REF!</definedName>
    <definedName name="BilledTMWalkCode">#REF!</definedName>
    <definedName name="BilledTYTDRev">#REF!</definedName>
    <definedName name="BilledTYTDSales">#REF!</definedName>
    <definedName name="BilledTYTDWalkCode">#REF!</definedName>
    <definedName name="Black_Box">#REF!</definedName>
    <definedName name="BLE_Close_Date">#REF!</definedName>
    <definedName name="BLE_Resid">#REF!</definedName>
    <definedName name="BLE_Strand">#REF!</definedName>
    <definedName name="BLEwd">#REF!</definedName>
    <definedName name="BPU_Assessment">#REF!</definedName>
    <definedName name="CBT">#REF!</definedName>
    <definedName name="CEP">#REF!</definedName>
    <definedName name="CEP_Amortization">#REF!</definedName>
    <definedName name="Co_letter">#REF!</definedName>
    <definedName name="Co_List">#REF!</definedName>
    <definedName name="Co_Name">#REF!</definedName>
    <definedName name="Co_Picked">#REF!</definedName>
    <definedName name="COGEN">#REF!</definedName>
    <definedName name="CombRate">#REF!</definedName>
    <definedName name="Composite_Tax_Rate">#REF!</definedName>
    <definedName name="currentedc">#REF!</definedName>
    <definedName name="Curve_Date">#REF!</definedName>
    <definedName name="Cust">#REF!</definedName>
    <definedName name="CustLMAccts">#REF!</definedName>
    <definedName name="CustLMWalkCode">#REF!</definedName>
    <definedName name="CustTMAccts">#REF!</definedName>
    <definedName name="CustTMWalkCode">#REF!</definedName>
    <definedName name="DataTable">#REF!</definedName>
    <definedName name="Decommissioning_Rate">#REF!</definedName>
    <definedName name="Deferral_Interest_Rate">#REF!</definedName>
    <definedName name="Deferral_Recovery">#REF!</definedName>
    <definedName name="Deferral_Sec_Date">#REF!</definedName>
    <definedName name="Distribution_Rate_Adjustment">#REF!</definedName>
    <definedName name="DSM_Rate">#REF!</definedName>
    <definedName name="DSSAC">#REF!</definedName>
    <definedName name="ECA">#REF!</definedName>
    <definedName name="FB_CUSTOMERS">#REF!</definedName>
    <definedName name="FB_LINES">#REF!</definedName>
    <definedName name="FCA">#REF!</definedName>
    <definedName name="Federal_Tax_Rate">#REF!</definedName>
    <definedName name="FilterBilled2">#REF!</definedName>
    <definedName name="Formulas8B22">#REF!</definedName>
    <definedName name="Fossil_BGS">#REF!</definedName>
    <definedName name="Fossil_Divest">#REF!</definedName>
    <definedName name="Fossil_Secur_Date">#REF!</definedName>
    <definedName name="Get_Co">#REF!</definedName>
    <definedName name="Get_Mo">#REF!</definedName>
    <definedName name="goaway" hidden="1">{#N/A,#N/A,TRUE,"TAXPROV";#N/A,#N/A,TRUE,"FLOWTHRU";#N/A,#N/A,TRUE,"SCHEDULE M'S";#N/A,#N/A,TRUE,"PLANT M'S";#N/A,#N/A,TRUE,"TAXJE"}</definedName>
    <definedName name="GPURS">#REF!</definedName>
    <definedName name="GRT">#REF!</definedName>
    <definedName name="h">#REF!</definedName>
    <definedName name="HrsUse">#REF!</definedName>
    <definedName name="Include_OTRA_Kwhrs">#REF!</definedName>
    <definedName name="IncRate">#REF!</definedName>
    <definedName name="Key">#REF!</definedName>
    <definedName name="KeyCon_Close_Date">#REF!</definedName>
    <definedName name="limcount" hidden="1">1</definedName>
    <definedName name="LMP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ddletown">#REF!</definedName>
    <definedName name="MILESTONES_1">#REF!</definedName>
    <definedName name="MILESTONES_2">#REF!</definedName>
    <definedName name="Mo_List">#REF!</definedName>
    <definedName name="Mo_Picked">#REF!</definedName>
    <definedName name="ModelConstant">#REF!</definedName>
    <definedName name="ModelSC">#REF!</definedName>
    <definedName name="ModelSWdiff">#REF!</definedName>
    <definedName name="ModelVol">#REF!</definedName>
    <definedName name="month">#REF!</definedName>
    <definedName name="month1">#REF!</definedName>
    <definedName name="MTC">#REF!</definedName>
    <definedName name="MTC_Type">#REF!</definedName>
    <definedName name="New">#REF!</definedName>
    <definedName name="newCBT">#REF!</definedName>
    <definedName name="newDataTable">#REF!</definedName>
    <definedName name="newTEFA">#REF!</definedName>
    <definedName name="NUGS">#REF!</definedName>
    <definedName name="o">#REF!</definedName>
    <definedName name="opnrg3yr">#REF!</definedName>
    <definedName name="opnrgcst3yr">#REF!</definedName>
    <definedName name="PAGE1">#REF!</definedName>
    <definedName name="PAGE2">#REF!</definedName>
    <definedName name="PAGE4">#REF!</definedName>
    <definedName name="PAGE5">#REF!</definedName>
    <definedName name="pension">#REF!</definedName>
    <definedName name="PJMISO">#REF!</definedName>
    <definedName name="pknrg3yr">#REF!</definedName>
    <definedName name="pknrgcst3yr">#REF!</definedName>
    <definedName name="POLR">#REF!</definedName>
    <definedName name="PostTransReturn">#REF!</definedName>
    <definedName name="PPACOST">#REF!</definedName>
    <definedName name="PreTaxDebt">#REF!</definedName>
    <definedName name="PriceModel">#REF!</definedName>
    <definedName name="PricePerSales">IF(#REF!=0,"",ROUND(#REF!/#REF!,4))</definedName>
    <definedName name="PricePerSalesInput">IF(#REF!=0,"",ROUND(#REF!/#REF!,4))</definedName>
    <definedName name="_xlnm.Print_Area" localSheetId="0">'BGS Cost &amp; Bid Factors'!$A$1:$J$480</definedName>
    <definedName name="_xlnm.Print_Area" localSheetId="2">'Rate Calculations'!$A$1:$J$204</definedName>
    <definedName name="_xlnm.Print_Area" localSheetId="3">'Usage By Season'!$A$1:$I$58</definedName>
    <definedName name="_xlnm.Print_Area" localSheetId="1">'Weighted Avg Price Calc'!$A$1:$N$51</definedName>
    <definedName name="Print_Area_MI">#REF!</definedName>
    <definedName name="_xlnm.Print_Titles" localSheetId="2">'Rate Calculations'!$1:$4</definedName>
    <definedName name="Query1">#REF!</definedName>
    <definedName name="RA">#REF!</definedName>
    <definedName name="Rate_Cap_Off">#REF!</definedName>
    <definedName name="Rate_Reduction_Factor">#REF!</definedName>
    <definedName name="Rates">#REF!</definedName>
    <definedName name="Recover">#REF!</definedName>
    <definedName name="RESALE_CUSTOMERS">#REF!</definedName>
    <definedName name="RESALE_LINES">#REF!</definedName>
    <definedName name="Restructure_Amort">#REF!</definedName>
    <definedName name="RPA">#REF!</definedName>
    <definedName name="Rpt_Mo">#REF!</definedName>
    <definedName name="s">#REF!</definedName>
    <definedName name="Sales">#REF!</definedName>
    <definedName name="SBC">#REF!</definedName>
    <definedName name="SBC_Amort">#REF!</definedName>
    <definedName name="SC">#REF!</definedName>
    <definedName name="SSA">#REF!</definedName>
    <definedName name="State_Tax_Rate">#REF!</definedName>
    <definedName name="SummerWinter">#REF!</definedName>
    <definedName name="SUT">#REF!</definedName>
    <definedName name="SW">#REF!</definedName>
    <definedName name="Swap_Amort">#REF!</definedName>
    <definedName name="Tacx_Factor">#REF!</definedName>
    <definedName name="TaxBasis">#REF!</definedName>
    <definedName name="TBC">#REF!</definedName>
    <definedName name="TBCtax">#REF!</definedName>
    <definedName name="TEFA">#REF!</definedName>
    <definedName name="TOTAL_CUSTOMERS">#REF!</definedName>
    <definedName name="TOTAL_LINES">#REF!</definedName>
    <definedName name="transco">#REF!</definedName>
    <definedName name="transcosts">#REF!</definedName>
    <definedName name="UnB2003key">#REF!</definedName>
    <definedName name="UnB2004key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#REF!</definedName>
    <definedName name="UnbilledAdjLMSales">#REF!</definedName>
    <definedName name="UnbilledAdjLMWalkCode">#REF!</definedName>
    <definedName name="UnbilledAdjTMRev">#REF!</definedName>
    <definedName name="UnbilledAdjTMSales">#REF!</definedName>
    <definedName name="UnbilledAdjTMWalkCode">#REF!</definedName>
    <definedName name="UnBilledKey2003">#REF!</definedName>
    <definedName name="UnBilledKey2004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#REF!</definedName>
    <definedName name="UnbilledLMSales">#REF!</definedName>
    <definedName name="UnbilledLMWalkCode">#REF!</definedName>
    <definedName name="UnbilledTMRev">#REF!</definedName>
    <definedName name="UnbilledTMSales">#REF!</definedName>
    <definedName name="UnbilledTMWalkCode">#REF!</definedName>
    <definedName name="ValidData">#REF!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rn.AGT." hidden="1">{"AGT",#N/A,FALSE,"Revenue"}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ettlement._.Analysis." hidden="1">{"Assumptions",#N/A,FALSE,"Assumptions";"2003 - 2007 Summary",#N/A,FALSE,"Income Statement";"Summary Deferral Forecast",#N/A,FALSE,"Deferral Forecast"}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Accrual." hidden="1">{#N/A,#N/A,TRUE,"TAXPROV";#N/A,#N/A,TRUE,"FLOWTHRU";#N/A,#N/A,TRUE,"SCHEDULE M'S";#N/A,#N/A,TRUE,"PLANT M'S";#N/A,#N/A,TRUE,"TAXJE"}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Year">#REF!</definedName>
    <definedName name="Year1">#REF!</definedName>
    <definedName name="Year4B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4" l="1"/>
  <c r="C27" i="4"/>
  <c r="G21" i="4"/>
  <c r="D279" i="3"/>
  <c r="D273" i="3"/>
  <c r="D285" i="3" s="1"/>
  <c r="U271" i="3"/>
  <c r="R271" i="3"/>
  <c r="K271" i="3"/>
  <c r="M271" i="3" s="1"/>
  <c r="J271" i="3"/>
  <c r="U270" i="3"/>
  <c r="R270" i="3"/>
  <c r="K270" i="3"/>
  <c r="M270" i="3" s="1"/>
  <c r="J270" i="3"/>
  <c r="U269" i="3"/>
  <c r="R269" i="3"/>
  <c r="K269" i="3"/>
  <c r="M269" i="3" s="1"/>
  <c r="J269" i="3"/>
  <c r="U268" i="3"/>
  <c r="R268" i="3"/>
  <c r="K268" i="3"/>
  <c r="M268" i="3" s="1"/>
  <c r="J268" i="3"/>
  <c r="U267" i="3"/>
  <c r="R267" i="3"/>
  <c r="K267" i="3"/>
  <c r="M267" i="3" s="1"/>
  <c r="J267" i="3"/>
  <c r="U266" i="3"/>
  <c r="R266" i="3"/>
  <c r="K266" i="3"/>
  <c r="M266" i="3" s="1"/>
  <c r="J266" i="3"/>
  <c r="U265" i="3"/>
  <c r="R265" i="3"/>
  <c r="O265" i="3"/>
  <c r="M265" i="3"/>
  <c r="K265" i="3"/>
  <c r="J265" i="3"/>
  <c r="U264" i="3"/>
  <c r="R264" i="3"/>
  <c r="O264" i="3"/>
  <c r="M264" i="3"/>
  <c r="K264" i="3"/>
  <c r="J264" i="3"/>
  <c r="U263" i="3"/>
  <c r="R263" i="3"/>
  <c r="K263" i="3"/>
  <c r="M263" i="3" s="1"/>
  <c r="J263" i="3"/>
  <c r="U262" i="3"/>
  <c r="R262" i="3"/>
  <c r="K262" i="3"/>
  <c r="M262" i="3" s="1"/>
  <c r="J262" i="3"/>
  <c r="U261" i="3"/>
  <c r="R261" i="3"/>
  <c r="K261" i="3"/>
  <c r="J261" i="3"/>
  <c r="B261" i="3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U260" i="3"/>
  <c r="R260" i="3"/>
  <c r="K260" i="3"/>
  <c r="J260" i="3"/>
  <c r="J273" i="3" s="1"/>
  <c r="D280" i="3" s="1"/>
  <c r="E280" i="3" s="1"/>
  <c r="H273" i="3"/>
  <c r="H234" i="3"/>
  <c r="G233" i="3"/>
  <c r="F233" i="3"/>
  <c r="E233" i="3"/>
  <c r="D233" i="3"/>
  <c r="C233" i="3"/>
  <c r="H232" i="3"/>
  <c r="G232" i="3"/>
  <c r="F232" i="3"/>
  <c r="E232" i="3"/>
  <c r="D232" i="3"/>
  <c r="C232" i="3"/>
  <c r="H231" i="3"/>
  <c r="G231" i="3"/>
  <c r="F231" i="3"/>
  <c r="E231" i="3"/>
  <c r="C231" i="3"/>
  <c r="H230" i="3"/>
  <c r="G230" i="3"/>
  <c r="F230" i="3"/>
  <c r="E230" i="3"/>
  <c r="C230" i="3"/>
  <c r="D229" i="3"/>
  <c r="H226" i="3"/>
  <c r="G225" i="3"/>
  <c r="F225" i="3"/>
  <c r="E225" i="3"/>
  <c r="D225" i="3"/>
  <c r="C225" i="3"/>
  <c r="H224" i="3"/>
  <c r="G224" i="3"/>
  <c r="F224" i="3"/>
  <c r="E224" i="3"/>
  <c r="D224" i="3"/>
  <c r="C224" i="3"/>
  <c r="H223" i="3"/>
  <c r="G223" i="3"/>
  <c r="F223" i="3"/>
  <c r="E223" i="3"/>
  <c r="D223" i="3"/>
  <c r="H222" i="3"/>
  <c r="G222" i="3"/>
  <c r="F222" i="3"/>
  <c r="E222" i="3"/>
  <c r="D222" i="3"/>
  <c r="H221" i="3"/>
  <c r="G221" i="3"/>
  <c r="F221" i="3"/>
  <c r="E221" i="3"/>
  <c r="D221" i="3"/>
  <c r="H220" i="3"/>
  <c r="G220" i="3"/>
  <c r="F220" i="3"/>
  <c r="E220" i="3"/>
  <c r="C220" i="3"/>
  <c r="H219" i="3"/>
  <c r="G219" i="3"/>
  <c r="F219" i="3"/>
  <c r="E219" i="3"/>
  <c r="C219" i="3"/>
  <c r="D218" i="3"/>
  <c r="H209" i="3"/>
  <c r="G209" i="3"/>
  <c r="F209" i="3"/>
  <c r="E209" i="3"/>
  <c r="D209" i="3"/>
  <c r="G208" i="3"/>
  <c r="F208" i="3"/>
  <c r="E208" i="3"/>
  <c r="D208" i="3"/>
  <c r="D195" i="3"/>
  <c r="D196" i="3" s="1"/>
  <c r="D194" i="3"/>
  <c r="D190" i="3"/>
  <c r="D184" i="3"/>
  <c r="H167" i="3"/>
  <c r="G167" i="3"/>
  <c r="F167" i="3"/>
  <c r="E167" i="3"/>
  <c r="D167" i="3"/>
  <c r="C167" i="3"/>
  <c r="I141" i="3"/>
  <c r="I118" i="3"/>
  <c r="H118" i="3"/>
  <c r="G118" i="3"/>
  <c r="F118" i="3"/>
  <c r="E118" i="3"/>
  <c r="D118" i="3"/>
  <c r="C118" i="3"/>
  <c r="D104" i="3"/>
  <c r="D103" i="3"/>
  <c r="D105" i="3" s="1"/>
  <c r="D100" i="3"/>
  <c r="D95" i="3"/>
  <c r="I78" i="3"/>
  <c r="H78" i="3"/>
  <c r="G78" i="3"/>
  <c r="F78" i="3"/>
  <c r="E78" i="3"/>
  <c r="D78" i="3"/>
  <c r="C78" i="3"/>
  <c r="I55" i="3"/>
  <c r="I208" i="3" s="1"/>
  <c r="H55" i="3"/>
  <c r="H208" i="3" s="1"/>
  <c r="G55" i="3"/>
  <c r="F55" i="3"/>
  <c r="E55" i="3"/>
  <c r="D55" i="3"/>
  <c r="C55" i="3"/>
  <c r="C208" i="3" s="1"/>
  <c r="D33" i="3"/>
  <c r="C33" i="3"/>
  <c r="H12" i="3"/>
  <c r="G12" i="3"/>
  <c r="F12" i="3"/>
  <c r="E12" i="3"/>
  <c r="D12" i="3"/>
  <c r="C12" i="3"/>
  <c r="D44" i="2"/>
  <c r="I42" i="2"/>
  <c r="D41" i="2"/>
  <c r="E14" i="2"/>
  <c r="D14" i="2"/>
  <c r="F12" i="2"/>
  <c r="E12" i="2"/>
  <c r="D12" i="2"/>
  <c r="F10" i="2"/>
  <c r="G9" i="2"/>
  <c r="E6" i="2"/>
  <c r="D6" i="2"/>
  <c r="I586" i="1"/>
  <c r="H586" i="1"/>
  <c r="G586" i="1"/>
  <c r="F586" i="1"/>
  <c r="E586" i="1"/>
  <c r="D586" i="1"/>
  <c r="C586" i="1"/>
  <c r="I575" i="1"/>
  <c r="H575" i="1"/>
  <c r="G575" i="1"/>
  <c r="F575" i="1"/>
  <c r="E575" i="1"/>
  <c r="D575" i="1"/>
  <c r="C575" i="1"/>
  <c r="G561" i="1"/>
  <c r="F561" i="1"/>
  <c r="E561" i="1"/>
  <c r="D561" i="1"/>
  <c r="C561" i="1"/>
  <c r="H560" i="1"/>
  <c r="G560" i="1"/>
  <c r="F560" i="1"/>
  <c r="E560" i="1"/>
  <c r="D560" i="1"/>
  <c r="C560" i="1"/>
  <c r="H559" i="1"/>
  <c r="G559" i="1"/>
  <c r="F559" i="1"/>
  <c r="E559" i="1"/>
  <c r="C559" i="1"/>
  <c r="H558" i="1"/>
  <c r="G558" i="1"/>
  <c r="F558" i="1"/>
  <c r="E558" i="1"/>
  <c r="C558" i="1"/>
  <c r="D557" i="1"/>
  <c r="G554" i="1"/>
  <c r="F554" i="1"/>
  <c r="E554" i="1"/>
  <c r="D554" i="1"/>
  <c r="C554" i="1"/>
  <c r="H553" i="1"/>
  <c r="G553" i="1"/>
  <c r="F553" i="1"/>
  <c r="E553" i="1"/>
  <c r="D553" i="1"/>
  <c r="C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C549" i="1"/>
  <c r="H548" i="1"/>
  <c r="G548" i="1"/>
  <c r="F548" i="1"/>
  <c r="E548" i="1"/>
  <c r="C548" i="1"/>
  <c r="D547" i="1"/>
  <c r="H211" i="3"/>
  <c r="H210" i="3"/>
  <c r="I538" i="1"/>
  <c r="C209" i="3"/>
  <c r="I209" i="3" s="1"/>
  <c r="I537" i="1"/>
  <c r="D537" i="1"/>
  <c r="C537" i="1"/>
  <c r="I513" i="1"/>
  <c r="I491" i="1"/>
  <c r="H491" i="1"/>
  <c r="H537" i="1" s="1"/>
  <c r="G491" i="1"/>
  <c r="G537" i="1" s="1"/>
  <c r="F491" i="1"/>
  <c r="F537" i="1" s="1"/>
  <c r="E491" i="1"/>
  <c r="E537" i="1" s="1"/>
  <c r="D491" i="1"/>
  <c r="C491" i="1"/>
  <c r="C468" i="1"/>
  <c r="C467" i="1"/>
  <c r="L48" i="3"/>
  <c r="G461" i="1"/>
  <c r="F461" i="1"/>
  <c r="R457" i="1"/>
  <c r="P457" i="1"/>
  <c r="Q456" i="1"/>
  <c r="Q455" i="1"/>
  <c r="Q454" i="1"/>
  <c r="Q453" i="1"/>
  <c r="Q452" i="1"/>
  <c r="R451" i="1"/>
  <c r="D451" i="1"/>
  <c r="C451" i="1"/>
  <c r="R450" i="1"/>
  <c r="R449" i="1"/>
  <c r="D449" i="1"/>
  <c r="F420" i="1"/>
  <c r="F419" i="1"/>
  <c r="I418" i="1"/>
  <c r="D417" i="1"/>
  <c r="D416" i="1"/>
  <c r="I415" i="1"/>
  <c r="D415" i="1"/>
  <c r="E415" i="1" s="1"/>
  <c r="J415" i="1" s="1"/>
  <c r="I414" i="1"/>
  <c r="E414" i="1"/>
  <c r="J414" i="1" s="1"/>
  <c r="I412" i="1"/>
  <c r="I410" i="1"/>
  <c r="I383" i="1"/>
  <c r="H383" i="1"/>
  <c r="G383" i="1"/>
  <c r="F383" i="1"/>
  <c r="E383" i="1"/>
  <c r="D383" i="1"/>
  <c r="C383" i="1"/>
  <c r="I361" i="1"/>
  <c r="H361" i="1"/>
  <c r="G361" i="1"/>
  <c r="F361" i="1"/>
  <c r="E361" i="1"/>
  <c r="D361" i="1"/>
  <c r="C361" i="1"/>
  <c r="C346" i="1"/>
  <c r="D346" i="1" s="1"/>
  <c r="H325" i="1"/>
  <c r="G325" i="1"/>
  <c r="F325" i="1"/>
  <c r="E325" i="1"/>
  <c r="D325" i="1"/>
  <c r="C325" i="1"/>
  <c r="I296" i="1"/>
  <c r="I350" i="1" s="1"/>
  <c r="C292" i="1"/>
  <c r="H271" i="1"/>
  <c r="G271" i="1"/>
  <c r="F271" i="1"/>
  <c r="E271" i="1"/>
  <c r="D271" i="1"/>
  <c r="C271" i="1"/>
  <c r="D253" i="1"/>
  <c r="C253" i="1"/>
  <c r="H231" i="1"/>
  <c r="G231" i="1"/>
  <c r="F231" i="1"/>
  <c r="E231" i="1"/>
  <c r="D231" i="1"/>
  <c r="C231" i="1"/>
  <c r="C196" i="1"/>
  <c r="H179" i="1"/>
  <c r="G179" i="1"/>
  <c r="F179" i="1"/>
  <c r="E179" i="1"/>
  <c r="D179" i="1"/>
  <c r="C179" i="1"/>
  <c r="H165" i="1"/>
  <c r="G165" i="1"/>
  <c r="F165" i="1"/>
  <c r="E165" i="1"/>
  <c r="D165" i="1"/>
  <c r="C165" i="1"/>
  <c r="C158" i="1"/>
  <c r="C154" i="1"/>
  <c r="H146" i="1"/>
  <c r="I141" i="1"/>
  <c r="H137" i="1"/>
  <c r="G137" i="1"/>
  <c r="F137" i="1"/>
  <c r="E137" i="1"/>
  <c r="D137" i="1"/>
  <c r="C137" i="1"/>
  <c r="I122" i="1"/>
  <c r="H122" i="1"/>
  <c r="G122" i="1"/>
  <c r="F122" i="1"/>
  <c r="E122" i="1"/>
  <c r="D122" i="1"/>
  <c r="C122" i="1"/>
  <c r="H104" i="1"/>
  <c r="G104" i="1"/>
  <c r="F104" i="1"/>
  <c r="E104" i="1"/>
  <c r="D104" i="1"/>
  <c r="C104" i="1"/>
  <c r="H86" i="1"/>
  <c r="G86" i="1"/>
  <c r="F86" i="1"/>
  <c r="E86" i="1"/>
  <c r="D86" i="1"/>
  <c r="C86" i="1"/>
  <c r="G34" i="4"/>
  <c r="H76" i="1"/>
  <c r="G76" i="1"/>
  <c r="F76" i="1"/>
  <c r="E76" i="1"/>
  <c r="D76" i="1"/>
  <c r="C76" i="1"/>
  <c r="S73" i="1"/>
  <c r="S60" i="1"/>
  <c r="I55" i="1"/>
  <c r="I54" i="1"/>
  <c r="I53" i="1"/>
  <c r="I52" i="1"/>
  <c r="P48" i="1"/>
  <c r="F13" i="4" s="1"/>
  <c r="I51" i="1"/>
  <c r="S66" i="1"/>
  <c r="O48" i="1"/>
  <c r="E13" i="4" s="1"/>
  <c r="Q48" i="1"/>
  <c r="G13" i="4" s="1"/>
  <c r="M48" i="1"/>
  <c r="I48" i="1"/>
  <c r="I47" i="1"/>
  <c r="I46" i="1"/>
  <c r="Q42" i="1"/>
  <c r="P42" i="1"/>
  <c r="O42" i="1"/>
  <c r="N42" i="1"/>
  <c r="M42" i="1"/>
  <c r="L42" i="1"/>
  <c r="H42" i="1"/>
  <c r="G42" i="1"/>
  <c r="F42" i="1"/>
  <c r="E42" i="1"/>
  <c r="D42" i="1"/>
  <c r="C42" i="1"/>
  <c r="R37" i="1"/>
  <c r="M37" i="1"/>
  <c r="R36" i="1"/>
  <c r="M36" i="1"/>
  <c r="R35" i="1"/>
  <c r="M35" i="1"/>
  <c r="R34" i="1"/>
  <c r="M34" i="1"/>
  <c r="R33" i="1"/>
  <c r="M33" i="1"/>
  <c r="R32" i="1"/>
  <c r="M32" i="1"/>
  <c r="R31" i="1"/>
  <c r="R30" i="1"/>
  <c r="M30" i="1"/>
  <c r="R29" i="1"/>
  <c r="M29" i="1"/>
  <c r="R28" i="1"/>
  <c r="M28" i="1"/>
  <c r="R27" i="1"/>
  <c r="M27" i="1"/>
  <c r="R26" i="1"/>
  <c r="Q24" i="1"/>
  <c r="P24" i="1"/>
  <c r="O24" i="1"/>
  <c r="N24" i="1"/>
  <c r="M24" i="1"/>
  <c r="L24" i="1"/>
  <c r="H24" i="1"/>
  <c r="G24" i="1"/>
  <c r="F24" i="1"/>
  <c r="E24" i="1"/>
  <c r="D24" i="1"/>
  <c r="C24" i="1"/>
  <c r="L19" i="1"/>
  <c r="Q19" i="1"/>
  <c r="O19" i="1"/>
  <c r="N19" i="1"/>
  <c r="M19" i="1"/>
  <c r="P18" i="1"/>
  <c r="O18" i="1"/>
  <c r="N18" i="1"/>
  <c r="M18" i="1"/>
  <c r="L18" i="1"/>
  <c r="Q18" i="1"/>
  <c r="G18" i="1"/>
  <c r="Q17" i="1"/>
  <c r="L17" i="1"/>
  <c r="O17" i="1"/>
  <c r="N17" i="1"/>
  <c r="M17" i="1"/>
  <c r="P16" i="1"/>
  <c r="O16" i="1"/>
  <c r="N16" i="1"/>
  <c r="M16" i="1"/>
  <c r="L16" i="1"/>
  <c r="Q16" i="1"/>
  <c r="G16" i="1"/>
  <c r="O15" i="1"/>
  <c r="L15" i="1"/>
  <c r="Q15" i="1"/>
  <c r="G15" i="1"/>
  <c r="P15" i="1" s="1"/>
  <c r="N15" i="1"/>
  <c r="M15" i="1"/>
  <c r="P14" i="1"/>
  <c r="O14" i="1"/>
  <c r="Q14" i="1"/>
  <c r="G14" i="1"/>
  <c r="N14" i="1"/>
  <c r="L14" i="1"/>
  <c r="L13" i="1"/>
  <c r="O13" i="1"/>
  <c r="N13" i="1"/>
  <c r="M13" i="1"/>
  <c r="P12" i="1"/>
  <c r="O12" i="1"/>
  <c r="N12" i="1"/>
  <c r="M12" i="1"/>
  <c r="L12" i="1"/>
  <c r="Q12" i="1"/>
  <c r="G12" i="1"/>
  <c r="Q11" i="1"/>
  <c r="O11" i="1"/>
  <c r="L11" i="1"/>
  <c r="G11" i="1"/>
  <c r="P11" i="1" s="1"/>
  <c r="N11" i="1"/>
  <c r="M11" i="1"/>
  <c r="P10" i="1"/>
  <c r="O10" i="1"/>
  <c r="M10" i="1"/>
  <c r="L10" i="1"/>
  <c r="Q10" i="1"/>
  <c r="G10" i="1"/>
  <c r="N10" i="1"/>
  <c r="O9" i="1"/>
  <c r="L9" i="1"/>
  <c r="Q9" i="1"/>
  <c r="G9" i="1"/>
  <c r="P9" i="1" s="1"/>
  <c r="N9" i="1"/>
  <c r="M9" i="1"/>
  <c r="P8" i="1"/>
  <c r="O8" i="1"/>
  <c r="N8" i="1"/>
  <c r="Q8" i="1"/>
  <c r="G8" i="1"/>
  <c r="Q6" i="1"/>
  <c r="P6" i="1"/>
  <c r="O6" i="1"/>
  <c r="N6" i="1"/>
  <c r="M6" i="1"/>
  <c r="L6" i="1"/>
  <c r="B41" i="1"/>
  <c r="I45" i="1" l="1"/>
  <c r="L44" i="1"/>
  <c r="M14" i="1"/>
  <c r="S79" i="1" s="1"/>
  <c r="S78" i="1"/>
  <c r="L4" i="1"/>
  <c r="E56" i="1"/>
  <c r="E167" i="1" s="1"/>
  <c r="O44" i="1"/>
  <c r="E7" i="4" s="1"/>
  <c r="I44" i="1"/>
  <c r="E15" i="4"/>
  <c r="D418" i="1"/>
  <c r="E418" i="1" s="1"/>
  <c r="J418" i="1" s="1"/>
  <c r="D410" i="1"/>
  <c r="E410" i="1" s="1"/>
  <c r="J410" i="1" s="1"/>
  <c r="D413" i="1"/>
  <c r="D412" i="1"/>
  <c r="E412" i="1" s="1"/>
  <c r="J412" i="1" s="1"/>
  <c r="D419" i="1"/>
  <c r="D411" i="1"/>
  <c r="E411" i="1" s="1"/>
  <c r="J411" i="1" s="1"/>
  <c r="D420" i="1"/>
  <c r="U273" i="3"/>
  <c r="D283" i="3" s="1"/>
  <c r="E283" i="3" s="1"/>
  <c r="A2" i="4"/>
  <c r="E144" i="1"/>
  <c r="E147" i="1" s="1"/>
  <c r="C474" i="1"/>
  <c r="M23" i="1"/>
  <c r="B1" i="1"/>
  <c r="A2" i="2"/>
  <c r="C473" i="1"/>
  <c r="A2" i="3"/>
  <c r="C472" i="1"/>
  <c r="C13" i="4"/>
  <c r="D3" i="1"/>
  <c r="L8" i="1"/>
  <c r="V74" i="1"/>
  <c r="V87" i="1" s="1"/>
  <c r="C56" i="1"/>
  <c r="D56" i="1"/>
  <c r="D167" i="1" s="1"/>
  <c r="S62" i="1"/>
  <c r="M44" i="1"/>
  <c r="I50" i="1"/>
  <c r="S77" i="1"/>
  <c r="D34" i="4"/>
  <c r="D21" i="4"/>
  <c r="D8" i="4"/>
  <c r="D40" i="4"/>
  <c r="D14" i="4"/>
  <c r="D27" i="4"/>
  <c r="G19" i="1"/>
  <c r="P19" i="1" s="1"/>
  <c r="S74" i="1"/>
  <c r="E21" i="4"/>
  <c r="E8" i="4"/>
  <c r="E27" i="4"/>
  <c r="E14" i="4"/>
  <c r="E40" i="4"/>
  <c r="B136" i="1"/>
  <c r="E145" i="1"/>
  <c r="D15" i="2"/>
  <c r="F16" i="2"/>
  <c r="E16" i="2"/>
  <c r="D16" i="2"/>
  <c r="G16" i="2" s="1"/>
  <c r="E15" i="2"/>
  <c r="G13" i="1"/>
  <c r="P13" i="1" s="1"/>
  <c r="P44" i="1"/>
  <c r="F7" i="4" s="1"/>
  <c r="H56" i="1"/>
  <c r="Q44" i="1"/>
  <c r="G7" i="4" s="1"/>
  <c r="M45" i="1"/>
  <c r="S84" i="1"/>
  <c r="S71" i="1"/>
  <c r="E34" i="4"/>
  <c r="I49" i="1"/>
  <c r="N48" i="1"/>
  <c r="D13" i="4" s="1"/>
  <c r="F56" i="1"/>
  <c r="G56" i="1"/>
  <c r="M8" i="1"/>
  <c r="S75" i="1" s="1"/>
  <c r="R45" i="1"/>
  <c r="V63" i="1" s="1"/>
  <c r="L48" i="1"/>
  <c r="K273" i="3"/>
  <c r="M260" i="3"/>
  <c r="M273" i="3" s="1"/>
  <c r="D281" i="3" s="1"/>
  <c r="E281" i="3" s="1"/>
  <c r="I419" i="1"/>
  <c r="E419" i="1"/>
  <c r="J419" i="1" s="1"/>
  <c r="S63" i="1"/>
  <c r="T63" i="1" s="1"/>
  <c r="E413" i="1"/>
  <c r="J413" i="1" s="1"/>
  <c r="I413" i="1"/>
  <c r="C466" i="1"/>
  <c r="G206" i="1"/>
  <c r="H263" i="1" s="1"/>
  <c r="G17" i="1"/>
  <c r="P17" i="1" s="1"/>
  <c r="L49" i="3"/>
  <c r="L50" i="3" s="1"/>
  <c r="M466" i="1"/>
  <c r="I411" i="1"/>
  <c r="I417" i="1"/>
  <c r="E417" i="1"/>
  <c r="J417" i="1" s="1"/>
  <c r="B14" i="4"/>
  <c r="B34" i="4"/>
  <c r="B8" i="4"/>
  <c r="B27" i="4"/>
  <c r="B21" i="4"/>
  <c r="B40" i="4"/>
  <c r="O263" i="3"/>
  <c r="G15" i="4"/>
  <c r="V78" i="1"/>
  <c r="V92" i="1" s="1"/>
  <c r="C167" i="1"/>
  <c r="H167" i="1" s="1"/>
  <c r="S67" i="1"/>
  <c r="T67" i="1" s="1"/>
  <c r="M31" i="1"/>
  <c r="S68" i="1" s="1"/>
  <c r="F167" i="1"/>
  <c r="M49" i="1"/>
  <c r="M50" i="1" s="1"/>
  <c r="G167" i="1"/>
  <c r="I420" i="1"/>
  <c r="M26" i="1"/>
  <c r="S64" i="1" s="1"/>
  <c r="R49" i="1"/>
  <c r="V67" i="1" s="1"/>
  <c r="Q13" i="1"/>
  <c r="C34" i="4"/>
  <c r="C21" i="4"/>
  <c r="C8" i="4"/>
  <c r="C40" i="4"/>
  <c r="C14" i="4"/>
  <c r="I139" i="1"/>
  <c r="I409" i="1"/>
  <c r="E409" i="1"/>
  <c r="J409" i="1" s="1"/>
  <c r="E420" i="1"/>
  <c r="J420" i="1" s="1"/>
  <c r="R273" i="3"/>
  <c r="M261" i="3"/>
  <c r="F14" i="2"/>
  <c r="F15" i="2" s="1"/>
  <c r="I10" i="2"/>
  <c r="O262" i="3"/>
  <c r="G8" i="4"/>
  <c r="O261" i="3"/>
  <c r="O271" i="3"/>
  <c r="N44" i="1"/>
  <c r="D7" i="4" s="1"/>
  <c r="F8" i="4"/>
  <c r="F40" i="4"/>
  <c r="F27" i="4"/>
  <c r="O266" i="3"/>
  <c r="O270" i="3"/>
  <c r="G40" i="4"/>
  <c r="G27" i="4"/>
  <c r="G14" i="4"/>
  <c r="I416" i="1"/>
  <c r="E416" i="1"/>
  <c r="J416" i="1" s="1"/>
  <c r="O269" i="3"/>
  <c r="F14" i="4"/>
  <c r="F15" i="4" s="1"/>
  <c r="F21" i="4"/>
  <c r="Q457" i="1"/>
  <c r="S457" i="1" s="1"/>
  <c r="O260" i="3"/>
  <c r="O268" i="3"/>
  <c r="O267" i="3"/>
  <c r="E279" i="3"/>
  <c r="S87" i="1" l="1"/>
  <c r="T74" i="1"/>
  <c r="C15" i="4"/>
  <c r="F9" i="4"/>
  <c r="G15" i="2"/>
  <c r="G17" i="2" s="1"/>
  <c r="E41" i="2"/>
  <c r="E447" i="1"/>
  <c r="D447" i="1"/>
  <c r="L52" i="1"/>
  <c r="L53" i="1" s="1"/>
  <c r="R48" i="1"/>
  <c r="B13" i="4"/>
  <c r="I56" i="1"/>
  <c r="C7" i="4"/>
  <c r="M46" i="1"/>
  <c r="E9" i="4"/>
  <c r="D15" i="4"/>
  <c r="G9" i="4"/>
  <c r="T78" i="1"/>
  <c r="S92" i="1"/>
  <c r="D9" i="4"/>
  <c r="O273" i="3"/>
  <c r="B7" i="4"/>
  <c r="R44" i="1"/>
  <c r="B9" i="4" l="1"/>
  <c r="H7" i="4"/>
  <c r="N273" i="3"/>
  <c r="D282" i="3"/>
  <c r="H13" i="4"/>
  <c r="B15" i="4"/>
  <c r="H15" i="4" s="1"/>
  <c r="R50" i="1"/>
  <c r="V68" i="1" s="1"/>
  <c r="V66" i="1"/>
  <c r="V77" i="1" s="1"/>
  <c r="V79" i="1" s="1"/>
  <c r="F425" i="1"/>
  <c r="F459" i="1"/>
  <c r="C17" i="4"/>
  <c r="K428" i="1"/>
  <c r="G93" i="3"/>
  <c r="F451" i="1"/>
  <c r="F449" i="1"/>
  <c r="C599" i="1"/>
  <c r="G182" i="3"/>
  <c r="G183" i="3"/>
  <c r="C598" i="1"/>
  <c r="C600" i="1" s="1"/>
  <c r="G41" i="2"/>
  <c r="V62" i="1"/>
  <c r="V73" i="1" s="1"/>
  <c r="V75" i="1" s="1"/>
  <c r="R46" i="1"/>
  <c r="V64" i="1" s="1"/>
  <c r="C33" i="4"/>
  <c r="C35" i="4" s="1"/>
  <c r="C20" i="4"/>
  <c r="C22" i="4" s="1"/>
  <c r="C9" i="4"/>
  <c r="C30" i="4"/>
  <c r="G459" i="1"/>
  <c r="K429" i="1"/>
  <c r="H431" i="1" l="1"/>
  <c r="D65" i="1" s="1"/>
  <c r="H438" i="1"/>
  <c r="D72" i="1" s="1"/>
  <c r="H436" i="1"/>
  <c r="D70" i="1" s="1"/>
  <c r="H434" i="1"/>
  <c r="D68" i="1" s="1"/>
  <c r="G431" i="1"/>
  <c r="C65" i="1" s="1"/>
  <c r="G439" i="1"/>
  <c r="C73" i="1" s="1"/>
  <c r="G428" i="1"/>
  <c r="G434" i="1"/>
  <c r="C68" i="1" s="1"/>
  <c r="H429" i="1"/>
  <c r="D63" i="1" s="1"/>
  <c r="G436" i="1"/>
  <c r="C70" i="1" s="1"/>
  <c r="H432" i="1"/>
  <c r="D66" i="1" s="1"/>
  <c r="H430" i="1"/>
  <c r="D64" i="1" s="1"/>
  <c r="G429" i="1"/>
  <c r="C63" i="1" s="1"/>
  <c r="G438" i="1"/>
  <c r="C72" i="1" s="1"/>
  <c r="G432" i="1"/>
  <c r="C66" i="1" s="1"/>
  <c r="G430" i="1"/>
  <c r="C64" i="1" s="1"/>
  <c r="H437" i="1"/>
  <c r="D71" i="1" s="1"/>
  <c r="H439" i="1"/>
  <c r="D73" i="1" s="1"/>
  <c r="H428" i="1"/>
  <c r="G437" i="1"/>
  <c r="C71" i="1" s="1"/>
  <c r="H433" i="1"/>
  <c r="G433" i="1"/>
  <c r="H435" i="1"/>
  <c r="D69" i="1" s="1"/>
  <c r="G435" i="1"/>
  <c r="C69" i="1" s="1"/>
  <c r="F26" i="4"/>
  <c r="F28" i="4" s="1"/>
  <c r="G26" i="4"/>
  <c r="G28" i="4" s="1"/>
  <c r="E26" i="4"/>
  <c r="E28" i="4" s="1"/>
  <c r="D26" i="4"/>
  <c r="D28" i="4" s="1"/>
  <c r="C26" i="4"/>
  <c r="C28" i="4" s="1"/>
  <c r="F20" i="4"/>
  <c r="F22" i="4" s="1"/>
  <c r="E20" i="4"/>
  <c r="E22" i="4" s="1"/>
  <c r="G20" i="4"/>
  <c r="G22" i="4" s="1"/>
  <c r="D20" i="4"/>
  <c r="D22" i="4" s="1"/>
  <c r="C464" i="1"/>
  <c r="D149" i="1"/>
  <c r="H9" i="4"/>
  <c r="E47" i="2"/>
  <c r="G39" i="4"/>
  <c r="G41" i="4" s="1"/>
  <c r="F39" i="4"/>
  <c r="F41" i="4" s="1"/>
  <c r="E39" i="4"/>
  <c r="E41" i="4" s="1"/>
  <c r="D33" i="4"/>
  <c r="D35" i="4" s="1"/>
  <c r="G33" i="4"/>
  <c r="G35" i="4" s="1"/>
  <c r="F33" i="4"/>
  <c r="F35" i="4" s="1"/>
  <c r="D39" i="4"/>
  <c r="D41" i="4" s="1"/>
  <c r="E33" i="4"/>
  <c r="E35" i="4" s="1"/>
  <c r="C39" i="4"/>
  <c r="C41" i="4" s="1"/>
  <c r="C465" i="1"/>
  <c r="D150" i="1"/>
  <c r="B39" i="4"/>
  <c r="B20" i="4"/>
  <c r="G94" i="3"/>
  <c r="H461" i="1"/>
  <c r="D161" i="1" s="1"/>
  <c r="C469" i="1" s="1"/>
  <c r="E282" i="3"/>
  <c r="E284" i="3" s="1"/>
  <c r="D284" i="3"/>
  <c r="D286" i="3" s="1"/>
  <c r="E42" i="2" s="1"/>
  <c r="E45" i="2" s="1"/>
  <c r="D47" i="2"/>
  <c r="G47" i="2" s="1"/>
  <c r="B26" i="4"/>
  <c r="B33" i="4"/>
  <c r="Q432" i="1" l="1"/>
  <c r="C62" i="1"/>
  <c r="Q429" i="1"/>
  <c r="R428" i="1"/>
  <c r="D67" i="1"/>
  <c r="G170" i="1"/>
  <c r="F170" i="1"/>
  <c r="G171" i="1"/>
  <c r="C170" i="1"/>
  <c r="H170" i="1" s="1"/>
  <c r="H202" i="1"/>
  <c r="H213" i="1" s="1"/>
  <c r="F171" i="1"/>
  <c r="I149" i="1"/>
  <c r="C171" i="1"/>
  <c r="H171" i="1" s="1"/>
  <c r="D170" i="1"/>
  <c r="E170" i="1"/>
  <c r="E171" i="1"/>
  <c r="D171" i="1"/>
  <c r="R432" i="1"/>
  <c r="D62" i="1"/>
  <c r="R429" i="1"/>
  <c r="H20" i="4"/>
  <c r="C50" i="4" s="1"/>
  <c r="B22" i="4"/>
  <c r="H22" i="4" s="1"/>
  <c r="C57" i="4" s="1"/>
  <c r="Q428" i="1"/>
  <c r="Q430" i="1" s="1"/>
  <c r="C67" i="1"/>
  <c r="B35" i="4"/>
  <c r="H35" i="4" s="1"/>
  <c r="D57" i="4" s="1"/>
  <c r="E252" i="3" s="1"/>
  <c r="H33" i="4"/>
  <c r="D50" i="4" s="1"/>
  <c r="E245" i="3" s="1"/>
  <c r="H26" i="4"/>
  <c r="C49" i="4" s="1"/>
  <c r="B28" i="4"/>
  <c r="H28" i="4" s="1"/>
  <c r="C56" i="4" s="1"/>
  <c r="B41" i="4"/>
  <c r="H41" i="4" s="1"/>
  <c r="D56" i="4" s="1"/>
  <c r="H39" i="4"/>
  <c r="D49" i="4" s="1"/>
  <c r="I150" i="1"/>
  <c r="H203" i="1"/>
  <c r="H214" i="1" s="1"/>
  <c r="F172" i="1"/>
  <c r="G172" i="1"/>
  <c r="D172" i="1"/>
  <c r="C172" i="1"/>
  <c r="H172" i="1" s="1"/>
  <c r="E172" i="1"/>
  <c r="E46" i="2"/>
  <c r="F88" i="1" l="1"/>
  <c r="E88" i="1"/>
  <c r="E89" i="1"/>
  <c r="E107" i="1" s="1"/>
  <c r="G89" i="1"/>
  <c r="G107" i="1" s="1"/>
  <c r="F89" i="1"/>
  <c r="F107" i="1" s="1"/>
  <c r="D88" i="1"/>
  <c r="C88" i="1"/>
  <c r="D89" i="1"/>
  <c r="G88" i="1"/>
  <c r="C89" i="1"/>
  <c r="H88" i="1"/>
  <c r="H89" i="1"/>
  <c r="H107" i="1" s="1"/>
  <c r="D51" i="4"/>
  <c r="E244" i="3"/>
  <c r="E246" i="3" s="1"/>
  <c r="G90" i="1"/>
  <c r="G108" i="1" s="1"/>
  <c r="F90" i="1"/>
  <c r="F108" i="1" s="1"/>
  <c r="D90" i="1"/>
  <c r="C90" i="1"/>
  <c r="E90" i="1"/>
  <c r="E108" i="1" s="1"/>
  <c r="H90" i="1"/>
  <c r="H108" i="1" s="1"/>
  <c r="E49" i="4"/>
  <c r="D244" i="3"/>
  <c r="C51" i="4"/>
  <c r="H94" i="1"/>
  <c r="H112" i="1" s="1"/>
  <c r="G94" i="1"/>
  <c r="G112" i="1" s="1"/>
  <c r="F94" i="1"/>
  <c r="F112" i="1" s="1"/>
  <c r="D94" i="1"/>
  <c r="E94" i="1"/>
  <c r="E112" i="1" s="1"/>
  <c r="C94" i="1"/>
  <c r="H72" i="3"/>
  <c r="I260" i="1"/>
  <c r="I299" i="1" s="1"/>
  <c r="I353" i="1" s="1"/>
  <c r="D252" i="3"/>
  <c r="E57" i="4"/>
  <c r="D58" i="4"/>
  <c r="E251" i="3"/>
  <c r="C58" i="4"/>
  <c r="E56" i="4"/>
  <c r="E58" i="4" s="1"/>
  <c r="D251" i="3"/>
  <c r="H64" i="3"/>
  <c r="I259" i="1"/>
  <c r="I298" i="1" s="1"/>
  <c r="I352" i="1" s="1"/>
  <c r="F92" i="1"/>
  <c r="F110" i="1" s="1"/>
  <c r="F128" i="1" s="1"/>
  <c r="F188" i="1" s="1"/>
  <c r="D92" i="1"/>
  <c r="D110" i="1" s="1"/>
  <c r="D128" i="1" s="1"/>
  <c r="D188" i="1" s="1"/>
  <c r="E93" i="1"/>
  <c r="E111" i="1" s="1"/>
  <c r="D93" i="1"/>
  <c r="G93" i="1"/>
  <c r="G111" i="1" s="1"/>
  <c r="F93" i="1"/>
  <c r="F111" i="1" s="1"/>
  <c r="G92" i="1"/>
  <c r="G110" i="1" s="1"/>
  <c r="G128" i="1" s="1"/>
  <c r="G188" i="1" s="1"/>
  <c r="H92" i="1"/>
  <c r="H110" i="1" s="1"/>
  <c r="H128" i="1" s="1"/>
  <c r="C202" i="1" s="1"/>
  <c r="E92" i="1"/>
  <c r="E110" i="1" s="1"/>
  <c r="E128" i="1" s="1"/>
  <c r="E188" i="1" s="1"/>
  <c r="H93" i="1"/>
  <c r="H111" i="1" s="1"/>
  <c r="C93" i="1"/>
  <c r="C92" i="1"/>
  <c r="C110" i="1" s="1"/>
  <c r="C128" i="1" s="1"/>
  <c r="D245" i="3"/>
  <c r="F245" i="3" s="1"/>
  <c r="E50" i="4"/>
  <c r="R430" i="1"/>
  <c r="C189" i="3"/>
  <c r="C99" i="3"/>
  <c r="S432" i="1"/>
  <c r="C298" i="1" l="1"/>
  <c r="C214" i="1"/>
  <c r="D259" i="1"/>
  <c r="H508" i="1"/>
  <c r="H40" i="3"/>
  <c r="C96" i="1"/>
  <c r="C106" i="1"/>
  <c r="C112" i="1"/>
  <c r="C188" i="1"/>
  <c r="I128" i="1"/>
  <c r="H188" i="1"/>
  <c r="D111" i="1"/>
  <c r="S88" i="1"/>
  <c r="S89" i="1" s="1"/>
  <c r="D129" i="1" s="1"/>
  <c r="D189" i="1" s="1"/>
  <c r="F251" i="3"/>
  <c r="D253" i="3"/>
  <c r="D24" i="2"/>
  <c r="F244" i="3"/>
  <c r="F246" i="3" s="1"/>
  <c r="D246" i="3"/>
  <c r="I129" i="1"/>
  <c r="H189" i="1" s="1"/>
  <c r="C111" i="1"/>
  <c r="V88" i="1"/>
  <c r="V89" i="1" s="1"/>
  <c r="I130" i="1" s="1"/>
  <c r="H190" i="1" s="1"/>
  <c r="C188" i="3"/>
  <c r="E188" i="3" s="1"/>
  <c r="E253" i="3"/>
  <c r="C98" i="3"/>
  <c r="E98" i="3" s="1"/>
  <c r="E100" i="3" s="1"/>
  <c r="D112" i="1"/>
  <c r="H106" i="1"/>
  <c r="H96" i="1"/>
  <c r="E189" i="3"/>
  <c r="C190" i="3"/>
  <c r="H500" i="1"/>
  <c r="H39" i="3"/>
  <c r="F252" i="3"/>
  <c r="D25" i="2"/>
  <c r="D125" i="1"/>
  <c r="D182" i="1" s="1"/>
  <c r="D107" i="1"/>
  <c r="S93" i="1"/>
  <c r="S94" i="1" s="1"/>
  <c r="D126" i="1" s="1"/>
  <c r="D183" i="1" s="1"/>
  <c r="E51" i="4"/>
  <c r="D280" i="1"/>
  <c r="D386" i="1" s="1"/>
  <c r="D364" i="1"/>
  <c r="C108" i="1"/>
  <c r="I126" i="1"/>
  <c r="H183" i="1" s="1"/>
  <c r="I125" i="1"/>
  <c r="H182" i="1" s="1"/>
  <c r="C107" i="1"/>
  <c r="V93" i="1"/>
  <c r="V94" i="1" s="1"/>
  <c r="E106" i="1"/>
  <c r="E96" i="1"/>
  <c r="G280" i="1"/>
  <c r="G364" i="1"/>
  <c r="D96" i="1"/>
  <c r="D106" i="1"/>
  <c r="E99" i="3"/>
  <c r="E364" i="1"/>
  <c r="E280" i="1"/>
  <c r="F280" i="1"/>
  <c r="F364" i="1"/>
  <c r="D108" i="1"/>
  <c r="G106" i="1"/>
  <c r="G96" i="1"/>
  <c r="F106" i="1"/>
  <c r="F96" i="1"/>
  <c r="H282" i="1" l="1"/>
  <c r="D281" i="1"/>
  <c r="D275" i="1"/>
  <c r="C124" i="1"/>
  <c r="C114" i="1"/>
  <c r="C116" i="1" s="1"/>
  <c r="C133" i="1" s="1"/>
  <c r="I124" i="1"/>
  <c r="F386" i="1"/>
  <c r="C98" i="1"/>
  <c r="G386" i="1"/>
  <c r="D130" i="1"/>
  <c r="D190" i="1" s="1"/>
  <c r="I364" i="1"/>
  <c r="H280" i="1"/>
  <c r="I386" i="1" s="1"/>
  <c r="E114" i="1"/>
  <c r="E124" i="1"/>
  <c r="D26" i="2"/>
  <c r="D29" i="2"/>
  <c r="E29" i="2"/>
  <c r="E31" i="2" s="1"/>
  <c r="C364" i="1"/>
  <c r="C280" i="1"/>
  <c r="H275" i="1"/>
  <c r="H554" i="1"/>
  <c r="H522" i="1"/>
  <c r="C100" i="3"/>
  <c r="E190" i="3"/>
  <c r="C309" i="1"/>
  <c r="H386" i="1"/>
  <c r="H274" i="1"/>
  <c r="D274" i="1"/>
  <c r="H124" i="1"/>
  <c r="H114" i="1"/>
  <c r="H281" i="1"/>
  <c r="F124" i="1"/>
  <c r="F114" i="1"/>
  <c r="E386" i="1"/>
  <c r="D30" i="2"/>
  <c r="E30" i="2"/>
  <c r="H530" i="1"/>
  <c r="H561" i="1"/>
  <c r="G124" i="1"/>
  <c r="G114" i="1"/>
  <c r="D124" i="1"/>
  <c r="D114" i="1"/>
  <c r="F253" i="3"/>
  <c r="F132" i="1" l="1"/>
  <c r="F192" i="1" s="1"/>
  <c r="F181" i="1"/>
  <c r="H132" i="1"/>
  <c r="C206" i="1" s="1"/>
  <c r="C198" i="1"/>
  <c r="D181" i="1"/>
  <c r="D132" i="1"/>
  <c r="D192" i="1" s="1"/>
  <c r="D282" i="1"/>
  <c r="C181" i="1"/>
  <c r="C132" i="1"/>
  <c r="C192" i="1" s="1"/>
  <c r="D352" i="1"/>
  <c r="D39" i="3" s="1"/>
  <c r="E181" i="1"/>
  <c r="E132" i="1"/>
  <c r="E192" i="1" s="1"/>
  <c r="G181" i="1"/>
  <c r="G132" i="1"/>
  <c r="G192" i="1" s="1"/>
  <c r="C386" i="1"/>
  <c r="D31" i="2"/>
  <c r="C373" i="1"/>
  <c r="H181" i="1"/>
  <c r="I132" i="1"/>
  <c r="H192" i="1" s="1"/>
  <c r="E284" i="1" l="1"/>
  <c r="H284" i="1"/>
  <c r="D284" i="1"/>
  <c r="I363" i="1"/>
  <c r="H273" i="1"/>
  <c r="I385" i="1" s="1"/>
  <c r="D273" i="1"/>
  <c r="D385" i="1" s="1"/>
  <c r="D363" i="1"/>
  <c r="G284" i="1"/>
  <c r="C284" i="1"/>
  <c r="C221" i="1"/>
  <c r="F363" i="1"/>
  <c r="F273" i="1"/>
  <c r="C302" i="1"/>
  <c r="C313" i="1" s="1"/>
  <c r="C218" i="1"/>
  <c r="G363" i="1"/>
  <c r="G273" i="1"/>
  <c r="E378" i="1"/>
  <c r="E273" i="1"/>
  <c r="E363" i="1"/>
  <c r="C395" i="1"/>
  <c r="C273" i="1"/>
  <c r="C184" i="1"/>
  <c r="C294" i="1"/>
  <c r="C210" i="1"/>
  <c r="D255" i="1"/>
  <c r="F284" i="1"/>
  <c r="G385" i="1" l="1"/>
  <c r="C305" i="1"/>
  <c r="H385" i="1"/>
  <c r="C316" i="1"/>
  <c r="E400" i="1"/>
  <c r="I365" i="1"/>
  <c r="I369" i="1" s="1"/>
  <c r="G365" i="1"/>
  <c r="G369" i="1" s="1"/>
  <c r="C238" i="1"/>
  <c r="C185" i="1"/>
  <c r="C239" i="1" s="1"/>
  <c r="C363" i="1"/>
  <c r="C276" i="1"/>
  <c r="F385" i="1"/>
  <c r="D387" i="1"/>
  <c r="D391" i="1" s="1"/>
  <c r="D223" i="1"/>
  <c r="C263" i="1" s="1"/>
  <c r="D222" i="1"/>
  <c r="E368" i="1"/>
  <c r="E365" i="1"/>
  <c r="E369" i="1" s="1"/>
  <c r="H365" i="1"/>
  <c r="H369" i="1" s="1"/>
  <c r="E385" i="1"/>
  <c r="D368" i="1"/>
  <c r="D365" i="1"/>
  <c r="D369" i="1" s="1"/>
  <c r="F365" i="1"/>
  <c r="F369" i="1" s="1"/>
  <c r="I387" i="1"/>
  <c r="I391" i="1" s="1"/>
  <c r="D318" i="1" l="1"/>
  <c r="D317" i="1"/>
  <c r="H387" i="1"/>
  <c r="H391" i="1" s="1"/>
  <c r="C348" i="1"/>
  <c r="E387" i="1"/>
  <c r="E391" i="1" s="1"/>
  <c r="D348" i="1"/>
  <c r="D35" i="3" s="1"/>
  <c r="F368" i="1"/>
  <c r="D390" i="1"/>
  <c r="F387" i="1"/>
  <c r="F391" i="1" s="1"/>
  <c r="C332" i="1"/>
  <c r="C19" i="3" s="1"/>
  <c r="C277" i="1"/>
  <c r="C333" i="1" s="1"/>
  <c r="C20" i="3" s="1"/>
  <c r="G368" i="1"/>
  <c r="F486" i="1"/>
  <c r="M468" i="1"/>
  <c r="D484" i="1"/>
  <c r="C568" i="1"/>
  <c r="L52" i="3"/>
  <c r="E242" i="1"/>
  <c r="G242" i="1"/>
  <c r="F242" i="1"/>
  <c r="H234" i="1"/>
  <c r="D234" i="1"/>
  <c r="H244" i="1"/>
  <c r="C259" i="1"/>
  <c r="D235" i="1"/>
  <c r="H235" i="1"/>
  <c r="C242" i="1"/>
  <c r="D243" i="1"/>
  <c r="H243" i="1"/>
  <c r="D244" i="1"/>
  <c r="F246" i="1"/>
  <c r="E246" i="1"/>
  <c r="F233" i="1"/>
  <c r="C233" i="1"/>
  <c r="E233" i="1"/>
  <c r="H246" i="1"/>
  <c r="G246" i="1"/>
  <c r="D246" i="1"/>
  <c r="C246" i="1"/>
  <c r="G233" i="1"/>
  <c r="I390" i="1"/>
  <c r="C372" i="1"/>
  <c r="C365" i="1"/>
  <c r="C369" i="1" s="1"/>
  <c r="I368" i="1"/>
  <c r="H368" i="1"/>
  <c r="J400" i="1"/>
  <c r="G387" i="1"/>
  <c r="G391" i="1" s="1"/>
  <c r="J378" i="1"/>
  <c r="C255" i="1"/>
  <c r="E377" i="1" l="1"/>
  <c r="J377" i="1" s="1"/>
  <c r="C374" i="1"/>
  <c r="C378" i="1" s="1"/>
  <c r="C385" i="1"/>
  <c r="C35" i="3"/>
  <c r="G390" i="1"/>
  <c r="F390" i="1"/>
  <c r="H390" i="1"/>
  <c r="F488" i="1"/>
  <c r="M469" i="1"/>
  <c r="M470" i="1" s="1"/>
  <c r="D485" i="1" s="1"/>
  <c r="D486" i="1" s="1"/>
  <c r="C570" i="1"/>
  <c r="C572" i="1" s="1"/>
  <c r="F21" i="2"/>
  <c r="F30" i="2" s="1"/>
  <c r="G30" i="2" s="1"/>
  <c r="C368" i="1"/>
  <c r="E390" i="1"/>
  <c r="L55" i="3"/>
  <c r="L53" i="3" s="1"/>
  <c r="L54" i="3" s="1"/>
  <c r="G336" i="1"/>
  <c r="F336" i="1"/>
  <c r="E336" i="1"/>
  <c r="H337" i="1"/>
  <c r="H329" i="1"/>
  <c r="D337" i="1"/>
  <c r="D328" i="1"/>
  <c r="D329" i="1"/>
  <c r="C352" i="1"/>
  <c r="C336" i="1"/>
  <c r="H338" i="1"/>
  <c r="H328" i="1"/>
  <c r="D338" i="1"/>
  <c r="D340" i="1"/>
  <c r="D27" i="3" s="1"/>
  <c r="F327" i="1"/>
  <c r="G327" i="1"/>
  <c r="G340" i="1"/>
  <c r="G27" i="3" s="1"/>
  <c r="H340" i="1"/>
  <c r="H27" i="3" s="1"/>
  <c r="C340" i="1"/>
  <c r="C27" i="3" s="1"/>
  <c r="C327" i="1"/>
  <c r="C14" i="3" s="1"/>
  <c r="F340" i="1"/>
  <c r="F27" i="3" s="1"/>
  <c r="E340" i="1"/>
  <c r="E27" i="3" s="1"/>
  <c r="E327" i="1"/>
  <c r="C356" i="1"/>
  <c r="C43" i="3" s="1"/>
  <c r="D589" i="1" l="1"/>
  <c r="C589" i="1"/>
  <c r="G589" i="1"/>
  <c r="F589" i="1"/>
  <c r="E589" i="1"/>
  <c r="I589" i="1"/>
  <c r="H589" i="1"/>
  <c r="C493" i="1"/>
  <c r="C497" i="1"/>
  <c r="C496" i="1"/>
  <c r="H493" i="1"/>
  <c r="I506" i="1"/>
  <c r="H25" i="3"/>
  <c r="C23" i="3"/>
  <c r="C504" i="1"/>
  <c r="F23" i="3"/>
  <c r="F504" i="1"/>
  <c r="C39" i="3"/>
  <c r="H504" i="1"/>
  <c r="E493" i="1"/>
  <c r="E14" i="3"/>
  <c r="D24" i="3"/>
  <c r="D505" i="1"/>
  <c r="E23" i="3"/>
  <c r="E504" i="1"/>
  <c r="G504" i="1"/>
  <c r="G23" i="3"/>
  <c r="D495" i="1"/>
  <c r="D16" i="3"/>
  <c r="D15" i="3"/>
  <c r="D494" i="1"/>
  <c r="D506" i="1"/>
  <c r="D25" i="3"/>
  <c r="I495" i="1"/>
  <c r="H16" i="3"/>
  <c r="C569" i="1"/>
  <c r="C571" i="1" s="1"/>
  <c r="F20" i="2"/>
  <c r="F29" i="2" s="1"/>
  <c r="G14" i="3"/>
  <c r="G493" i="1"/>
  <c r="F14" i="3"/>
  <c r="F493" i="1"/>
  <c r="C394" i="1"/>
  <c r="C387" i="1"/>
  <c r="C391" i="1" s="1"/>
  <c r="H15" i="3"/>
  <c r="I494" i="1"/>
  <c r="I505" i="1"/>
  <c r="H24" i="3"/>
  <c r="D35" i="2"/>
  <c r="C183" i="3"/>
  <c r="C94" i="3"/>
  <c r="C377" i="1"/>
  <c r="C577" i="1" l="1"/>
  <c r="C547" i="1"/>
  <c r="D577" i="1"/>
  <c r="D548" i="1"/>
  <c r="D516" i="1"/>
  <c r="H590" i="1"/>
  <c r="E94" i="3"/>
  <c r="C104" i="3"/>
  <c r="C390" i="1"/>
  <c r="C195" i="3"/>
  <c r="E183" i="3"/>
  <c r="H579" i="1"/>
  <c r="H557" i="1"/>
  <c r="H526" i="1"/>
  <c r="H547" i="1"/>
  <c r="H515" i="1"/>
  <c r="G590" i="1"/>
  <c r="I527" i="1"/>
  <c r="I578" i="1"/>
  <c r="I579" i="1" s="1"/>
  <c r="I558" i="1"/>
  <c r="D559" i="1"/>
  <c r="D528" i="1"/>
  <c r="I548" i="1"/>
  <c r="I577" i="1"/>
  <c r="I516" i="1"/>
  <c r="C578" i="1"/>
  <c r="C526" i="1"/>
  <c r="C557" i="1"/>
  <c r="F31" i="2"/>
  <c r="G29" i="2"/>
  <c r="D517" i="1"/>
  <c r="D549" i="1"/>
  <c r="I559" i="1"/>
  <c r="I528" i="1"/>
  <c r="F515" i="1"/>
  <c r="F547" i="1"/>
  <c r="F577" i="1"/>
  <c r="I549" i="1"/>
  <c r="I517" i="1"/>
  <c r="G578" i="1"/>
  <c r="G557" i="1"/>
  <c r="G526" i="1"/>
  <c r="C550" i="1"/>
  <c r="C518" i="1"/>
  <c r="C594" i="1"/>
  <c r="G547" i="1"/>
  <c r="G577" i="1"/>
  <c r="G515" i="1"/>
  <c r="D527" i="1"/>
  <c r="D578" i="1"/>
  <c r="D558" i="1"/>
  <c r="I590" i="1"/>
  <c r="C588" i="1"/>
  <c r="C593" i="1" s="1"/>
  <c r="C603" i="1" s="1"/>
  <c r="I588" i="1"/>
  <c r="G588" i="1"/>
  <c r="F588" i="1"/>
  <c r="F590" i="1" s="1"/>
  <c r="H588" i="1"/>
  <c r="D588" i="1"/>
  <c r="D590" i="1" s="1"/>
  <c r="E588" i="1"/>
  <c r="E590" i="1" s="1"/>
  <c r="E515" i="1"/>
  <c r="E547" i="1"/>
  <c r="E577" i="1"/>
  <c r="E399" i="1"/>
  <c r="J399" i="1" s="1"/>
  <c r="C396" i="1"/>
  <c r="C400" i="1" s="1"/>
  <c r="E557" i="1"/>
  <c r="E578" i="1"/>
  <c r="E526" i="1"/>
  <c r="F557" i="1"/>
  <c r="F578" i="1"/>
  <c r="F579" i="1" s="1"/>
  <c r="F526" i="1"/>
  <c r="C519" i="1"/>
  <c r="C551" i="1"/>
  <c r="C583" i="1" l="1"/>
  <c r="C584" i="1" s="1"/>
  <c r="C579" i="1"/>
  <c r="C182" i="3"/>
  <c r="C93" i="3"/>
  <c r="D34" i="2"/>
  <c r="G31" i="2"/>
  <c r="D36" i="2" s="1"/>
  <c r="D42" i="2" s="1"/>
  <c r="C399" i="1"/>
  <c r="C582" i="1"/>
  <c r="C608" i="1" s="1"/>
  <c r="E104" i="3"/>
  <c r="D110" i="3" s="1"/>
  <c r="G579" i="1"/>
  <c r="C590" i="1"/>
  <c r="E195" i="3"/>
  <c r="D202" i="3" s="1"/>
  <c r="C595" i="1"/>
  <c r="C604" i="1"/>
  <c r="E579" i="1"/>
  <c r="D579" i="1"/>
  <c r="D45" i="2" l="1"/>
  <c r="D46" i="2"/>
  <c r="G46" i="2" s="1"/>
  <c r="G48" i="2" s="1"/>
  <c r="D48" i="3" s="1"/>
  <c r="D50" i="3" s="1"/>
  <c r="E182" i="3"/>
  <c r="E184" i="3" s="1"/>
  <c r="C194" i="3"/>
  <c r="C184" i="3"/>
  <c r="C609" i="1"/>
  <c r="C610" i="1" s="1"/>
  <c r="C605" i="1"/>
  <c r="E93" i="3"/>
  <c r="E95" i="3" s="1"/>
  <c r="C103" i="3"/>
  <c r="C95" i="3"/>
  <c r="E194" i="3" l="1"/>
  <c r="C196" i="3"/>
  <c r="E103" i="3"/>
  <c r="C105" i="3"/>
  <c r="C61" i="3"/>
  <c r="C60" i="3"/>
  <c r="C57" i="3"/>
  <c r="H57" i="3"/>
  <c r="E68" i="3"/>
  <c r="D58" i="3"/>
  <c r="E57" i="3"/>
  <c r="I69" i="3"/>
  <c r="F57" i="3"/>
  <c r="H68" i="3"/>
  <c r="C68" i="3"/>
  <c r="D59" i="3"/>
  <c r="F68" i="3"/>
  <c r="D70" i="3"/>
  <c r="G57" i="3"/>
  <c r="I58" i="3"/>
  <c r="D69" i="3"/>
  <c r="G68" i="3"/>
  <c r="I59" i="3"/>
  <c r="I70" i="3"/>
  <c r="C80" i="3" l="1"/>
  <c r="D81" i="3"/>
  <c r="I81" i="3"/>
  <c r="I82" i="3" s="1"/>
  <c r="I80" i="3"/>
  <c r="G81" i="3"/>
  <c r="G82" i="3" s="1"/>
  <c r="F80" i="3"/>
  <c r="C81" i="3"/>
  <c r="G80" i="3"/>
  <c r="E80" i="3"/>
  <c r="E105" i="3"/>
  <c r="D109" i="3"/>
  <c r="D80" i="3"/>
  <c r="F81" i="3"/>
  <c r="F82" i="3" s="1"/>
  <c r="E81" i="3"/>
  <c r="E82" i="3" s="1"/>
  <c r="E196" i="3"/>
  <c r="D201" i="3"/>
  <c r="C85" i="3" l="1"/>
  <c r="C109" i="3" s="1"/>
  <c r="D203" i="3"/>
  <c r="E109" i="3"/>
  <c r="G109" i="3" s="1"/>
  <c r="D111" i="3"/>
  <c r="C86" i="3"/>
  <c r="C82" i="3"/>
  <c r="D82" i="3"/>
  <c r="H82" i="3"/>
  <c r="C110" i="3" l="1"/>
  <c r="C87" i="3"/>
  <c r="H128" i="3"/>
  <c r="D123" i="3"/>
  <c r="F121" i="3"/>
  <c r="G121" i="3"/>
  <c r="E121" i="3"/>
  <c r="I122" i="3"/>
  <c r="I123" i="3"/>
  <c r="C125" i="3"/>
  <c r="C121" i="3"/>
  <c r="H121" i="3"/>
  <c r="C124" i="3"/>
  <c r="D122" i="3"/>
  <c r="I219" i="3" l="1"/>
  <c r="I144" i="3"/>
  <c r="G143" i="3"/>
  <c r="G169" i="3"/>
  <c r="G218" i="3"/>
  <c r="H143" i="3"/>
  <c r="H218" i="3"/>
  <c r="H169" i="3"/>
  <c r="E143" i="3"/>
  <c r="E218" i="3"/>
  <c r="E169" i="3"/>
  <c r="D219" i="3"/>
  <c r="D144" i="3"/>
  <c r="D169" i="3"/>
  <c r="C221" i="3"/>
  <c r="C146" i="3"/>
  <c r="F143" i="3"/>
  <c r="F169" i="3"/>
  <c r="F218" i="3"/>
  <c r="D220" i="3"/>
  <c r="D145" i="3"/>
  <c r="C169" i="3"/>
  <c r="C218" i="3"/>
  <c r="H150" i="3"/>
  <c r="H225" i="3"/>
  <c r="C147" i="3"/>
  <c r="C222" i="3"/>
  <c r="I220" i="3"/>
  <c r="I145" i="3"/>
  <c r="C111" i="3"/>
  <c r="E110" i="3"/>
  <c r="C174" i="3" l="1"/>
  <c r="C201" i="3" s="1"/>
  <c r="E201" i="3" s="1"/>
  <c r="E111" i="3"/>
  <c r="G110" i="3"/>
  <c r="H136" i="3" l="1"/>
  <c r="F132" i="3"/>
  <c r="D134" i="3"/>
  <c r="E132" i="3"/>
  <c r="D133" i="3"/>
  <c r="I134" i="3"/>
  <c r="I133" i="3"/>
  <c r="C132" i="3"/>
  <c r="G132" i="3"/>
  <c r="H132" i="3"/>
  <c r="C154" i="3" l="1"/>
  <c r="C170" i="3"/>
  <c r="C229" i="3"/>
  <c r="D170" i="3"/>
  <c r="D171" i="3" s="1"/>
  <c r="D230" i="3"/>
  <c r="D155" i="3"/>
  <c r="D156" i="3"/>
  <c r="D231" i="3"/>
  <c r="I156" i="3"/>
  <c r="I231" i="3"/>
  <c r="H229" i="3"/>
  <c r="H154" i="3"/>
  <c r="H170" i="3"/>
  <c r="H171" i="3" s="1"/>
  <c r="F229" i="3"/>
  <c r="F170" i="3"/>
  <c r="F171" i="3" s="1"/>
  <c r="F154" i="3"/>
  <c r="I230" i="3"/>
  <c r="I155" i="3"/>
  <c r="E170" i="3"/>
  <c r="E171" i="3" s="1"/>
  <c r="E229" i="3"/>
  <c r="E154" i="3"/>
  <c r="G229" i="3"/>
  <c r="G154" i="3"/>
  <c r="G170" i="3"/>
  <c r="G171" i="3" s="1"/>
  <c r="H158" i="3"/>
  <c r="H233" i="3"/>
  <c r="C171" i="3" l="1"/>
  <c r="C175" i="3"/>
  <c r="C176" i="3" l="1"/>
  <c r="C202" i="3"/>
  <c r="C203" i="3" l="1"/>
  <c r="E202" i="3"/>
  <c r="E203" i="3" s="1"/>
</calcChain>
</file>

<file path=xl/sharedStrings.xml><?xml version="1.0" encoding="utf-8"?>
<sst xmlns="http://schemas.openxmlformats.org/spreadsheetml/2006/main" count="1071" uniqueCount="396">
  <si>
    <t>&lt;&lt;&lt; Year of the auction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</si>
  <si>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</si>
  <si>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</si>
  <si>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</si>
  <si>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</si>
  <si>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</si>
  <si>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 xml:space="preserve"> -- Other Analysis --</t>
  </si>
  <si>
    <t>SC1</t>
  </si>
  <si>
    <t>SC3</t>
  </si>
  <si>
    <t>SC2 ND</t>
  </si>
  <si>
    <t>SC4</t>
  </si>
  <si>
    <t>SC6</t>
  </si>
  <si>
    <t>SC2 Dem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</si>
  <si>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</si>
  <si>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</si>
  <si>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</si>
  <si>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</si>
  <si>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</si>
  <si>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</si>
  <si>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</si>
  <si>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</si>
  <si>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</si>
  <si>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</si>
  <si>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</si>
  <si>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</si>
  <si>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</si>
  <si>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RECO On-Peak Billing Period</t>
  </si>
  <si>
    <t>On-Peak periods as defined in specified rate schedule</t>
  </si>
  <si>
    <t>N/A</t>
  </si>
  <si>
    <t>(data rounded to nearest %)</t>
  </si>
  <si>
    <t>SC1 TOD</t>
  </si>
  <si>
    <t>----</t>
  </si>
  <si>
    <t>Table #3</t>
  </si>
  <si>
    <t>Class Usage @ customer</t>
  </si>
  <si>
    <t>Usage by season</t>
  </si>
  <si>
    <t>in MWh</t>
  </si>
  <si>
    <t>Total</t>
  </si>
  <si>
    <t>winter MWh =</t>
  </si>
  <si>
    <t>on-peak</t>
  </si>
  <si>
    <t>off-peak</t>
  </si>
  <si>
    <t>summer MWh =</t>
  </si>
  <si>
    <t>Block1</t>
  </si>
  <si>
    <t>Block2</t>
  </si>
  <si>
    <t>Block3</t>
  </si>
  <si>
    <t>Calculation of TOU Rate Adjustment to Reflect Difference between RECO and PJM Time Periods</t>
  </si>
  <si>
    <t>Table #4</t>
  </si>
  <si>
    <t>Forwards Prices - Energy Only @ bulk system</t>
  </si>
  <si>
    <t>Tariff Based On-Peak</t>
  </si>
  <si>
    <t>in $/MWh (See Table 18)</t>
  </si>
  <si>
    <t>On-Peak</t>
  </si>
  <si>
    <t>Off-Peak</t>
  </si>
  <si>
    <t>PJM based On-Peak kWh</t>
  </si>
  <si>
    <t>Table #5</t>
  </si>
  <si>
    <t>Losses</t>
  </si>
  <si>
    <t>Expansion Factor =</t>
  </si>
  <si>
    <t>Expansion Factor (net</t>
  </si>
  <si>
    <t>Marginal Losses)</t>
  </si>
  <si>
    <t>Table #6</t>
  </si>
  <si>
    <t>Summary of Average BGS Energy Only Unit Costs @ customer - PJM Time Periods</t>
  </si>
  <si>
    <t>Delta between PJM and Tariff based On-Peak kWh</t>
  </si>
  <si>
    <t>based on Forwards prices corrected for basis differential &amp; losses</t>
  </si>
  <si>
    <t>in $/MWh</t>
  </si>
  <si>
    <t>Winter</t>
  </si>
  <si>
    <t>On-Peak MWh</t>
  </si>
  <si>
    <t>Summer - all hrs</t>
  </si>
  <si>
    <t>Associated $</t>
  </si>
  <si>
    <t>PJM on pk</t>
  </si>
  <si>
    <t>Rate Increment/MWh</t>
  </si>
  <si>
    <t>PJM off pk</t>
  </si>
  <si>
    <t>Summer</t>
  </si>
  <si>
    <t>Winter - all hrs</t>
  </si>
  <si>
    <t>Annual</t>
  </si>
  <si>
    <t>System Total</t>
  </si>
  <si>
    <t>Table #7</t>
  </si>
  <si>
    <t>Summary of Average BGS Energy Only Costs @ customer - PJM Time Periods</t>
  </si>
  <si>
    <t>in $1000</t>
  </si>
  <si>
    <t>Table #8</t>
  </si>
  <si>
    <t>Summary of Average BGS Energy Only Unit Costs @ customer - RECO Time Periods</t>
  </si>
  <si>
    <t>based on Forwards prices corrected for basis differential &amp; losses - RECO billing time periods in $/MWh</t>
  </si>
  <si>
    <t>RECO On pk</t>
  </si>
  <si>
    <t>RECO Off pk</t>
  </si>
  <si>
    <t>Annual Average</t>
  </si>
  <si>
    <t>System Average</t>
  </si>
  <si>
    <t>Table #9</t>
  </si>
  <si>
    <t>Generation &amp; Transmission Obligations and Costs and Other Adjustments</t>
  </si>
  <si>
    <t>in MW</t>
  </si>
  <si>
    <t>Total FP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</si>
  <si>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</si>
  <si>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</si>
  <si>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</si>
  <si>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</si>
  <si>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</si>
  <si>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</si>
  <si>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</si>
  <si>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</si>
  <si>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Cost*</t>
  </si>
  <si>
    <t>per MW-yr</t>
  </si>
  <si>
    <t>Generation Capacity cost</t>
  </si>
  <si>
    <t>summer</t>
  </si>
  <si>
    <t>$/MW/day</t>
  </si>
  <si>
    <t xml:space="preserve">Resulting avg gen cap cost = </t>
  </si>
  <si>
    <t>summer &gt;&gt;</t>
  </si>
  <si>
    <t>per kW/yr</t>
  </si>
  <si>
    <t>(see Table 19)</t>
  </si>
  <si>
    <t>winter</t>
  </si>
  <si>
    <t>winter  &gt;&gt;</t>
  </si>
  <si>
    <t>Current residential summer BGS charges</t>
  </si>
  <si>
    <t>Current Tariff and % of total summer usage</t>
  </si>
  <si>
    <t>Charges</t>
  </si>
  <si>
    <t>% usage</t>
  </si>
  <si>
    <t>Block 1 (0-600 kWh/month)</t>
  </si>
  <si>
    <t>¢/kWh</t>
  </si>
  <si>
    <t>Block 2 (&gt;600 kWh/month)</t>
  </si>
  <si>
    <t>Calculated inversion =</t>
  </si>
  <si>
    <t>Table #10</t>
  </si>
  <si>
    <t>Ancillary Services</t>
  </si>
  <si>
    <t>forecasted overall annual average</t>
  </si>
  <si>
    <t>/MWh</t>
  </si>
  <si>
    <t>Table #11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</si>
  <si>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</si>
  <si>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</si>
  <si>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</si>
  <si>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</si>
  <si>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per summer MWh</t>
  </si>
  <si>
    <t>per winter MWh</t>
  </si>
  <si>
    <t>Table #12</t>
  </si>
  <si>
    <t>Summary of BGS Unit Costs @ customer</t>
  </si>
  <si>
    <r>
      <t xml:space="preserve">NON-DEMAND RATES </t>
    </r>
    <r>
      <rPr>
        <i/>
        <sz val="10"/>
        <rFont val="Arial"/>
        <family val="2"/>
      </rPr>
      <t>(includes energy, G&amp;T obligations, and Ancillary Services - adjusted to billing time periods in $/MWh)</t>
    </r>
  </si>
  <si>
    <t>Block 1</t>
  </si>
  <si>
    <t>Block 2</t>
  </si>
  <si>
    <t>Annual -all hrs</t>
  </si>
  <si>
    <r>
      <t xml:space="preserve">DEMAND RATES </t>
    </r>
    <r>
      <rPr>
        <i/>
        <sz val="10"/>
        <rFont val="Arial"/>
        <family val="2"/>
      </rPr>
      <t>(includes energy and Ancillary Services, G&amp;T obligations charged separately - adjusted to billing time periods in $/MWh)</t>
    </r>
  </si>
  <si>
    <t>PLUS:</t>
  </si>
  <si>
    <t>Gen Cost (per kW of Billed Demand/Month)</t>
  </si>
  <si>
    <t>Trans cost</t>
  </si>
  <si>
    <t>Annual - all hrs per MWh only</t>
  </si>
  <si>
    <t>all months</t>
  </si>
  <si>
    <t>per kW of T obl /month</t>
  </si>
  <si>
    <t>(Continued)</t>
  </si>
  <si>
    <t>Including T&amp;G Obligation $</t>
  </si>
  <si>
    <t>Annual - including T&amp;G Obl $</t>
  </si>
  <si>
    <t>ALL RATES</t>
  </si>
  <si>
    <t>Grand Total Cost in $1000 =</t>
  </si>
  <si>
    <t>SC2 Demands</t>
  </si>
  <si>
    <t>All-In Average cost @ customer =</t>
  </si>
  <si>
    <t>per MWh at customer (per customer metered MWh)</t>
  </si>
  <si>
    <t>All kW</t>
  </si>
  <si>
    <t>All-In Average costs @ transmission nodes =</t>
  </si>
  <si>
    <t>per MWH at transmission nodes (per metered MWh at transmission node)</t>
  </si>
  <si>
    <t>Table #13</t>
  </si>
  <si>
    <t>Ratio of BGS Unit Costs @ customer to All-In Average Cost @ transmission nodes</t>
  </si>
  <si>
    <t>NON-DEMAND RATES</t>
  </si>
  <si>
    <t>Includes energy, G&amp;T obligations, and Ancillary Services - adjusted to billing time periods</t>
  </si>
  <si>
    <t>Constant Blk 1</t>
  </si>
  <si>
    <t>Constant Blk 2</t>
  </si>
  <si>
    <t>Annual - all hrs</t>
  </si>
  <si>
    <t>DEMAND RATES</t>
  </si>
  <si>
    <t>Includes energy and Ancillary Services, G&amp;T obligations charged separately - adjusted to billing time periods</t>
  </si>
  <si>
    <t>Multiplier</t>
  </si>
  <si>
    <t>Constant</t>
  </si>
  <si>
    <t>Table #14</t>
  </si>
  <si>
    <t>Summary of BGS Unit Costs Less Transmission @ customer</t>
  </si>
  <si>
    <t>Includes energy, generation capacity obligation, and Ancillary Services - adjusted to billing time periods.  Transmission billed at retail tariff level.</t>
  </si>
  <si>
    <t>Includes energy and Ancillary Services, generation obligation charged separately - adjusted to billing time periods.</t>
  </si>
  <si>
    <t>Transmission billed at retail tariff level.  In $/MWh.</t>
  </si>
  <si>
    <t>Including Generation Obligation $</t>
  </si>
  <si>
    <t>All-In Average costs @ tansmission nodes =</t>
  </si>
  <si>
    <t>per MWh at tranmission node system (per metered MWh at transmission node)</t>
  </si>
  <si>
    <t>Table #15</t>
  </si>
  <si>
    <t>Ratio of BGS Unit Costs Less Transmission @ customer to All-In Average Cost @ transmission nodes</t>
  </si>
  <si>
    <t>includes energy and Ancillary Services, G&amp;T obligations charged separately - adjusted to billing time periods</t>
  </si>
  <si>
    <t>Table #16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</si>
  <si>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</si>
  <si>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</si>
  <si>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</si>
  <si>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</si>
  <si>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</si>
  <si>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transmission node MWhs):</t>
  </si>
  <si>
    <t>Ratio to All-In Cost</t>
  </si>
  <si>
    <t>per MWh @ transmission nodes</t>
  </si>
  <si>
    <t>Table #17</t>
  </si>
  <si>
    <t>Summary of Total BGS Costs by Season - Less Transmission</t>
  </si>
  <si>
    <t>Table #18</t>
  </si>
  <si>
    <t>Forward Energy Prices</t>
  </si>
  <si>
    <t>Zone to Western Hub</t>
  </si>
  <si>
    <t>PJM Forward Prices</t>
  </si>
  <si>
    <t>PJM Forward Prices - Energy Only @ bulk system</t>
  </si>
  <si>
    <t>Basis Differential</t>
  </si>
  <si>
    <t>(incl basis differential)</t>
  </si>
  <si>
    <t>Off/On Peak</t>
  </si>
  <si>
    <r>
      <t xml:space="preserve"> </t>
    </r>
    <r>
      <rPr>
        <i/>
        <sz val="10"/>
        <rFont val="Arial"/>
        <family val="2"/>
      </rPr>
      <t>in $/MWh</t>
    </r>
  </si>
  <si>
    <t>LMP ratio</t>
  </si>
  <si>
    <t>NYISO Forward Prices - Energy Only @ bulk system</t>
  </si>
  <si>
    <t>Weighted Average Forward Prices - Energy Only @ bulk</t>
  </si>
  <si>
    <t>PJM</t>
  </si>
  <si>
    <t>NYISO</t>
  </si>
  <si>
    <t>Table #19</t>
  </si>
  <si>
    <t>Generation Capacity Prices ($/MW/Day)</t>
  </si>
  <si>
    <t>PJM Base</t>
  </si>
  <si>
    <t>Weighted</t>
  </si>
  <si>
    <t xml:space="preserve"> Capacity</t>
  </si>
  <si>
    <t>Average</t>
  </si>
  <si>
    <t>$/kW/mo</t>
  </si>
  <si>
    <t>$/MW/mo</t>
  </si>
  <si>
    <t>Days</t>
  </si>
  <si>
    <t>Oct</t>
  </si>
  <si>
    <t>Nov</t>
  </si>
  <si>
    <t>Dec</t>
  </si>
  <si>
    <t>Jan</t>
  </si>
  <si>
    <t>Feb</t>
  </si>
  <si>
    <t>Mar</t>
  </si>
  <si>
    <t>Table #20</t>
  </si>
  <si>
    <t>Apr</t>
  </si>
  <si>
    <t xml:space="preserve">PJM Ancillary </t>
  </si>
  <si>
    <t xml:space="preserve">NYISO Ancillary </t>
  </si>
  <si>
    <t>Renewable</t>
  </si>
  <si>
    <t xml:space="preserve">Services </t>
  </si>
  <si>
    <t>Power Cost</t>
  </si>
  <si>
    <t>Assumptions:</t>
  </si>
  <si>
    <t>Gen Cost =</t>
  </si>
  <si>
    <t>per MW-day in summer</t>
  </si>
  <si>
    <t>RECO RFP MW</t>
  </si>
  <si>
    <t>per MW-day in winter</t>
  </si>
  <si>
    <t>Tranch MW</t>
  </si>
  <si>
    <t>Trans cost =</t>
  </si>
  <si>
    <t>RFP %</t>
  </si>
  <si>
    <t>Analysis time period =</t>
  </si>
  <si>
    <t>summer months</t>
  </si>
  <si>
    <t>winter months</t>
  </si>
  <si>
    <t>RECO Avg.x'mission</t>
  </si>
  <si>
    <t>$/MWh</t>
  </si>
  <si>
    <t>Ancillary Services =</t>
  </si>
  <si>
    <t>Cen/West x'mission cont</t>
  </si>
  <si>
    <t>Energy Costs =</t>
  </si>
  <si>
    <t>Actual RECO x'mission</t>
  </si>
  <si>
    <t>Usage patterns =</t>
  </si>
  <si>
    <t>Obligations =</t>
  </si>
  <si>
    <t>Losses =</t>
  </si>
  <si>
    <t>Per RECO's Third Party Supplier Agreement adjusted for PJM 500kV losses and inadvertent energy.</t>
  </si>
  <si>
    <t>PJM Time Periods =</t>
  </si>
  <si>
    <t xml:space="preserve">PJM trading time periods - 7 AM to 11 PM weekdays, local time, x NERC </t>
  </si>
  <si>
    <t>Holidays - New Year's, Memorial, 4th of July, Labor Day, Thanksgiving &amp; Christmas</t>
  </si>
  <si>
    <t>RECO Billing time periods =</t>
  </si>
  <si>
    <t>as per specific rate schedule</t>
  </si>
  <si>
    <t>No Longer Used</t>
  </si>
  <si>
    <t>Table #21</t>
  </si>
  <si>
    <t>Determination of Retail Rates to be Charged to BGS Customers</t>
  </si>
  <si>
    <t>All-In Average costs @ bulk system =</t>
  </si>
  <si>
    <t>* Price from Table A (which does not include</t>
  </si>
  <si>
    <t>Less Transmission</t>
  </si>
  <si>
    <t>transmission for the Central/Western Division).</t>
  </si>
  <si>
    <t xml:space="preserve">BGS Cost </t>
  </si>
  <si>
    <t>Central/West transmission contribution to weighted</t>
  </si>
  <si>
    <t>Retail BGS Rates (excl SUT) (¢/kWh)</t>
  </si>
  <si>
    <t>All kWh (¢/kWh)</t>
  </si>
  <si>
    <t>Peak kWh (¢/kWh)</t>
  </si>
  <si>
    <t>Off-Peak kWh (¢/kWh)</t>
  </si>
  <si>
    <t>Demand Charge ($/kW) All kW</t>
  </si>
  <si>
    <t>Retail BGS Rates (incl SUT) (¢/kWh)</t>
  </si>
  <si>
    <t>SUT @</t>
  </si>
  <si>
    <t>Table #21A</t>
  </si>
  <si>
    <r>
      <t>Determination of Retail Rates to be Charged to BGS Customers</t>
    </r>
    <r>
      <rPr>
        <b/>
        <i/>
        <sz val="8.6999999999999993"/>
        <rFont val="Arial"/>
        <family val="2"/>
      </rPr>
      <t xml:space="preserve"> (INCLUDING RETAIL TRANSMISSION RATES)</t>
    </r>
  </si>
  <si>
    <t>Transmission Rates (excl SUT)</t>
  </si>
  <si>
    <t>Cents/kWh</t>
  </si>
  <si>
    <t>Summer $/kW</t>
  </si>
  <si>
    <t>Winter $/kW</t>
  </si>
  <si>
    <t>Retail Shopping Credits (BGS and Transmission Rates) (excl SUT) (¢/kWh)</t>
  </si>
  <si>
    <t>Demand Charge ($/kW)</t>
  </si>
  <si>
    <t>Table #22</t>
  </si>
  <si>
    <t>Reconciliation of Customer Revenue and Supplier Payments</t>
  </si>
  <si>
    <t>Assumed Winning Bid Price =</t>
  </si>
  <si>
    <t>Payment Ratio - Summer =</t>
  </si>
  <si>
    <t>Payment Ratio - Winter =</t>
  </si>
  <si>
    <t>Supplier Price - Summer =</t>
  </si>
  <si>
    <t>Supplier Price - Winter =</t>
  </si>
  <si>
    <t>Total BGS Revenue (Excl SUT) - in $1000</t>
  </si>
  <si>
    <t>Total Supplier Payment - in $1000</t>
  </si>
  <si>
    <t>Less Transmission Credits</t>
  </si>
  <si>
    <t>Net BGS Cost</t>
  </si>
  <si>
    <t>Differences</t>
  </si>
  <si>
    <t>ROCKLAND ELECTRIC COMPANY</t>
  </si>
  <si>
    <t>Table A</t>
  </si>
  <si>
    <t>Weighted Average Price Calculation</t>
  </si>
  <si>
    <t>Auction</t>
  </si>
  <si>
    <t>Line #</t>
  </si>
  <si>
    <t>Specific BGS-FP Auction &gt;&gt;</t>
  </si>
  <si>
    <t>36 Month</t>
  </si>
  <si>
    <t>Notes:</t>
  </si>
  <si>
    <t>Tranches</t>
  </si>
  <si>
    <t>From then-current auction</t>
  </si>
  <si>
    <t>2(a)</t>
  </si>
  <si>
    <t>Winning Bid Price (¢/kWh)*</t>
  </si>
  <si>
    <t>2(b)</t>
  </si>
  <si>
    <t>Capacity Proxy Price True-up - in (¢/kWh)*</t>
  </si>
  <si>
    <t>Entered After 2025 BGS Auction</t>
  </si>
  <si>
    <t>2(C)</t>
  </si>
  <si>
    <t xml:space="preserve"> = 2(a) + 2(b)</t>
  </si>
  <si>
    <t>Transmission (¢/kWh)</t>
  </si>
  <si>
    <t>Average transmission cost included in bid for existing tranches only</t>
  </si>
  <si>
    <t>BGS (¢/kWh)</t>
  </si>
  <si>
    <t xml:space="preserve">= 2(a) + 2(b) </t>
  </si>
  <si>
    <t>Weighted Avg BGS</t>
  </si>
  <si>
    <t>= (1) / Total Tranches * (3)</t>
  </si>
  <si>
    <t>Weighted Avg Trans</t>
  </si>
  <si>
    <t>Weighted Avg Total Price (¢/kWh)</t>
  </si>
  <si>
    <t>Seasonal Payment Factors</t>
  </si>
  <si>
    <t xml:space="preserve">                           Summer</t>
  </si>
  <si>
    <t>**</t>
  </si>
  <si>
    <t>From then-current Bid Factor Spreadsheet</t>
  </si>
  <si>
    <t xml:space="preserve">                           Winter</t>
  </si>
  <si>
    <t>Applicable Customer Usage @ transmission nodes</t>
  </si>
  <si>
    <t>(Eastern Division)</t>
  </si>
  <si>
    <t xml:space="preserve">                           Summer MWh</t>
  </si>
  <si>
    <t xml:space="preserve">                           Winter MWh</t>
  </si>
  <si>
    <t>Total Cost</t>
  </si>
  <si>
    <t>= (1) / Total Tranches * (3) / 100 * (6) * (8) * 1,000</t>
  </si>
  <si>
    <t>= (1) / Total Tranches * (3) / 100* (7) * (9) * 1,000</t>
  </si>
  <si>
    <t>= (11) + (12)</t>
  </si>
  <si>
    <t>Average Cost (NJ Statewide Auction)</t>
  </si>
  <si>
    <t>= sum(line 11) / (8) / 1000 * 100  rounded to 3 decimal places</t>
  </si>
  <si>
    <t>= sum(line 12) / (9) / 1000 * 100  rounded to 3 decimal places</t>
  </si>
  <si>
    <t>= sum(line 13) / (10) / 1000 * 100  rounded to 3 decimal places</t>
  </si>
  <si>
    <t>Average Cost (Including RECO RFP)</t>
  </si>
  <si>
    <t>BGS</t>
  </si>
  <si>
    <t>RECO</t>
  </si>
  <si>
    <t>RFP</t>
  </si>
  <si>
    <t>Includes RECO RFP equivalent tranches</t>
  </si>
  <si>
    <t>Price ¢/kWh</t>
  </si>
  <si>
    <t>Transmission</t>
  </si>
  <si>
    <t>= (19) - (20)</t>
  </si>
  <si>
    <t>= (17) / Total Tranches * (18)</t>
  </si>
  <si>
    <t>= (17) / Total Tranches * (19)</t>
  </si>
  <si>
    <t>Weighted Avg Total Price</t>
  </si>
  <si>
    <t>= (19)</t>
  </si>
  <si>
    <t>*  Includes Impact of PJM Marginal Losses</t>
  </si>
  <si>
    <t>** Auction results set to 1.0 to avoid using an atypical result from the current 12-month forward prices.</t>
  </si>
  <si>
    <t>Table B</t>
  </si>
  <si>
    <t>(from Table 15 of Bid Factor Spreadsheet)</t>
  </si>
  <si>
    <t>includes energy, G&amp;T obligations, and Ancillary Services - adjusted to billing time periods</t>
  </si>
  <si>
    <t>Table C</t>
  </si>
  <si>
    <t>Determination of Preliminary Retail Rates to be Charged to BGS Customers</t>
  </si>
  <si>
    <t>All-In Average costs @ Trans node =</t>
  </si>
  <si>
    <t>/MWh*</t>
  </si>
  <si>
    <t>/MWh**</t>
  </si>
  <si>
    <t>Table D</t>
  </si>
  <si>
    <t>Calculation of Rate Adjustment Factors</t>
  </si>
  <si>
    <t>Total Supplier Payments - in $1000</t>
  </si>
  <si>
    <t>Eastern Division</t>
  </si>
  <si>
    <t>Net BGS</t>
  </si>
  <si>
    <t>Central/Western Division</t>
  </si>
  <si>
    <t>Total RECO FP</t>
  </si>
  <si>
    <t>Rate</t>
  </si>
  <si>
    <t>Adjustment</t>
  </si>
  <si>
    <t>Revenue</t>
  </si>
  <si>
    <t>Costs</t>
  </si>
  <si>
    <t>Difference</t>
  </si>
  <si>
    <t>Factors</t>
  </si>
  <si>
    <t>Table E</t>
  </si>
  <si>
    <t>Final Retail BGS Rates (¢/kWh)</t>
  </si>
  <si>
    <t>Rates Excluding SUT:</t>
  </si>
  <si>
    <t>Rates Including SUT:</t>
  </si>
  <si>
    <t>Table F</t>
  </si>
  <si>
    <t>Spreadsheet Error Checking</t>
  </si>
  <si>
    <t>Supplier Payments - in $1000</t>
  </si>
  <si>
    <t>$/kW</t>
  </si>
  <si>
    <t>DETAILS OF RECO RFP AND INPUTS</t>
  </si>
  <si>
    <t>Summary of Usage By Season</t>
  </si>
  <si>
    <t>Sales:</t>
  </si>
  <si>
    <t>Eastern</t>
  </si>
  <si>
    <t>Cen/West</t>
  </si>
  <si>
    <t>Sendout:</t>
  </si>
  <si>
    <t>ORU Budget</t>
  </si>
  <si>
    <t>Total NUG</t>
  </si>
  <si>
    <t>Hedged Energy</t>
  </si>
  <si>
    <t>Unhedged Energy</t>
  </si>
  <si>
    <t>Hedged Capacity</t>
  </si>
  <si>
    <t>Unhedged Capacity</t>
  </si>
  <si>
    <t>Sendout (MWh)</t>
  </si>
  <si>
    <t>Output (MWh)</t>
  </si>
  <si>
    <t>Energy Charge ($/MWh)</t>
  </si>
  <si>
    <t>Total ($)</t>
  </si>
  <si>
    <t>ATC Forward Energy ($/MWh)</t>
  </si>
  <si>
    <t>Charge ($/MWh)</t>
  </si>
  <si>
    <t>Peak Load (MW)</t>
  </si>
  <si>
    <t>Capacity Charge ($/kW-month)</t>
  </si>
  <si>
    <t>Avg Annual Price for RECO RFP</t>
  </si>
  <si>
    <t>At Market NUGS</t>
  </si>
  <si>
    <t>MWh</t>
  </si>
  <si>
    <t>Usage by Season</t>
  </si>
  <si>
    <t>Expan Ftr</t>
  </si>
  <si>
    <t>Incl Losses</t>
  </si>
  <si>
    <t>RECO Eastern Division</t>
  </si>
  <si>
    <t>RECO Central/Western Divisions</t>
  </si>
  <si>
    <t>Summary</t>
  </si>
  <si>
    <t>Based on Jun  2025 to May 2026 Forwards @ PJM West as of June 03, 2024</t>
  </si>
  <si>
    <t>Based on Jun 2024 to May 2025 Forwards @ NYISO Zone G and Lower Hudson Valley (LHV) as of June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</si>
</sst>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"/>
    <numFmt numFmtId="166" formatCode="_(&quot;$&quot;* #,##0_);_(&quot;$&quot;* \(#,##0\);_(&quot;$&quot;* &quot;-&quot;??_);_(@_)"/>
    <numFmt numFmtId="167" formatCode="#,##0.000"/>
    <numFmt numFmtId="168" formatCode="#,##0.0"/>
    <numFmt numFmtId="169" formatCode="#,##0.00000"/>
    <numFmt numFmtId="170" formatCode="_(* #,##0_);_(* \(#,##0\);_(* &quot;-&quot;??_);_(@_)"/>
    <numFmt numFmtId="171" formatCode="0.000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_(* #,##0.000_);_(* \(#,##0.000\);_(* &quot;-&quot;??_);_(@_)"/>
    <numFmt numFmtId="175" formatCode="_(* #,##0.0000_);_(* \(#,##0.0000\);_(* &quot;-&quot;??_);_(@_)"/>
    <numFmt numFmtId="176" formatCode="0.0000"/>
    <numFmt numFmtId="177" formatCode="&quot;$&quot;#,##0.00"/>
    <numFmt numFmtId="178" formatCode="0.000%"/>
    <numFmt numFmtId="179" formatCode="#,##0.000_);\(#,##0.000\)"/>
    <numFmt numFmtId="180" formatCode="_(* #,##0.000000_);_(* \(#,##0.000000\);_(* &quot;-&quot;??_);_(@_)"/>
    <numFmt numFmtId="181" formatCode="0.00_);\(0.00\)"/>
    <numFmt numFmtId="182" formatCode="0.000000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u/>
      <sz val="10"/>
      <name val="Arial Narrow"/>
      <family val="2"/>
    </font>
    <font>
      <sz val="8"/>
      <name val="Arial"/>
      <family val="2"/>
    </font>
    <font>
      <b/>
      <i/>
      <sz val="8.6999999999999993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6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" fontId="4" fillId="0" borderId="0" xfId="1" applyNumberFormat="1" applyFont="1" applyFill="1"/>
    <xf numFmtId="0" fontId="7" fillId="0" borderId="0" xfId="0" applyFont="1"/>
    <xf numFmtId="0" fontId="4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7" fillId="0" borderId="0" xfId="3" applyFont="1" applyFill="1"/>
    <xf numFmtId="17" fontId="4" fillId="0" borderId="0" xfId="0" applyNumberFormat="1" applyFont="1"/>
    <xf numFmtId="0" fontId="4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8" fillId="0" borderId="0" xfId="0" quotePrefix="1" applyFont="1" applyAlignment="1">
      <alignment horizontal="left"/>
    </xf>
    <xf numFmtId="0" fontId="9" fillId="0" borderId="0" xfId="0" applyFont="1"/>
    <xf numFmtId="44" fontId="1" fillId="0" borderId="0" xfId="2" quotePrefix="1" applyFont="1" applyFill="1"/>
    <xf numFmtId="166" fontId="1" fillId="0" borderId="0" xfId="0" applyNumberFormat="1" applyFont="1"/>
    <xf numFmtId="166" fontId="1" fillId="0" borderId="0" xfId="2" quotePrefix="1" applyNumberFormat="1" applyFont="1" applyFill="1"/>
    <xf numFmtId="166" fontId="1" fillId="0" borderId="0" xfId="2" applyNumberFormat="1" applyFont="1" applyFill="1"/>
    <xf numFmtId="39" fontId="1" fillId="0" borderId="0" xfId="0" applyNumberFormat="1" applyFont="1"/>
    <xf numFmtId="0" fontId="1" fillId="0" borderId="0" xfId="0" quotePrefix="1" applyFont="1" applyAlignment="1">
      <alignment horizontal="left"/>
    </xf>
    <xf numFmtId="171" fontId="1" fillId="0" borderId="0" xfId="0" applyNumberFormat="1" applyFont="1"/>
    <xf numFmtId="0" fontId="10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172" fontId="1" fillId="0" borderId="0" xfId="2" quotePrefix="1" applyNumberFormat="1" applyFont="1" applyFill="1"/>
    <xf numFmtId="0" fontId="10" fillId="0" borderId="0" xfId="0" applyFont="1" applyAlignment="1">
      <alignment horizontal="left"/>
    </xf>
    <xf numFmtId="0" fontId="10" fillId="0" borderId="4" xfId="0" quotePrefix="1" applyFont="1" applyBorder="1" applyAlignment="1">
      <alignment horizontal="left"/>
    </xf>
    <xf numFmtId="172" fontId="14" fillId="0" borderId="0" xfId="2" quotePrefix="1" applyNumberFormat="1" applyFont="1" applyFill="1"/>
    <xf numFmtId="44" fontId="14" fillId="0" borderId="0" xfId="2" applyFont="1" applyFill="1"/>
    <xf numFmtId="174" fontId="4" fillId="0" borderId="0" xfId="1" quotePrefix="1" applyNumberFormat="1" applyFont="1" applyFill="1" applyBorder="1"/>
    <xf numFmtId="43" fontId="1" fillId="0" borderId="0" xfId="1" quotePrefix="1" applyFont="1" applyFill="1" applyBorder="1"/>
    <xf numFmtId="43" fontId="1" fillId="0" borderId="0" xfId="1" quotePrefix="1" applyFont="1" applyFill="1"/>
    <xf numFmtId="43" fontId="4" fillId="0" borderId="0" xfId="1" quotePrefix="1" applyFont="1" applyFill="1" applyBorder="1"/>
    <xf numFmtId="0" fontId="4" fillId="0" borderId="0" xfId="0" quotePrefix="1" applyFont="1" applyAlignment="1">
      <alignment horizontal="right"/>
    </xf>
    <xf numFmtId="44" fontId="4" fillId="0" borderId="0" xfId="2" quotePrefix="1" applyFont="1" applyFill="1" applyBorder="1"/>
    <xf numFmtId="174" fontId="1" fillId="0" borderId="0" xfId="1" quotePrefix="1" applyNumberFormat="1" applyFont="1" applyFill="1" applyBorder="1"/>
    <xf numFmtId="175" fontId="4" fillId="0" borderId="0" xfId="1" quotePrefix="1" applyNumberFormat="1" applyFont="1" applyFill="1"/>
    <xf numFmtId="174" fontId="1" fillId="0" borderId="0" xfId="1" quotePrefix="1" applyNumberFormat="1" applyFont="1" applyFill="1"/>
    <xf numFmtId="0" fontId="4" fillId="0" borderId="4" xfId="0" applyFont="1" applyBorder="1"/>
    <xf numFmtId="44" fontId="4" fillId="0" borderId="0" xfId="0" applyNumberFormat="1" applyFont="1"/>
    <xf numFmtId="0" fontId="10" fillId="0" borderId="4" xfId="0" applyFont="1" applyBorder="1" applyAlignment="1">
      <alignment horizontal="left"/>
    </xf>
    <xf numFmtId="43" fontId="4" fillId="0" borderId="0" xfId="1" quotePrefix="1" applyFont="1" applyFill="1"/>
    <xf numFmtId="174" fontId="4" fillId="0" borderId="0" xfId="1" quotePrefix="1" applyNumberFormat="1" applyFont="1" applyFill="1"/>
    <xf numFmtId="0" fontId="9" fillId="0" borderId="0" xfId="0" quotePrefix="1" applyFont="1" applyAlignment="1">
      <alignment horizontal="right"/>
    </xf>
    <xf numFmtId="174" fontId="4" fillId="0" borderId="0" xfId="0" applyNumberFormat="1" applyFont="1"/>
    <xf numFmtId="175" fontId="4" fillId="0" borderId="0" xfId="1" applyNumberFormat="1" applyFont="1" applyFill="1"/>
    <xf numFmtId="43" fontId="4" fillId="0" borderId="0" xfId="1" applyFont="1" applyFill="1"/>
    <xf numFmtId="0" fontId="4" fillId="0" borderId="0" xfId="0" applyFont="1" applyAlignment="1">
      <alignment horizontal="left"/>
    </xf>
    <xf numFmtId="164" fontId="10" fillId="0" borderId="0" xfId="3" applyNumberFormat="1" applyFont="1" applyFill="1"/>
    <xf numFmtId="0" fontId="10" fillId="0" borderId="0" xfId="0" applyFont="1" applyAlignment="1">
      <alignment horizontal="right"/>
    </xf>
    <xf numFmtId="2" fontId="1" fillId="0" borderId="0" xfId="0" applyNumberFormat="1" applyFont="1"/>
    <xf numFmtId="0" fontId="17" fillId="0" borderId="0" xfId="0" applyFont="1"/>
    <xf numFmtId="44" fontId="10" fillId="0" borderId="0" xfId="0" applyNumberFormat="1" applyFont="1"/>
    <xf numFmtId="44" fontId="17" fillId="0" borderId="0" xfId="0" applyNumberFormat="1" applyFont="1"/>
    <xf numFmtId="0" fontId="10" fillId="0" borderId="0" xfId="0" applyFont="1"/>
    <xf numFmtId="178" fontId="1" fillId="0" borderId="0" xfId="0" applyNumberFormat="1" applyFont="1"/>
    <xf numFmtId="179" fontId="1" fillId="0" borderId="0" xfId="0" applyNumberFormat="1" applyFont="1"/>
    <xf numFmtId="171" fontId="1" fillId="0" borderId="0" xfId="0" quotePrefix="1" applyNumberFormat="1" applyFont="1" applyAlignment="1">
      <alignment horizontal="right"/>
    </xf>
    <xf numFmtId="166" fontId="10" fillId="0" borderId="0" xfId="2" applyNumberFormat="1" applyFont="1" applyFill="1"/>
    <xf numFmtId="166" fontId="10" fillId="0" borderId="0" xfId="2" quotePrefix="1" applyNumberFormat="1" applyFont="1" applyFill="1"/>
    <xf numFmtId="166" fontId="10" fillId="0" borderId="0" xfId="0" applyNumberFormat="1" applyFont="1"/>
    <xf numFmtId="178" fontId="8" fillId="0" borderId="0" xfId="3" applyNumberFormat="1" applyFont="1" applyFill="1"/>
    <xf numFmtId="0" fontId="17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7" fillId="0" borderId="0" xfId="0" quotePrefix="1" applyFont="1" applyAlignment="1">
      <alignment horizontal="left"/>
    </xf>
    <xf numFmtId="171" fontId="20" fillId="0" borderId="0" xfId="0" applyNumberFormat="1" applyFont="1"/>
    <xf numFmtId="171" fontId="17" fillId="0" borderId="0" xfId="0" applyNumberFormat="1" applyFont="1"/>
    <xf numFmtId="171" fontId="21" fillId="0" borderId="0" xfId="0" applyNumberFormat="1" applyFont="1"/>
    <xf numFmtId="9" fontId="17" fillId="0" borderId="0" xfId="3" applyFont="1" applyAlignment="1">
      <alignment horizontal="right"/>
    </xf>
    <xf numFmtId="176" fontId="20" fillId="0" borderId="0" xfId="0" applyNumberFormat="1" applyFont="1"/>
    <xf numFmtId="176" fontId="17" fillId="0" borderId="0" xfId="0" applyNumberFormat="1" applyFont="1"/>
    <xf numFmtId="0" fontId="17" fillId="0" borderId="0" xfId="0" applyFont="1" applyAlignment="1">
      <alignment horizontal="right"/>
    </xf>
    <xf numFmtId="3" fontId="17" fillId="0" borderId="0" xfId="0" applyNumberFormat="1" applyFont="1"/>
    <xf numFmtId="3" fontId="19" fillId="0" borderId="0" xfId="0" applyNumberFormat="1" applyFont="1"/>
    <xf numFmtId="3" fontId="17" fillId="2" borderId="0" xfId="0" applyNumberFormat="1" applyFont="1" applyFill="1"/>
    <xf numFmtId="3" fontId="19" fillId="2" borderId="0" xfId="0" applyNumberFormat="1" applyFont="1" applyFill="1"/>
    <xf numFmtId="0" fontId="19" fillId="0" borderId="0" xfId="0" quotePrefix="1" applyFont="1" applyAlignment="1">
      <alignment horizontal="left"/>
    </xf>
    <xf numFmtId="0" fontId="19" fillId="0" borderId="0" xfId="0" quotePrefix="1" applyFont="1" applyAlignment="1">
      <alignment horizontal="right"/>
    </xf>
    <xf numFmtId="171" fontId="22" fillId="0" borderId="0" xfId="0" applyNumberFormat="1" applyFont="1"/>
    <xf numFmtId="0" fontId="21" fillId="0" borderId="0" xfId="0" applyFont="1"/>
    <xf numFmtId="171" fontId="21" fillId="0" borderId="15" xfId="0" applyNumberFormat="1" applyFont="1" applyBorder="1"/>
    <xf numFmtId="0" fontId="17" fillId="0" borderId="0" xfId="0" applyFont="1" applyAlignment="1">
      <alignment horizontal="left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4" xfId="0" applyBorder="1"/>
    <xf numFmtId="44" fontId="0" fillId="0" borderId="0" xfId="0" applyNumberFormat="1"/>
    <xf numFmtId="0" fontId="0" fillId="0" borderId="4" xfId="0" applyBorder="1" applyAlignment="1">
      <alignment horizontal="right"/>
    </xf>
    <xf numFmtId="174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44" fontId="1" fillId="0" borderId="0" xfId="0" quotePrefix="1" applyNumberFormat="1" applyFont="1"/>
    <xf numFmtId="0" fontId="0" fillId="0" borderId="0" xfId="0" quotePrefix="1" applyAlignment="1">
      <alignment horizontal="left"/>
    </xf>
    <xf numFmtId="177" fontId="0" fillId="0" borderId="0" xfId="0" applyNumberFormat="1"/>
    <xf numFmtId="2" fontId="0" fillId="0" borderId="0" xfId="0" applyNumberFormat="1"/>
    <xf numFmtId="177" fontId="0" fillId="0" borderId="0" xfId="0" applyNumberFormat="1" applyAlignment="1">
      <alignment horizontal="left"/>
    </xf>
    <xf numFmtId="0" fontId="0" fillId="0" borderId="0" xfId="0" quotePrefix="1" applyAlignment="1">
      <alignment horizontal="right"/>
    </xf>
    <xf numFmtId="171" fontId="0" fillId="0" borderId="0" xfId="0" quotePrefix="1" applyNumberFormat="1" applyAlignment="1">
      <alignment horizontal="right"/>
    </xf>
    <xf numFmtId="171" fontId="0" fillId="0" borderId="0" xfId="0" applyNumberFormat="1"/>
    <xf numFmtId="0" fontId="0" fillId="0" borderId="0" xfId="0" applyAlignment="1">
      <alignment horizontal="right"/>
    </xf>
    <xf numFmtId="39" fontId="0" fillId="0" borderId="0" xfId="0" applyNumberFormat="1"/>
    <xf numFmtId="0" fontId="0" fillId="0" borderId="0" xfId="0" applyAlignment="1">
      <alignment horizontal="center"/>
    </xf>
    <xf numFmtId="166" fontId="0" fillId="0" borderId="0" xfId="2" applyNumberFormat="1" applyFont="1" applyFill="1"/>
    <xf numFmtId="166" fontId="0" fillId="0" borderId="0" xfId="2" quotePrefix="1" applyNumberFormat="1" applyFont="1" applyFill="1"/>
    <xf numFmtId="166" fontId="0" fillId="0" borderId="0" xfId="0" applyNumberFormat="1"/>
    <xf numFmtId="43" fontId="23" fillId="0" borderId="0" xfId="1" applyFont="1" applyFill="1" applyAlignment="1">
      <alignment horizontal="right"/>
    </xf>
    <xf numFmtId="43" fontId="24" fillId="0" borderId="0" xfId="1" quotePrefix="1" applyFont="1" applyFill="1" applyBorder="1"/>
    <xf numFmtId="166" fontId="0" fillId="0" borderId="0" xfId="0" quotePrefix="1" applyNumberFormat="1" applyAlignment="1">
      <alignment horizontal="left"/>
    </xf>
    <xf numFmtId="166" fontId="23" fillId="0" borderId="0" xfId="0" applyNumberFormat="1" applyFont="1"/>
    <xf numFmtId="43" fontId="24" fillId="0" borderId="0" xfId="1" quotePrefix="1" applyFont="1" applyFill="1"/>
    <xf numFmtId="179" fontId="0" fillId="0" borderId="0" xfId="0" quotePrefix="1" applyNumberFormat="1" applyAlignment="1">
      <alignment horizontal="right"/>
    </xf>
    <xf numFmtId="179" fontId="0" fillId="0" borderId="0" xfId="0" applyNumberFormat="1"/>
    <xf numFmtId="164" fontId="0" fillId="0" borderId="0" xfId="3" quotePrefix="1" applyNumberFormat="1" applyFont="1" applyFill="1" applyAlignment="1">
      <alignment horizontal="right"/>
    </xf>
    <xf numFmtId="179" fontId="1" fillId="0" borderId="0" xfId="0" applyNumberFormat="1" applyFont="1" applyAlignment="1">
      <alignment horizontal="right"/>
    </xf>
    <xf numFmtId="39" fontId="0" fillId="0" borderId="0" xfId="0" quotePrefix="1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166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0" fontId="24" fillId="0" borderId="0" xfId="0" applyFont="1"/>
    <xf numFmtId="167" fontId="12" fillId="0" borderId="0" xfId="0" applyNumberFormat="1" applyFont="1"/>
    <xf numFmtId="177" fontId="12" fillId="0" borderId="0" xfId="0" applyNumberFormat="1" applyFont="1"/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9" fillId="0" borderId="6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39" fontId="0" fillId="0" borderId="12" xfId="0" applyNumberForma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9" fontId="9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/>
    </xf>
    <xf numFmtId="170" fontId="1" fillId="0" borderId="0" xfId="1" applyNumberFormat="1" applyFont="1" applyFill="1" applyBorder="1" applyAlignment="1">
      <alignment horizontal="right"/>
    </xf>
    <xf numFmtId="170" fontId="1" fillId="0" borderId="9" xfId="1" applyNumberFormat="1" applyFont="1" applyFill="1" applyBorder="1" applyAlignment="1">
      <alignment horizontal="right"/>
    </xf>
    <xf numFmtId="0" fontId="4" fillId="0" borderId="19" xfId="0" applyFont="1" applyBorder="1" applyAlignment="1">
      <alignment horizontal="center"/>
    </xf>
    <xf numFmtId="170" fontId="4" fillId="0" borderId="19" xfId="1" applyNumberFormat="1" applyFont="1" applyFill="1" applyBorder="1" applyAlignment="1">
      <alignment horizontal="right"/>
    </xf>
    <xf numFmtId="43" fontId="1" fillId="0" borderId="8" xfId="1" quotePrefix="1" applyFont="1" applyFill="1" applyBorder="1"/>
    <xf numFmtId="0" fontId="0" fillId="0" borderId="13" xfId="0" applyBorder="1"/>
    <xf numFmtId="39" fontId="0" fillId="0" borderId="13" xfId="0" applyNumberFormat="1" applyBorder="1"/>
    <xf numFmtId="0" fontId="0" fillId="0" borderId="11" xfId="0" applyBorder="1"/>
    <xf numFmtId="0" fontId="25" fillId="0" borderId="0" xfId="0" applyFont="1"/>
    <xf numFmtId="0" fontId="2" fillId="0" borderId="9" xfId="0" applyFont="1" applyBorder="1"/>
    <xf numFmtId="0" fontId="25" fillId="0" borderId="15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4" fillId="0" borderId="11" xfId="0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0" borderId="9" xfId="0" applyFont="1" applyBorder="1"/>
    <xf numFmtId="2" fontId="0" fillId="0" borderId="2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3" fontId="0" fillId="0" borderId="2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0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7" fontId="0" fillId="0" borderId="20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0" fontId="4" fillId="0" borderId="13" xfId="0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4" fillId="0" borderId="17" xfId="0" applyFont="1" applyBorder="1" applyAlignment="1">
      <alignment horizontal="center"/>
    </xf>
    <xf numFmtId="0" fontId="0" fillId="0" borderId="18" xfId="0" applyBorder="1"/>
    <xf numFmtId="37" fontId="0" fillId="0" borderId="15" xfId="0" applyNumberFormat="1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37" fontId="0" fillId="0" borderId="1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9" fillId="0" borderId="0" xfId="0" quotePrefix="1" applyFont="1" applyAlignment="1">
      <alignment horizontal="left"/>
    </xf>
    <xf numFmtId="37" fontId="0" fillId="0" borderId="0" xfId="0" applyNumberFormat="1"/>
    <xf numFmtId="181" fontId="0" fillId="0" borderId="0" xfId="0" applyNumberFormat="1"/>
    <xf numFmtId="37" fontId="10" fillId="0" borderId="0" xfId="0" applyNumberFormat="1" applyFont="1"/>
    <xf numFmtId="181" fontId="10" fillId="0" borderId="0" xfId="0" applyNumberFormat="1" applyFont="1"/>
    <xf numFmtId="170" fontId="1" fillId="0" borderId="0" xfId="1" applyNumberFormat="1"/>
    <xf numFmtId="170" fontId="0" fillId="0" borderId="0" xfId="0" applyNumberFormat="1"/>
    <xf numFmtId="182" fontId="0" fillId="0" borderId="0" xfId="0" applyNumberFormat="1"/>
    <xf numFmtId="10" fontId="11" fillId="2" borderId="15" xfId="3" applyNumberFormat="1" applyFont="1" applyFill="1" applyBorder="1"/>
    <xf numFmtId="176" fontId="0" fillId="0" borderId="0" xfId="0" applyNumberFormat="1"/>
    <xf numFmtId="0" fontId="10" fillId="2" borderId="6" xfId="0" applyFont="1" applyFill="1" applyBorder="1"/>
    <xf numFmtId="0" fontId="0" fillId="2" borderId="1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10" fillId="2" borderId="0" xfId="0" applyFont="1" applyFill="1" applyAlignment="1">
      <alignment horizontal="right"/>
    </xf>
    <xf numFmtId="0" fontId="10" fillId="2" borderId="9" xfId="0" applyFont="1" applyFill="1" applyBorder="1" applyAlignment="1">
      <alignment horizontal="right"/>
    </xf>
    <xf numFmtId="170" fontId="0" fillId="2" borderId="0" xfId="0" applyNumberFormat="1" applyFill="1"/>
    <xf numFmtId="170" fontId="0" fillId="2" borderId="9" xfId="0" applyNumberFormat="1" applyFill="1" applyBorder="1"/>
    <xf numFmtId="170" fontId="10" fillId="2" borderId="0" xfId="0" applyNumberFormat="1" applyFont="1" applyFill="1"/>
    <xf numFmtId="170" fontId="10" fillId="2" borderId="9" xfId="0" applyNumberFormat="1" applyFont="1" applyFill="1" applyBorder="1"/>
    <xf numFmtId="0" fontId="0" fillId="2" borderId="10" xfId="0" applyFill="1" applyBorder="1"/>
    <xf numFmtId="0" fontId="0" fillId="2" borderId="13" xfId="0" applyFill="1" applyBorder="1"/>
    <xf numFmtId="170" fontId="0" fillId="2" borderId="13" xfId="0" applyNumberFormat="1" applyFill="1" applyBorder="1"/>
    <xf numFmtId="170" fontId="0" fillId="2" borderId="11" xfId="0" applyNumberFormat="1" applyFill="1" applyBorder="1"/>
    <xf numFmtId="0" fontId="2" fillId="0" borderId="0" xfId="0" quotePrefix="1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quotePrefix="1" applyFont="1"/>
    <xf numFmtId="0" fontId="7" fillId="0" borderId="0" xfId="0" applyFont="1" applyAlignment="1">
      <alignment horizontal="center" wrapText="1"/>
    </xf>
    <xf numFmtId="0" fontId="7" fillId="0" borderId="0" xfId="0" quotePrefix="1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 wrapText="1"/>
    </xf>
    <xf numFmtId="17" fontId="7" fillId="0" borderId="0" xfId="0" quotePrefix="1" applyNumberFormat="1" applyFont="1" applyAlignment="1">
      <alignment horizontal="left"/>
    </xf>
    <xf numFmtId="3" fontId="10" fillId="0" borderId="0" xfId="0" applyNumberFormat="1" applyFont="1"/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8" fillId="0" borderId="0" xfId="0" applyFont="1"/>
    <xf numFmtId="0" fontId="13" fillId="0" borderId="0" xfId="0" applyFont="1"/>
    <xf numFmtId="0" fontId="14" fillId="0" borderId="0" xfId="0" applyFont="1"/>
    <xf numFmtId="17" fontId="10" fillId="0" borderId="0" xfId="0" applyNumberFormat="1" applyFont="1" applyAlignment="1">
      <alignment horizontal="left"/>
    </xf>
    <xf numFmtId="0" fontId="15" fillId="0" borderId="0" xfId="0" quotePrefix="1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9" fontId="14" fillId="0" borderId="0" xfId="0" applyNumberFormat="1" applyFont="1"/>
    <xf numFmtId="3" fontId="14" fillId="0" borderId="0" xfId="0" quotePrefix="1" applyNumberFormat="1" applyFont="1"/>
    <xf numFmtId="3" fontId="14" fillId="0" borderId="0" xfId="0" applyNumberFormat="1" applyFont="1"/>
    <xf numFmtId="4" fontId="14" fillId="0" borderId="0" xfId="0" applyNumberFormat="1" applyFont="1"/>
    <xf numFmtId="0" fontId="15" fillId="0" borderId="0" xfId="0" applyFont="1" applyAlignment="1">
      <alignment horizontal="left"/>
    </xf>
    <xf numFmtId="0" fontId="14" fillId="0" borderId="0" xfId="0" quotePrefix="1" applyFont="1"/>
    <xf numFmtId="44" fontId="14" fillId="0" borderId="0" xfId="0" applyNumberFormat="1" applyFont="1"/>
    <xf numFmtId="172" fontId="4" fillId="0" borderId="0" xfId="0" applyNumberFormat="1" applyFont="1"/>
    <xf numFmtId="17" fontId="10" fillId="0" borderId="0" xfId="0" quotePrefix="1" applyNumberFormat="1" applyFont="1" applyAlignment="1">
      <alignment horizontal="left"/>
    </xf>
    <xf numFmtId="0" fontId="9" fillId="0" borderId="5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7" fillId="0" borderId="6" xfId="0" applyFont="1" applyBorder="1"/>
    <xf numFmtId="0" fontId="17" fillId="0" borderId="8" xfId="0" applyFont="1" applyBorder="1"/>
    <xf numFmtId="0" fontId="17" fillId="0" borderId="10" xfId="0" applyFont="1" applyBorder="1"/>
    <xf numFmtId="0" fontId="4" fillId="0" borderId="14" xfId="0" applyFont="1" applyBorder="1" applyAlignment="1">
      <alignment horizontal="left"/>
    </xf>
    <xf numFmtId="44" fontId="8" fillId="0" borderId="0" xfId="0" quotePrefix="1" applyNumberFormat="1" applyFont="1"/>
    <xf numFmtId="166" fontId="4" fillId="0" borderId="0" xfId="0" applyNumberFormat="1" applyFont="1"/>
    <xf numFmtId="166" fontId="10" fillId="0" borderId="0" xfId="0" quotePrefix="1" applyNumberFormat="1" applyFont="1" applyAlignment="1">
      <alignment horizontal="left"/>
    </xf>
    <xf numFmtId="39" fontId="0" fillId="0" borderId="0" xfId="0" quotePrefix="1" applyNumberFormat="1"/>
    <xf numFmtId="0" fontId="0" fillId="0" borderId="0" xfId="0" applyAlignment="1">
      <alignment wrapText="1"/>
    </xf>
    <xf numFmtId="10" fontId="0" fillId="0" borderId="0" xfId="3" quotePrefix="1" applyNumberFormat="1" applyFont="1" applyFill="1"/>
    <xf numFmtId="164" fontId="0" fillId="0" borderId="0" xfId="3" quotePrefix="1" applyNumberFormat="1" applyFont="1" applyFill="1"/>
    <xf numFmtId="9" fontId="0" fillId="0" borderId="0" xfId="3" quotePrefix="1" applyFont="1" applyFill="1"/>
    <xf numFmtId="10" fontId="0" fillId="0" borderId="0" xfId="0" applyNumberFormat="1"/>
    <xf numFmtId="10" fontId="0" fillId="0" borderId="0" xfId="3" applyNumberFormat="1" applyFont="1" applyFill="1"/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3" fontId="0" fillId="0" borderId="0" xfId="0" applyNumberFormat="1"/>
    <xf numFmtId="3" fontId="0" fillId="0" borderId="0" xfId="0" quotePrefix="1" applyNumberFormat="1"/>
    <xf numFmtId="17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3" fontId="0" fillId="0" borderId="4" xfId="0" applyNumberFormat="1" applyBorder="1"/>
    <xf numFmtId="4" fontId="0" fillId="0" borderId="0" xfId="0" applyNumberFormat="1"/>
    <xf numFmtId="3" fontId="0" fillId="0" borderId="0" xfId="0" quotePrefix="1" applyNumberFormat="1" applyAlignment="1">
      <alignment horizontal="right"/>
    </xf>
    <xf numFmtId="165" fontId="0" fillId="0" borderId="0" xfId="0" applyNumberFormat="1"/>
    <xf numFmtId="3" fontId="0" fillId="0" borderId="0" xfId="0" applyNumberFormat="1" applyAlignment="1">
      <alignment horizontal="right"/>
    </xf>
    <xf numFmtId="44" fontId="0" fillId="0" borderId="0" xfId="2" quotePrefix="1" applyFont="1" applyFill="1"/>
    <xf numFmtId="166" fontId="0" fillId="0" borderId="0" xfId="2" applyNumberFormat="1" applyFont="1" applyFill="1" applyBorder="1"/>
    <xf numFmtId="44" fontId="0" fillId="0" borderId="0" xfId="2" applyFont="1" applyFill="1"/>
    <xf numFmtId="14" fontId="0" fillId="0" borderId="0" xfId="0" applyNumberFormat="1"/>
    <xf numFmtId="167" fontId="0" fillId="0" borderId="0" xfId="0" applyNumberFormat="1"/>
    <xf numFmtId="168" fontId="0" fillId="0" borderId="0" xfId="0" applyNumberFormat="1"/>
    <xf numFmtId="168" fontId="4" fillId="0" borderId="0" xfId="0" applyNumberFormat="1" applyFont="1"/>
    <xf numFmtId="169" fontId="0" fillId="0" borderId="0" xfId="0" applyNumberFormat="1"/>
    <xf numFmtId="168" fontId="0" fillId="0" borderId="0" xfId="0" applyNumberFormat="1" applyAlignment="1">
      <alignment horizontal="right"/>
    </xf>
    <xf numFmtId="43" fontId="0" fillId="0" borderId="0" xfId="1" applyFont="1" applyFill="1"/>
    <xf numFmtId="43" fontId="0" fillId="0" borderId="0" xfId="0" applyNumberFormat="1"/>
    <xf numFmtId="7" fontId="0" fillId="0" borderId="0" xfId="2" applyNumberFormat="1" applyFont="1" applyFill="1"/>
    <xf numFmtId="0" fontId="0" fillId="0" borderId="0" xfId="0" applyAlignment="1">
      <alignment horizontal="centerContinuous"/>
    </xf>
    <xf numFmtId="7" fontId="0" fillId="0" borderId="0" xfId="0" applyNumberFormat="1"/>
    <xf numFmtId="5" fontId="0" fillId="0" borderId="0" xfId="0" applyNumberFormat="1"/>
    <xf numFmtId="44" fontId="0" fillId="0" borderId="0" xfId="2" quotePrefix="1" applyFont="1" applyFill="1" applyAlignment="1">
      <alignment horizontal="left"/>
    </xf>
    <xf numFmtId="172" fontId="0" fillId="0" borderId="0" xfId="2" quotePrefix="1" applyNumberFormat="1" applyFont="1" applyFill="1"/>
    <xf numFmtId="172" fontId="0" fillId="0" borderId="0" xfId="0" applyNumberFormat="1"/>
    <xf numFmtId="166" fontId="0" fillId="0" borderId="0" xfId="2" quotePrefix="1" applyNumberFormat="1" applyFont="1" applyFill="1" applyAlignment="1">
      <alignment horizontal="left"/>
    </xf>
    <xf numFmtId="173" fontId="0" fillId="0" borderId="0" xfId="0" applyNumberFormat="1"/>
    <xf numFmtId="43" fontId="0" fillId="0" borderId="0" xfId="1" quotePrefix="1" applyFont="1" applyFill="1" applyBorder="1"/>
    <xf numFmtId="43" fontId="0" fillId="0" borderId="0" xfId="1" quotePrefix="1" applyFont="1" applyFill="1"/>
    <xf numFmtId="174" fontId="0" fillId="0" borderId="0" xfId="1" quotePrefix="1" applyNumberFormat="1" applyFont="1" applyFill="1" applyBorder="1"/>
    <xf numFmtId="174" fontId="0" fillId="0" borderId="0" xfId="1" quotePrefix="1" applyNumberFormat="1" applyFont="1" applyFill="1"/>
    <xf numFmtId="17" fontId="0" fillId="0" borderId="0" xfId="0" quotePrefix="1" applyNumberFormat="1" applyAlignment="1">
      <alignment horizontal="right"/>
    </xf>
    <xf numFmtId="166" fontId="0" fillId="0" borderId="0" xfId="3" applyNumberFormat="1" applyFont="1" applyFill="1"/>
    <xf numFmtId="0" fontId="0" fillId="0" borderId="5" xfId="0" applyBorder="1" applyAlignment="1">
      <alignment horizontal="right"/>
    </xf>
    <xf numFmtId="4" fontId="0" fillId="0" borderId="5" xfId="0" applyNumberFormat="1" applyBorder="1"/>
    <xf numFmtId="9" fontId="0" fillId="0" borderId="0" xfId="1" applyNumberFormat="1" applyFont="1" applyFill="1"/>
    <xf numFmtId="164" fontId="0" fillId="0" borderId="0" xfId="0" applyNumberFormat="1"/>
    <xf numFmtId="7" fontId="0" fillId="0" borderId="0" xfId="0" applyNumberFormat="1" applyAlignment="1">
      <alignment horizontal="right"/>
    </xf>
    <xf numFmtId="43" fontId="0" fillId="0" borderId="0" xfId="2" applyNumberFormat="1" applyFont="1" applyFill="1"/>
    <xf numFmtId="7" fontId="0" fillId="0" borderId="0" xfId="3" applyNumberFormat="1" applyFont="1" applyFill="1"/>
    <xf numFmtId="2" fontId="0" fillId="0" borderId="12" xfId="0" applyNumberFormat="1" applyBorder="1"/>
    <xf numFmtId="170" fontId="0" fillId="0" borderId="0" xfId="1" applyNumberFormat="1" applyFont="1" applyFill="1"/>
    <xf numFmtId="2" fontId="0" fillId="0" borderId="13" xfId="0" applyNumberFormat="1" applyBorder="1"/>
    <xf numFmtId="0" fontId="0" fillId="0" borderId="14" xfId="0" applyBorder="1"/>
    <xf numFmtId="178" fontId="0" fillId="0" borderId="0" xfId="0" applyNumberFormat="1"/>
    <xf numFmtId="180" fontId="0" fillId="0" borderId="0" xfId="1" quotePrefix="1" applyNumberFormat="1" applyFont="1" applyFill="1"/>
    <xf numFmtId="175" fontId="0" fillId="0" borderId="0" xfId="1" quotePrefix="1" applyNumberFormat="1" applyFont="1" applyFill="1"/>
    <xf numFmtId="0" fontId="13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7186-2C62-4022-B170-D9C7F6E71C22}">
  <sheetPr codeName="Sheet3">
    <tabColor rgb="FF7030A0"/>
  </sheetPr>
  <dimension ref="A1:AA610"/>
  <sheetViews>
    <sheetView tabSelected="1" workbookViewId="0"/>
  </sheetViews>
  <sheetFormatPr defaultColWidth="9.1328125" defaultRowHeight="13" x14ac:dyDescent="0.6"/>
  <cols>
    <col min="1" max="1" width="10.7265625" style="94" customWidth="1"/>
    <col min="2" max="2" width="27.86328125" customWidth="1"/>
    <col min="3" max="3" width="16.40625" customWidth="1"/>
    <col min="4" max="4" width="16.1328125" customWidth="1"/>
    <col min="5" max="5" width="12.7265625" customWidth="1"/>
    <col min="6" max="7" width="13.40625" customWidth="1"/>
    <col min="8" max="8" width="12.7265625" customWidth="1"/>
    <col min="9" max="9" width="14.86328125" customWidth="1"/>
    <col min="10" max="10" width="12.7265625" customWidth="1"/>
    <col min="11" max="11" width="17.26953125" customWidth="1"/>
    <col min="12" max="12" width="15.26953125" bestFit="1" customWidth="1"/>
    <col min="13" max="13" width="13.40625" customWidth="1"/>
    <col min="14" max="14" width="12" customWidth="1"/>
    <col min="15" max="15" width="11.1328125" customWidth="1"/>
    <col min="16" max="16" width="12.26953125" customWidth="1"/>
    <col min="17" max="17" width="13" customWidth="1"/>
    <col min="18" max="18" width="10" bestFit="1" customWidth="1"/>
    <col min="19" max="19" width="10.7265625" customWidth="1"/>
    <col min="20" max="22" width="11.7265625" customWidth="1"/>
    <col min="24" max="24" width="11.1328125" bestFit="1" customWidth="1"/>
    <col min="26" max="26" width="13.26953125" bestFit="1" customWidth="1"/>
    <col min="27" max="27" width="15.26953125" customWidth="1"/>
    <col min="28" max="28" width="13.54296875" customWidth="1"/>
  </cols>
  <sheetData>
    <row r="1" spans="1:26" ht="15.5" x14ac:dyDescent="0.7">
      <c r="B1" s="207" t="str">
        <f>"Development of BGS Cost and Bid Factors for Rates Effective June 1, " &amp;M1</f>
        <v>Development of BGS Cost and Bid Factors for Rates Effective June 1, 2025</v>
      </c>
      <c r="G1" s="208"/>
      <c r="M1" s="3">
        <v>2025</v>
      </c>
      <c r="N1" t="s">
        <v>0</v>
      </c>
    </row>
    <row r="2" spans="1:26" ht="15.25" x14ac:dyDescent="0.65">
      <c r="A2" s="209"/>
      <c r="I2" s="210"/>
    </row>
    <row r="3" spans="1:26" x14ac:dyDescent="0.6">
      <c r="D3" s="211" t="str">
        <f>"Based on " &amp;M1-1  &amp;" Load Profile Information"</f>
        <v>Based on 2024 Load Profile Information</v>
      </c>
    </row>
    <row r="4" spans="1:26" x14ac:dyDescent="0.6">
      <c r="A4" s="212" t="s">
        <v>1</v>
      </c>
      <c r="B4" s="213" t="s">
        <v>2</v>
      </c>
      <c r="C4" s="251"/>
      <c r="D4" s="4" t="s">
        <v>3</v>
      </c>
      <c r="K4" s="213"/>
      <c r="L4" s="5" t="str">
        <f>"'% usage during Off-Peak period (from "&amp;M1-1&amp;" profiles)"</f>
        <v>'% usage during Off-Peak period (from 2024 profiles)</v>
      </c>
    </row>
    <row r="5" spans="1:26" ht="26" x14ac:dyDescent="0.6">
      <c r="A5" s="6"/>
      <c r="C5" s="214" t="s">
        <v>4</v>
      </c>
      <c r="D5" s="214" t="s">
        <v>4</v>
      </c>
      <c r="E5" s="214" t="s">
        <v>4</v>
      </c>
      <c r="F5" s="4" t="s">
        <v>5</v>
      </c>
      <c r="G5" s="252"/>
      <c r="H5" s="214" t="s">
        <v>4</v>
      </c>
      <c r="I5" s="214"/>
      <c r="J5" s="214"/>
      <c r="K5" s="4"/>
      <c r="L5" s="214" t="s">
        <v>4</v>
      </c>
      <c r="M5" s="214" t="s">
        <v>4</v>
      </c>
      <c r="N5" s="214" t="s">
        <v>4</v>
      </c>
      <c r="O5" s="4" t="s">
        <v>6</v>
      </c>
      <c r="P5" s="252"/>
      <c r="Q5" s="214" t="s">
        <v>4</v>
      </c>
      <c r="R5" s="214"/>
    </row>
    <row r="6" spans="1:26" x14ac:dyDescent="0.6">
      <c r="A6" s="6"/>
      <c r="B6" s="215"/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8"/>
      <c r="J6" s="8"/>
      <c r="K6" s="216"/>
      <c r="L6" s="8" t="str">
        <f t="shared" ref="L6:Q6" si="0">+C6</f>
        <v>SC1</v>
      </c>
      <c r="M6" s="8" t="str">
        <f t="shared" si="0"/>
        <v>SC3</v>
      </c>
      <c r="N6" s="8" t="str">
        <f t="shared" si="0"/>
        <v>SC2 ND</v>
      </c>
      <c r="O6" s="8" t="str">
        <f t="shared" si="0"/>
        <v>SC4</v>
      </c>
      <c r="P6" s="8" t="str">
        <f t="shared" si="0"/>
        <v>SC6</v>
      </c>
      <c r="Q6" s="8" t="str">
        <f t="shared" si="0"/>
        <v>SC2 Dem</v>
      </c>
      <c r="R6" s="8"/>
    </row>
    <row r="7" spans="1:26" x14ac:dyDescent="0.6">
      <c r="A7" s="6"/>
    </row>
    <row r="8" spans="1:26" x14ac:dyDescent="0.6">
      <c r="A8" s="6"/>
      <c r="B8" s="87" t="s">
        <v>13</v>
      </c>
      <c r="C8" s="253">
        <v>0.49411064307180946</v>
      </c>
      <c r="D8" s="253">
        <v>0.48892687994220629</v>
      </c>
      <c r="E8" s="253">
        <v>0.47777862048124797</v>
      </c>
      <c r="F8" s="253">
        <v>0.30414746543778787</v>
      </c>
      <c r="G8" s="253">
        <f>F8</f>
        <v>0.30414746543778787</v>
      </c>
      <c r="H8" s="253">
        <v>0.53768014658631935</v>
      </c>
      <c r="I8" s="254"/>
      <c r="J8" s="254"/>
      <c r="K8" s="255"/>
      <c r="L8" s="254">
        <f t="shared" ref="L8:Q19" si="1">1-C8</f>
        <v>0.50588935692819059</v>
      </c>
      <c r="M8" s="254">
        <f t="shared" si="1"/>
        <v>0.51107312005779371</v>
      </c>
      <c r="N8" s="254">
        <f t="shared" si="1"/>
        <v>0.52222137951875203</v>
      </c>
      <c r="O8" s="254">
        <f t="shared" si="1"/>
        <v>0.69585253456221219</v>
      </c>
      <c r="P8" s="254">
        <f t="shared" si="1"/>
        <v>0.69585253456221219</v>
      </c>
      <c r="Q8" s="254">
        <f t="shared" si="1"/>
        <v>0.46231985341368065</v>
      </c>
      <c r="R8" s="255"/>
      <c r="S8" s="256"/>
      <c r="T8" s="256"/>
      <c r="U8" s="256"/>
      <c r="V8" s="256"/>
      <c r="W8" s="256"/>
      <c r="X8" s="256"/>
      <c r="Y8" s="256"/>
      <c r="Z8" s="256"/>
    </row>
    <row r="9" spans="1:26" x14ac:dyDescent="0.6">
      <c r="A9" s="6"/>
      <c r="B9" s="87" t="s">
        <v>14</v>
      </c>
      <c r="C9" s="253">
        <v>0.50121852554289825</v>
      </c>
      <c r="D9" s="253">
        <v>0.46557141102986566</v>
      </c>
      <c r="E9" s="253">
        <v>0.47535769663080951</v>
      </c>
      <c r="F9" s="253">
        <v>0.31034482758620696</v>
      </c>
      <c r="G9" s="253">
        <f t="shared" ref="G9:G19" si="2">F9</f>
        <v>0.31034482758620696</v>
      </c>
      <c r="H9" s="253">
        <v>0.53871559928866264</v>
      </c>
      <c r="I9" s="254"/>
      <c r="J9" s="254"/>
      <c r="K9" s="255"/>
      <c r="L9" s="254">
        <f t="shared" si="1"/>
        <v>0.49878147445710175</v>
      </c>
      <c r="M9" s="254">
        <f t="shared" si="1"/>
        <v>0.53442858897013434</v>
      </c>
      <c r="N9" s="254">
        <f t="shared" si="1"/>
        <v>0.52464230336919049</v>
      </c>
      <c r="O9" s="254">
        <f t="shared" si="1"/>
        <v>0.68965517241379304</v>
      </c>
      <c r="P9" s="254">
        <f t="shared" si="1"/>
        <v>0.68965517241379304</v>
      </c>
      <c r="Q9" s="254">
        <f t="shared" si="1"/>
        <v>0.46128440071133736</v>
      </c>
      <c r="R9" s="255"/>
      <c r="S9" s="256"/>
      <c r="T9" s="256"/>
      <c r="U9" s="256"/>
      <c r="V9" s="256"/>
      <c r="W9" s="256"/>
      <c r="X9" s="256"/>
      <c r="Y9" s="256"/>
      <c r="Z9" s="256"/>
    </row>
    <row r="10" spans="1:26" x14ac:dyDescent="0.6">
      <c r="A10" s="6"/>
      <c r="B10" s="87" t="s">
        <v>15</v>
      </c>
      <c r="C10" s="253">
        <v>0.46669248100398569</v>
      </c>
      <c r="D10" s="253">
        <v>0.45657299134489476</v>
      </c>
      <c r="E10" s="253">
        <v>0.43919719350689712</v>
      </c>
      <c r="F10" s="253">
        <v>0.27937263168925885</v>
      </c>
      <c r="G10" s="253">
        <f t="shared" si="2"/>
        <v>0.27937263168925885</v>
      </c>
      <c r="H10" s="253">
        <v>0.51353040384887538</v>
      </c>
      <c r="I10" s="254"/>
      <c r="J10" s="254"/>
      <c r="K10" s="255"/>
      <c r="L10" s="254">
        <f t="shared" si="1"/>
        <v>0.53330751899601436</v>
      </c>
      <c r="M10" s="254">
        <f t="shared" si="1"/>
        <v>0.54342700865510518</v>
      </c>
      <c r="N10" s="254">
        <f t="shared" si="1"/>
        <v>0.56080280649310288</v>
      </c>
      <c r="O10" s="254">
        <f t="shared" si="1"/>
        <v>0.72062736831074115</v>
      </c>
      <c r="P10" s="254">
        <f t="shared" si="1"/>
        <v>0.72062736831074115</v>
      </c>
      <c r="Q10" s="254">
        <f t="shared" si="1"/>
        <v>0.48646959615112462</v>
      </c>
      <c r="R10" s="255"/>
      <c r="S10" s="256"/>
      <c r="T10" s="256"/>
      <c r="U10" s="256"/>
      <c r="V10" s="256"/>
      <c r="W10" s="256"/>
      <c r="X10" s="256"/>
      <c r="Y10" s="256"/>
      <c r="Z10" s="256"/>
    </row>
    <row r="11" spans="1:26" x14ac:dyDescent="0.6">
      <c r="A11" s="6"/>
      <c r="B11" s="87" t="s">
        <v>16</v>
      </c>
      <c r="C11" s="253">
        <v>0.51944894215849868</v>
      </c>
      <c r="D11" s="253">
        <v>0.50297600993199187</v>
      </c>
      <c r="E11" s="253">
        <v>0.46100147410938797</v>
      </c>
      <c r="F11" s="253">
        <v>0.29477125304574942</v>
      </c>
      <c r="G11" s="253">
        <f t="shared" si="2"/>
        <v>0.29477125304574942</v>
      </c>
      <c r="H11" s="253">
        <v>0.56059963999090667</v>
      </c>
      <c r="I11" s="254"/>
      <c r="J11" s="254"/>
      <c r="K11" s="255"/>
      <c r="L11" s="254">
        <f t="shared" si="1"/>
        <v>0.48055105784150132</v>
      </c>
      <c r="M11" s="254">
        <f t="shared" si="1"/>
        <v>0.49702399006800813</v>
      </c>
      <c r="N11" s="254">
        <f t="shared" si="1"/>
        <v>0.53899852589061203</v>
      </c>
      <c r="O11" s="254">
        <f t="shared" si="1"/>
        <v>0.70522874695425064</v>
      </c>
      <c r="P11" s="254">
        <f t="shared" si="1"/>
        <v>0.70522874695425064</v>
      </c>
      <c r="Q11" s="254">
        <f t="shared" si="1"/>
        <v>0.43940036000909333</v>
      </c>
      <c r="R11" s="255"/>
      <c r="S11" s="256"/>
      <c r="T11" s="256"/>
      <c r="U11" s="256"/>
      <c r="V11" s="256"/>
      <c r="W11" s="256"/>
      <c r="X11" s="256"/>
      <c r="Y11" s="256"/>
      <c r="Z11" s="256"/>
    </row>
    <row r="12" spans="1:26" x14ac:dyDescent="0.6">
      <c r="A12" s="6"/>
      <c r="B12" s="87" t="s">
        <v>17</v>
      </c>
      <c r="C12" s="253">
        <v>0.50707519445227089</v>
      </c>
      <c r="D12" s="253">
        <v>0.51059839453724964</v>
      </c>
      <c r="E12" s="253">
        <v>0.45544119470356648</v>
      </c>
      <c r="F12" s="253">
        <v>0.23124977394236593</v>
      </c>
      <c r="G12" s="253">
        <f t="shared" si="2"/>
        <v>0.23124977394236593</v>
      </c>
      <c r="H12" s="253">
        <v>0.55122643062986298</v>
      </c>
      <c r="I12" s="254"/>
      <c r="J12" s="254"/>
      <c r="K12" s="255"/>
      <c r="L12" s="254">
        <f t="shared" si="1"/>
        <v>0.49292480554772911</v>
      </c>
      <c r="M12" s="254">
        <f t="shared" si="1"/>
        <v>0.48940160546275036</v>
      </c>
      <c r="N12" s="254">
        <f t="shared" si="1"/>
        <v>0.54455880529643352</v>
      </c>
      <c r="O12" s="254">
        <f t="shared" si="1"/>
        <v>0.7687502260576341</v>
      </c>
      <c r="P12" s="254">
        <f t="shared" si="1"/>
        <v>0.7687502260576341</v>
      </c>
      <c r="Q12" s="254">
        <f t="shared" si="1"/>
        <v>0.44877356937013702</v>
      </c>
      <c r="R12" s="255"/>
      <c r="S12" s="256"/>
      <c r="T12" s="256"/>
      <c r="U12" s="256"/>
      <c r="V12" s="256"/>
      <c r="W12" s="256"/>
      <c r="X12" s="256"/>
      <c r="Y12" s="256"/>
      <c r="Z12" s="256"/>
    </row>
    <row r="13" spans="1:26" x14ac:dyDescent="0.6">
      <c r="A13" s="6"/>
      <c r="B13" s="87" t="s">
        <v>18</v>
      </c>
      <c r="C13" s="253">
        <v>0.50300006398827735</v>
      </c>
      <c r="D13" s="253">
        <v>0.49148308237665017</v>
      </c>
      <c r="E13" s="253">
        <v>0.43491383385832999</v>
      </c>
      <c r="F13" s="253">
        <v>0.19640558712399342</v>
      </c>
      <c r="G13" s="253">
        <f t="shared" si="2"/>
        <v>0.19640558712399342</v>
      </c>
      <c r="H13" s="253">
        <v>0.53071784449001536</v>
      </c>
      <c r="I13" s="254"/>
      <c r="J13" s="254"/>
      <c r="K13" s="255"/>
      <c r="L13" s="254">
        <f t="shared" si="1"/>
        <v>0.49699993601172265</v>
      </c>
      <c r="M13" s="254">
        <f t="shared" si="1"/>
        <v>0.50851691762334983</v>
      </c>
      <c r="N13" s="254">
        <f t="shared" si="1"/>
        <v>0.56508616614166995</v>
      </c>
      <c r="O13" s="254">
        <f t="shared" si="1"/>
        <v>0.80359441287600664</v>
      </c>
      <c r="P13" s="254">
        <f t="shared" si="1"/>
        <v>0.80359441287600664</v>
      </c>
      <c r="Q13" s="254">
        <f t="shared" si="1"/>
        <v>0.46928215550998464</v>
      </c>
      <c r="R13" s="255"/>
      <c r="S13" s="256"/>
      <c r="T13" s="256"/>
      <c r="U13" s="256"/>
      <c r="V13" s="256"/>
      <c r="W13" s="256"/>
      <c r="X13" s="256"/>
      <c r="Y13" s="256"/>
      <c r="Z13" s="256"/>
    </row>
    <row r="14" spans="1:26" x14ac:dyDescent="0.6">
      <c r="A14" s="6"/>
      <c r="B14" s="87" t="s">
        <v>19</v>
      </c>
      <c r="C14" s="253">
        <v>0.54686041138775976</v>
      </c>
      <c r="D14" s="253">
        <v>0.529775320324256</v>
      </c>
      <c r="E14" s="253">
        <v>0.46751769724149028</v>
      </c>
      <c r="F14" s="253">
        <v>0.20630156490547674</v>
      </c>
      <c r="G14" s="253">
        <f t="shared" si="2"/>
        <v>0.20630156490547674</v>
      </c>
      <c r="H14" s="253">
        <v>0.55080504454863011</v>
      </c>
      <c r="I14" s="254"/>
      <c r="J14" s="254"/>
      <c r="K14" s="255"/>
      <c r="L14" s="254">
        <f t="shared" si="1"/>
        <v>0.45313958861224024</v>
      </c>
      <c r="M14" s="254">
        <f t="shared" si="1"/>
        <v>0.470224679675744</v>
      </c>
      <c r="N14" s="254">
        <f t="shared" si="1"/>
        <v>0.53248230275850972</v>
      </c>
      <c r="O14" s="254">
        <f t="shared" si="1"/>
        <v>0.79369843509452331</v>
      </c>
      <c r="P14" s="254">
        <f t="shared" si="1"/>
        <v>0.79369843509452331</v>
      </c>
      <c r="Q14" s="254">
        <f t="shared" si="1"/>
        <v>0.44919495545136989</v>
      </c>
      <c r="R14" s="255"/>
      <c r="S14" s="256"/>
      <c r="T14" s="256"/>
      <c r="U14" s="256"/>
      <c r="V14" s="256"/>
      <c r="W14" s="256"/>
      <c r="X14" s="256"/>
      <c r="Y14" s="256"/>
      <c r="Z14" s="256"/>
    </row>
    <row r="15" spans="1:26" x14ac:dyDescent="0.6">
      <c r="A15" s="6"/>
      <c r="B15" s="87" t="s">
        <v>20</v>
      </c>
      <c r="C15" s="253">
        <v>0.51837271003232988</v>
      </c>
      <c r="D15" s="253">
        <v>0.51906886004122932</v>
      </c>
      <c r="E15" s="253">
        <v>0.46511899426942876</v>
      </c>
      <c r="F15" s="253">
        <v>0.21366833365278784</v>
      </c>
      <c r="G15" s="253">
        <f t="shared" si="2"/>
        <v>0.21366833365278784</v>
      </c>
      <c r="H15" s="253">
        <v>0.55412774774597018</v>
      </c>
      <c r="I15" s="254"/>
      <c r="J15" s="254"/>
      <c r="K15" s="255"/>
      <c r="L15" s="254">
        <f t="shared" si="1"/>
        <v>0.48162728996767012</v>
      </c>
      <c r="M15" s="254">
        <f t="shared" si="1"/>
        <v>0.48093113995877068</v>
      </c>
      <c r="N15" s="254">
        <f t="shared" si="1"/>
        <v>0.53488100573057129</v>
      </c>
      <c r="O15" s="254">
        <f t="shared" si="1"/>
        <v>0.78633166634721219</v>
      </c>
      <c r="P15" s="254">
        <f t="shared" si="1"/>
        <v>0.78633166634721219</v>
      </c>
      <c r="Q15" s="254">
        <f t="shared" si="1"/>
        <v>0.44587225225402982</v>
      </c>
      <c r="R15" s="255"/>
      <c r="S15" s="256"/>
      <c r="T15" s="256"/>
      <c r="U15" s="256"/>
      <c r="V15" s="256"/>
      <c r="W15" s="256"/>
      <c r="X15" s="256"/>
      <c r="Y15" s="256"/>
      <c r="Z15" s="256"/>
    </row>
    <row r="16" spans="1:26" x14ac:dyDescent="0.6">
      <c r="A16" s="6"/>
      <c r="B16" s="87" t="s">
        <v>21</v>
      </c>
      <c r="C16" s="253">
        <v>0.49881549573624395</v>
      </c>
      <c r="D16" s="253">
        <v>0.49326886675871057</v>
      </c>
      <c r="E16" s="253">
        <v>0.44034177242974187</v>
      </c>
      <c r="F16" s="253">
        <v>0.26819923072796914</v>
      </c>
      <c r="G16" s="253">
        <f t="shared" si="2"/>
        <v>0.26819923072796914</v>
      </c>
      <c r="H16" s="253">
        <v>0.53035544670354751</v>
      </c>
      <c r="I16" s="254"/>
      <c r="J16" s="254"/>
      <c r="K16" s="255"/>
      <c r="L16" s="254">
        <f t="shared" si="1"/>
        <v>0.50118450426375605</v>
      </c>
      <c r="M16" s="254">
        <f t="shared" si="1"/>
        <v>0.50673113324128938</v>
      </c>
      <c r="N16" s="254">
        <f t="shared" si="1"/>
        <v>0.55965822757025818</v>
      </c>
      <c r="O16" s="254">
        <f t="shared" si="1"/>
        <v>0.73180076927203086</v>
      </c>
      <c r="P16" s="254">
        <f t="shared" si="1"/>
        <v>0.73180076927203086</v>
      </c>
      <c r="Q16" s="254">
        <f t="shared" si="1"/>
        <v>0.46964455329645249</v>
      </c>
      <c r="R16" s="255"/>
      <c r="S16" s="256"/>
      <c r="T16" s="256"/>
      <c r="U16" s="256"/>
      <c r="V16" s="256"/>
      <c r="W16" s="256"/>
      <c r="X16" s="256"/>
      <c r="Y16" s="256"/>
      <c r="Z16" s="256"/>
    </row>
    <row r="17" spans="1:26" x14ac:dyDescent="0.6">
      <c r="A17" s="6"/>
      <c r="B17" s="87" t="s">
        <v>22</v>
      </c>
      <c r="C17" s="253">
        <v>0.53355786828851481</v>
      </c>
      <c r="D17" s="253">
        <v>0.51714572550733617</v>
      </c>
      <c r="E17" s="253">
        <v>0.48582701457158312</v>
      </c>
      <c r="F17" s="257">
        <v>0.30515519909656669</v>
      </c>
      <c r="G17" s="253">
        <f t="shared" si="2"/>
        <v>0.30515519909656669</v>
      </c>
      <c r="H17" s="253">
        <v>0.56497748491327326</v>
      </c>
      <c r="I17" s="254"/>
      <c r="J17" s="254"/>
      <c r="K17" s="255"/>
      <c r="L17" s="254">
        <f t="shared" si="1"/>
        <v>0.46644213171148519</v>
      </c>
      <c r="M17" s="254">
        <f t="shared" si="1"/>
        <v>0.48285427449266383</v>
      </c>
      <c r="N17" s="254">
        <f t="shared" si="1"/>
        <v>0.51417298542841694</v>
      </c>
      <c r="O17" s="254">
        <f t="shared" si="1"/>
        <v>0.69484480090343337</v>
      </c>
      <c r="P17" s="254">
        <f t="shared" si="1"/>
        <v>0.69484480090343337</v>
      </c>
      <c r="Q17" s="254">
        <f t="shared" si="1"/>
        <v>0.43502251508672674</v>
      </c>
      <c r="R17" s="255"/>
      <c r="S17" s="256"/>
      <c r="T17" s="256"/>
      <c r="U17" s="256"/>
      <c r="V17" s="256"/>
      <c r="W17" s="256"/>
      <c r="X17" s="256"/>
      <c r="Y17" s="256"/>
      <c r="Z17" s="256"/>
    </row>
    <row r="18" spans="1:26" x14ac:dyDescent="0.6">
      <c r="A18" s="6"/>
      <c r="B18" s="87" t="s">
        <v>23</v>
      </c>
      <c r="C18" s="253">
        <v>0.46515896142464297</v>
      </c>
      <c r="D18" s="253">
        <v>0.46310615940748528</v>
      </c>
      <c r="E18" s="253">
        <v>0.44437432976135033</v>
      </c>
      <c r="F18" s="253">
        <v>0.2839506202469132</v>
      </c>
      <c r="G18" s="253">
        <f t="shared" si="2"/>
        <v>0.2839506202469132</v>
      </c>
      <c r="H18" s="253">
        <v>0.51143420382454718</v>
      </c>
      <c r="I18" s="254"/>
      <c r="J18" s="254"/>
      <c r="K18" s="255"/>
      <c r="L18" s="254">
        <f t="shared" si="1"/>
        <v>0.53484103857535703</v>
      </c>
      <c r="M18" s="254">
        <f t="shared" si="1"/>
        <v>0.53689384059251477</v>
      </c>
      <c r="N18" s="254">
        <f t="shared" si="1"/>
        <v>0.55562567023864973</v>
      </c>
      <c r="O18" s="254">
        <f t="shared" si="1"/>
        <v>0.7160493797530868</v>
      </c>
      <c r="P18" s="254">
        <f t="shared" si="1"/>
        <v>0.7160493797530868</v>
      </c>
      <c r="Q18" s="254">
        <f t="shared" si="1"/>
        <v>0.48856579617545282</v>
      </c>
      <c r="R18" s="255"/>
      <c r="S18" s="256"/>
      <c r="T18" s="256"/>
      <c r="U18" s="256"/>
      <c r="V18" s="256"/>
      <c r="W18" s="256"/>
      <c r="X18" s="256"/>
      <c r="Y18" s="256"/>
      <c r="Z18" s="256"/>
    </row>
    <row r="19" spans="1:26" x14ac:dyDescent="0.6">
      <c r="A19" s="6"/>
      <c r="B19" s="87" t="s">
        <v>24</v>
      </c>
      <c r="C19" s="253">
        <v>0.40452536612848777</v>
      </c>
      <c r="D19" s="253">
        <v>0.447997798178697</v>
      </c>
      <c r="E19" s="253">
        <v>0.45900367082465821</v>
      </c>
      <c r="F19" s="253">
        <v>0.29032258064516114</v>
      </c>
      <c r="G19" s="253">
        <f t="shared" si="2"/>
        <v>0.29032258064516114</v>
      </c>
      <c r="H19" s="253">
        <v>0.51294999899372784</v>
      </c>
      <c r="I19" s="254"/>
      <c r="J19" s="254"/>
      <c r="K19" s="255"/>
      <c r="L19" s="254">
        <f t="shared" si="1"/>
        <v>0.59547463387151223</v>
      </c>
      <c r="M19" s="254">
        <f t="shared" si="1"/>
        <v>0.552002201821303</v>
      </c>
      <c r="N19" s="254">
        <f t="shared" si="1"/>
        <v>0.54099632917534179</v>
      </c>
      <c r="O19" s="254">
        <f t="shared" si="1"/>
        <v>0.70967741935483886</v>
      </c>
      <c r="P19" s="254">
        <f t="shared" si="1"/>
        <v>0.70967741935483886</v>
      </c>
      <c r="Q19" s="254">
        <f t="shared" si="1"/>
        <v>0.48705000100627216</v>
      </c>
      <c r="R19" s="255"/>
      <c r="S19" s="256"/>
      <c r="T19" s="256"/>
      <c r="U19" s="256"/>
      <c r="V19" s="256"/>
      <c r="W19" s="256"/>
      <c r="X19" s="256"/>
      <c r="Y19" s="256"/>
      <c r="Z19" s="256"/>
    </row>
    <row r="20" spans="1:26" x14ac:dyDescent="0.6">
      <c r="A20" s="6"/>
      <c r="B20" s="87"/>
      <c r="C20" s="255"/>
      <c r="D20" s="255"/>
      <c r="E20" s="255"/>
      <c r="F20" s="258"/>
      <c r="G20" s="258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</row>
    <row r="21" spans="1:26" x14ac:dyDescent="0.6">
      <c r="A21" s="6"/>
      <c r="B21" s="87"/>
      <c r="C21" s="255"/>
      <c r="D21" s="255"/>
      <c r="E21" s="255"/>
      <c r="F21" s="258"/>
      <c r="G21" s="258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</row>
    <row r="22" spans="1:26" x14ac:dyDescent="0.6">
      <c r="A22" s="212" t="s">
        <v>25</v>
      </c>
      <c r="B22" s="5" t="s">
        <v>26</v>
      </c>
      <c r="C22" s="255"/>
      <c r="D22" s="255"/>
      <c r="E22" s="9" t="s">
        <v>27</v>
      </c>
      <c r="F22" s="258"/>
      <c r="G22" s="258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</row>
    <row r="23" spans="1:26" ht="39" x14ac:dyDescent="0.6">
      <c r="A23" s="6"/>
      <c r="C23" s="214" t="s">
        <v>28</v>
      </c>
      <c r="D23" s="214"/>
      <c r="E23" s="214" t="s">
        <v>28</v>
      </c>
      <c r="F23" s="214" t="s">
        <v>28</v>
      </c>
      <c r="G23" s="214" t="s">
        <v>28</v>
      </c>
      <c r="H23" s="214" t="s">
        <v>28</v>
      </c>
      <c r="I23" s="214"/>
      <c r="J23" s="214"/>
      <c r="K23" s="4"/>
      <c r="L23" s="214" t="s">
        <v>28</v>
      </c>
      <c r="M23" s="217" t="str">
        <f>M1-2&amp;" Forecasted Billed Sales"</f>
        <v>2023 Forecasted Billed Sales</v>
      </c>
      <c r="N23" s="214" t="s">
        <v>28</v>
      </c>
      <c r="O23" s="214" t="s">
        <v>28</v>
      </c>
      <c r="P23" s="214" t="s">
        <v>28</v>
      </c>
      <c r="Q23" s="214" t="s">
        <v>28</v>
      </c>
      <c r="R23" s="217"/>
    </row>
    <row r="24" spans="1:26" x14ac:dyDescent="0.6">
      <c r="A24" s="6"/>
      <c r="B24" s="215" t="s">
        <v>29</v>
      </c>
      <c r="C24" s="7" t="str">
        <f>+C6</f>
        <v>SC1</v>
      </c>
      <c r="D24" s="7" t="str">
        <f t="shared" ref="D24:H24" si="3">+D6</f>
        <v>SC3</v>
      </c>
      <c r="E24" s="7" t="str">
        <f t="shared" si="3"/>
        <v>SC2 ND</v>
      </c>
      <c r="F24" s="7" t="str">
        <f t="shared" si="3"/>
        <v>SC4</v>
      </c>
      <c r="G24" s="7" t="str">
        <f t="shared" si="3"/>
        <v>SC6</v>
      </c>
      <c r="H24" s="7" t="str">
        <f t="shared" si="3"/>
        <v>SC2 Dem</v>
      </c>
      <c r="I24" s="7" t="s">
        <v>30</v>
      </c>
      <c r="J24" s="8"/>
      <c r="K24" s="216"/>
      <c r="L24" s="8" t="str">
        <f t="shared" ref="L24:Q24" si="4">+C6</f>
        <v>SC1</v>
      </c>
      <c r="M24" s="8" t="str">
        <f t="shared" si="4"/>
        <v>SC3</v>
      </c>
      <c r="N24" s="8" t="str">
        <f t="shared" si="4"/>
        <v>SC2 ND</v>
      </c>
      <c r="O24" s="8" t="str">
        <f t="shared" si="4"/>
        <v>SC4</v>
      </c>
      <c r="P24" s="8" t="str">
        <f t="shared" si="4"/>
        <v>SC6</v>
      </c>
      <c r="Q24" s="8" t="str">
        <f t="shared" si="4"/>
        <v>SC2 Dem</v>
      </c>
      <c r="R24" s="8" t="s">
        <v>30</v>
      </c>
    </row>
    <row r="25" spans="1:26" x14ac:dyDescent="0.6">
      <c r="A25" s="6"/>
    </row>
    <row r="26" spans="1:26" x14ac:dyDescent="0.6">
      <c r="A26" s="6"/>
      <c r="B26" s="87" t="s">
        <v>13</v>
      </c>
      <c r="C26" s="259" t="s">
        <v>31</v>
      </c>
      <c r="D26" s="116">
        <v>0.32595656670113754</v>
      </c>
      <c r="E26" s="259" t="s">
        <v>31</v>
      </c>
      <c r="F26" s="259" t="s">
        <v>31</v>
      </c>
      <c r="G26" s="259" t="s">
        <v>31</v>
      </c>
      <c r="H26" s="259" t="s">
        <v>31</v>
      </c>
      <c r="I26" s="116">
        <v>0.23233717476007615</v>
      </c>
      <c r="J26" s="254"/>
      <c r="K26" s="255"/>
      <c r="L26" s="255"/>
      <c r="M26" s="254">
        <f t="shared" ref="M26:M37" si="5">1-D26</f>
        <v>0.67404343329886252</v>
      </c>
      <c r="N26" s="255"/>
      <c r="O26" s="255"/>
      <c r="P26" s="255"/>
      <c r="Q26" s="255"/>
      <c r="R26" s="254">
        <f>1-I26</f>
        <v>0.7676628252399238</v>
      </c>
    </row>
    <row r="27" spans="1:26" x14ac:dyDescent="0.6">
      <c r="A27" s="6"/>
      <c r="B27" s="87" t="s">
        <v>14</v>
      </c>
      <c r="C27" s="259" t="s">
        <v>31</v>
      </c>
      <c r="D27" s="116">
        <v>0.35905680600214362</v>
      </c>
      <c r="E27" s="259" t="s">
        <v>31</v>
      </c>
      <c r="F27" s="259" t="s">
        <v>31</v>
      </c>
      <c r="G27" s="259" t="s">
        <v>31</v>
      </c>
      <c r="H27" s="259" t="s">
        <v>31</v>
      </c>
      <c r="I27" s="116">
        <v>0.24400519211966873</v>
      </c>
      <c r="J27" s="254"/>
      <c r="K27" s="255"/>
      <c r="L27" s="255"/>
      <c r="M27" s="254">
        <f t="shared" si="5"/>
        <v>0.64094319399785638</v>
      </c>
      <c r="N27" s="255"/>
      <c r="O27" s="255"/>
      <c r="P27" s="255"/>
      <c r="Q27" s="255"/>
      <c r="R27" s="254">
        <f t="shared" ref="R27:R37" si="6">1-I27</f>
        <v>0.75599480788033124</v>
      </c>
    </row>
    <row r="28" spans="1:26" x14ac:dyDescent="0.6">
      <c r="A28" s="6"/>
      <c r="B28" s="87" t="s">
        <v>15</v>
      </c>
      <c r="C28" s="259" t="s">
        <v>31</v>
      </c>
      <c r="D28" s="116">
        <v>0.33603912305798594</v>
      </c>
      <c r="E28" s="259" t="s">
        <v>31</v>
      </c>
      <c r="F28" s="259" t="s">
        <v>31</v>
      </c>
      <c r="G28" s="259" t="s">
        <v>31</v>
      </c>
      <c r="H28" s="259" t="s">
        <v>31</v>
      </c>
      <c r="I28" s="116">
        <v>0.23361763465989074</v>
      </c>
      <c r="J28" s="254"/>
      <c r="K28" s="255"/>
      <c r="L28" s="255"/>
      <c r="M28" s="254">
        <f t="shared" si="5"/>
        <v>0.663960876942014</v>
      </c>
      <c r="N28" s="255"/>
      <c r="O28" s="255"/>
      <c r="P28" s="255"/>
      <c r="Q28" s="255"/>
      <c r="R28" s="254">
        <f t="shared" si="6"/>
        <v>0.76638236534010928</v>
      </c>
    </row>
    <row r="29" spans="1:26" x14ac:dyDescent="0.6">
      <c r="A29" s="6"/>
      <c r="B29" s="87" t="s">
        <v>16</v>
      </c>
      <c r="C29" s="259" t="s">
        <v>31</v>
      </c>
      <c r="D29" s="116">
        <v>0.34774089442139233</v>
      </c>
      <c r="E29" s="259" t="s">
        <v>31</v>
      </c>
      <c r="F29" s="259" t="s">
        <v>31</v>
      </c>
      <c r="G29" s="259" t="s">
        <v>31</v>
      </c>
      <c r="H29" s="259" t="s">
        <v>31</v>
      </c>
      <c r="I29" s="116">
        <v>0.22673527607328028</v>
      </c>
      <c r="J29" s="254"/>
      <c r="K29" s="255"/>
      <c r="L29" s="255"/>
      <c r="M29" s="254">
        <f t="shared" si="5"/>
        <v>0.65225910557860767</v>
      </c>
      <c r="N29" s="255"/>
      <c r="O29" s="255"/>
      <c r="P29" s="255"/>
      <c r="Q29" s="255"/>
      <c r="R29" s="254">
        <f t="shared" si="6"/>
        <v>0.77326472392671974</v>
      </c>
    </row>
    <row r="30" spans="1:26" x14ac:dyDescent="0.6">
      <c r="A30" s="6"/>
      <c r="B30" s="87" t="s">
        <v>17</v>
      </c>
      <c r="C30" s="259" t="s">
        <v>31</v>
      </c>
      <c r="D30" s="116">
        <v>0.35975147030923921</v>
      </c>
      <c r="E30" s="259" t="s">
        <v>31</v>
      </c>
      <c r="F30" s="259" t="s">
        <v>31</v>
      </c>
      <c r="G30" s="259" t="s">
        <v>31</v>
      </c>
      <c r="H30" s="259" t="s">
        <v>31</v>
      </c>
      <c r="I30" s="116">
        <v>0.26512836359132674</v>
      </c>
      <c r="J30" s="254"/>
      <c r="K30" s="255"/>
      <c r="L30" s="255"/>
      <c r="M30" s="254">
        <f t="shared" si="5"/>
        <v>0.64024852969076074</v>
      </c>
      <c r="N30" s="255"/>
      <c r="O30" s="255"/>
      <c r="P30" s="255"/>
      <c r="Q30" s="255"/>
      <c r="R30" s="254">
        <f t="shared" si="6"/>
        <v>0.73487163640867326</v>
      </c>
    </row>
    <row r="31" spans="1:26" x14ac:dyDescent="0.6">
      <c r="A31" s="6"/>
      <c r="B31" s="87" t="s">
        <v>18</v>
      </c>
      <c r="C31" s="259" t="s">
        <v>31</v>
      </c>
      <c r="D31" s="116">
        <v>0.39489624951669028</v>
      </c>
      <c r="E31" s="259" t="s">
        <v>31</v>
      </c>
      <c r="F31" s="259" t="s">
        <v>31</v>
      </c>
      <c r="G31" s="259" t="s">
        <v>31</v>
      </c>
      <c r="H31" s="259" t="s">
        <v>31</v>
      </c>
      <c r="I31" s="116">
        <v>0.3046792367494443</v>
      </c>
      <c r="J31" s="254"/>
      <c r="K31" s="255"/>
      <c r="L31" s="255"/>
      <c r="M31" s="254">
        <f t="shared" si="5"/>
        <v>0.60510375048330967</v>
      </c>
      <c r="N31" s="255"/>
      <c r="O31" s="255"/>
      <c r="P31" s="255"/>
      <c r="Q31" s="255"/>
      <c r="R31" s="254">
        <f t="shared" si="6"/>
        <v>0.6953207632505557</v>
      </c>
    </row>
    <row r="32" spans="1:26" x14ac:dyDescent="0.6">
      <c r="A32" s="6"/>
      <c r="B32" s="87" t="s">
        <v>19</v>
      </c>
      <c r="C32" s="259" t="s">
        <v>31</v>
      </c>
      <c r="D32" s="116">
        <v>0.4169343227378447</v>
      </c>
      <c r="E32" s="259" t="s">
        <v>31</v>
      </c>
      <c r="F32" s="259" t="s">
        <v>31</v>
      </c>
      <c r="G32" s="259" t="s">
        <v>31</v>
      </c>
      <c r="H32" s="259" t="s">
        <v>31</v>
      </c>
      <c r="I32" s="116">
        <v>0.31394108115367292</v>
      </c>
      <c r="J32" s="254"/>
      <c r="K32" s="255"/>
      <c r="L32" s="255"/>
      <c r="M32" s="254">
        <f t="shared" si="5"/>
        <v>0.5830656772621553</v>
      </c>
      <c r="N32" s="255"/>
      <c r="O32" s="255"/>
      <c r="P32" s="255"/>
      <c r="Q32" s="255"/>
      <c r="R32" s="254">
        <f t="shared" si="6"/>
        <v>0.68605891884632708</v>
      </c>
    </row>
    <row r="33" spans="1:19" x14ac:dyDescent="0.6">
      <c r="A33" s="6"/>
      <c r="B33" s="87" t="s">
        <v>20</v>
      </c>
      <c r="C33" s="259" t="s">
        <v>31</v>
      </c>
      <c r="D33" s="116">
        <v>0.42892105024624588</v>
      </c>
      <c r="E33" s="259" t="s">
        <v>31</v>
      </c>
      <c r="F33" s="259" t="s">
        <v>31</v>
      </c>
      <c r="G33" s="259" t="s">
        <v>31</v>
      </c>
      <c r="H33" s="259" t="s">
        <v>31</v>
      </c>
      <c r="I33" s="116">
        <v>0.31835902075449962</v>
      </c>
      <c r="J33" s="254"/>
      <c r="K33" s="255"/>
      <c r="L33" s="255"/>
      <c r="M33" s="254">
        <f t="shared" si="5"/>
        <v>0.57107894975375406</v>
      </c>
      <c r="N33" s="255"/>
      <c r="O33" s="255"/>
      <c r="P33" s="255"/>
      <c r="Q33" s="255"/>
      <c r="R33" s="254">
        <f t="shared" si="6"/>
        <v>0.68164097924550038</v>
      </c>
    </row>
    <row r="34" spans="1:19" x14ac:dyDescent="0.6">
      <c r="A34" s="6"/>
      <c r="B34" s="87" t="s">
        <v>21</v>
      </c>
      <c r="C34" s="259" t="s">
        <v>31</v>
      </c>
      <c r="D34" s="116">
        <v>0.41815557337610265</v>
      </c>
      <c r="E34" s="259" t="s">
        <v>31</v>
      </c>
      <c r="F34" s="259" t="s">
        <v>31</v>
      </c>
      <c r="G34" s="259" t="s">
        <v>31</v>
      </c>
      <c r="H34" s="259" t="s">
        <v>31</v>
      </c>
      <c r="I34" s="116">
        <v>0.29385621903041503</v>
      </c>
      <c r="J34" s="254"/>
      <c r="K34" s="255"/>
      <c r="L34" s="255"/>
      <c r="M34" s="254">
        <f t="shared" si="5"/>
        <v>0.58184442662389735</v>
      </c>
      <c r="N34" s="255"/>
      <c r="O34" s="255"/>
      <c r="P34" s="255"/>
      <c r="Q34" s="255"/>
      <c r="R34" s="254">
        <f t="shared" si="6"/>
        <v>0.70614378096958497</v>
      </c>
    </row>
    <row r="35" spans="1:19" x14ac:dyDescent="0.6">
      <c r="A35" s="6"/>
      <c r="B35" s="87" t="s">
        <v>22</v>
      </c>
      <c r="C35" s="259" t="s">
        <v>31</v>
      </c>
      <c r="D35" s="116">
        <v>0.39968445963712856</v>
      </c>
      <c r="E35" s="259" t="s">
        <v>31</v>
      </c>
      <c r="F35" s="259" t="s">
        <v>31</v>
      </c>
      <c r="G35" s="259" t="s">
        <v>31</v>
      </c>
      <c r="H35" s="259" t="s">
        <v>31</v>
      </c>
      <c r="I35" s="116">
        <v>0.24085108196240684</v>
      </c>
      <c r="J35" s="254"/>
      <c r="K35" s="255"/>
      <c r="L35" s="255"/>
      <c r="M35" s="254">
        <f t="shared" si="5"/>
        <v>0.60031554036287149</v>
      </c>
      <c r="N35" s="255"/>
      <c r="O35" s="255"/>
      <c r="P35" s="255"/>
      <c r="Q35" s="255"/>
      <c r="R35" s="254">
        <f t="shared" si="6"/>
        <v>0.75914891803759321</v>
      </c>
    </row>
    <row r="36" spans="1:19" x14ac:dyDescent="0.6">
      <c r="A36" s="6"/>
      <c r="B36" s="87" t="s">
        <v>23</v>
      </c>
      <c r="C36" s="259" t="s">
        <v>31</v>
      </c>
      <c r="D36" s="116">
        <v>0.37566715186802524</v>
      </c>
      <c r="E36" s="259" t="s">
        <v>31</v>
      </c>
      <c r="F36" s="259" t="s">
        <v>31</v>
      </c>
      <c r="G36" s="259" t="s">
        <v>31</v>
      </c>
      <c r="H36" s="259" t="s">
        <v>31</v>
      </c>
      <c r="I36" s="116">
        <v>0.2595146172472958</v>
      </c>
      <c r="J36" s="254"/>
      <c r="K36" s="255"/>
      <c r="L36" s="255"/>
      <c r="M36" s="254">
        <f t="shared" si="5"/>
        <v>0.62433284813197476</v>
      </c>
      <c r="N36" s="255"/>
      <c r="O36" s="255"/>
      <c r="P36" s="255"/>
      <c r="Q36" s="255"/>
      <c r="R36" s="254">
        <f t="shared" si="6"/>
        <v>0.74048538275270426</v>
      </c>
    </row>
    <row r="37" spans="1:19" x14ac:dyDescent="0.6">
      <c r="A37" s="6"/>
      <c r="B37" s="87" t="s">
        <v>24</v>
      </c>
      <c r="C37" s="259" t="s">
        <v>31</v>
      </c>
      <c r="D37" s="116">
        <v>0.35755115297174406</v>
      </c>
      <c r="E37" s="259" t="s">
        <v>31</v>
      </c>
      <c r="F37" s="259" t="s">
        <v>31</v>
      </c>
      <c r="G37" s="259" t="s">
        <v>31</v>
      </c>
      <c r="H37" s="259" t="s">
        <v>31</v>
      </c>
      <c r="I37" s="116">
        <v>0.24645308496691076</v>
      </c>
      <c r="J37" s="254"/>
      <c r="K37" s="255"/>
      <c r="L37" s="255"/>
      <c r="M37" s="254">
        <f t="shared" si="5"/>
        <v>0.64244884702825589</v>
      </c>
      <c r="N37" s="255"/>
      <c r="O37" s="255"/>
      <c r="P37" s="255"/>
      <c r="Q37" s="255"/>
      <c r="R37" s="254">
        <f t="shared" si="6"/>
        <v>0.75354691503308924</v>
      </c>
    </row>
    <row r="38" spans="1:19" x14ac:dyDescent="0.6">
      <c r="A38" s="6"/>
      <c r="B38" s="87"/>
      <c r="C38" s="255"/>
      <c r="D38" s="255"/>
      <c r="E38" s="255"/>
      <c r="F38" s="258"/>
      <c r="G38" s="258"/>
      <c r="H38" s="255"/>
      <c r="I38" s="255"/>
      <c r="J38" s="255"/>
      <c r="K38" s="255"/>
      <c r="L38" s="255"/>
      <c r="M38" s="255"/>
      <c r="N38" s="255"/>
      <c r="O38" s="255"/>
      <c r="P38" s="255"/>
      <c r="R38" s="255"/>
      <c r="S38" s="255"/>
    </row>
    <row r="39" spans="1:19" x14ac:dyDescent="0.6">
      <c r="A39" s="6"/>
      <c r="B39" s="87"/>
      <c r="C39" s="255"/>
      <c r="D39" s="255"/>
      <c r="E39" s="255"/>
      <c r="F39" s="258"/>
      <c r="G39" s="258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</row>
    <row r="40" spans="1:19" x14ac:dyDescent="0.6">
      <c r="A40" s="212" t="s">
        <v>32</v>
      </c>
      <c r="B40" s="10" t="s">
        <v>33</v>
      </c>
      <c r="L40" s="11" t="s">
        <v>34</v>
      </c>
    </row>
    <row r="41" spans="1:19" x14ac:dyDescent="0.6">
      <c r="A41" s="6"/>
      <c r="B41" s="218" t="str">
        <f>"Calendar month billed sales forecasted for " &amp;M1</f>
        <v>Calendar month billed sales forecasted for 2025</v>
      </c>
    </row>
    <row r="42" spans="1:19" x14ac:dyDescent="0.6">
      <c r="A42" s="6"/>
      <c r="B42" s="4" t="s">
        <v>35</v>
      </c>
      <c r="C42" s="12" t="str">
        <f>+C6</f>
        <v>SC1</v>
      </c>
      <c r="D42" s="12" t="str">
        <f t="shared" ref="D42:H42" si="7">+D6</f>
        <v>SC3</v>
      </c>
      <c r="E42" s="12" t="str">
        <f t="shared" si="7"/>
        <v>SC2 ND</v>
      </c>
      <c r="F42" s="12" t="str">
        <f t="shared" si="7"/>
        <v>SC4</v>
      </c>
      <c r="G42" s="12" t="str">
        <f t="shared" si="7"/>
        <v>SC6</v>
      </c>
      <c r="H42" s="12" t="str">
        <f t="shared" si="7"/>
        <v>SC2 Dem</v>
      </c>
      <c r="I42" s="12" t="s">
        <v>36</v>
      </c>
      <c r="J42" s="8"/>
      <c r="K42" s="8"/>
      <c r="L42" s="8" t="str">
        <f t="shared" ref="L42:Q42" si="8">+C6</f>
        <v>SC1</v>
      </c>
      <c r="M42" s="8" t="str">
        <f t="shared" si="8"/>
        <v>SC3</v>
      </c>
      <c r="N42" s="8" t="str">
        <f t="shared" si="8"/>
        <v>SC2 ND</v>
      </c>
      <c r="O42" s="8" t="str">
        <f t="shared" si="8"/>
        <v>SC4</v>
      </c>
      <c r="P42" s="8" t="str">
        <f t="shared" si="8"/>
        <v>SC6</v>
      </c>
      <c r="Q42" s="8" t="str">
        <f t="shared" si="8"/>
        <v>SC2 Dem</v>
      </c>
      <c r="R42" s="8" t="s">
        <v>30</v>
      </c>
    </row>
    <row r="43" spans="1:19" x14ac:dyDescent="0.6">
      <c r="A43" s="6"/>
    </row>
    <row r="44" spans="1:19" x14ac:dyDescent="0.6">
      <c r="A44" s="6"/>
      <c r="B44" s="87" t="s">
        <v>13</v>
      </c>
      <c r="C44" s="260">
        <v>56603.755649525556</v>
      </c>
      <c r="D44" s="260">
        <v>80.511977871704033</v>
      </c>
      <c r="E44" s="260">
        <v>1504</v>
      </c>
      <c r="F44" s="260">
        <v>664</v>
      </c>
      <c r="G44" s="260">
        <v>474.5</v>
      </c>
      <c r="H44" s="260">
        <v>27591.821416438357</v>
      </c>
      <c r="I44" s="260">
        <f t="shared" ref="I44:I55" si="9">SUM(C44:H44)</f>
        <v>86918.589043835615</v>
      </c>
      <c r="J44" s="260"/>
      <c r="K44" s="103" t="s">
        <v>37</v>
      </c>
      <c r="L44" s="261">
        <f t="shared" ref="L44:Q44" si="10">SUM(C44:C48,C53:C55)</f>
        <v>388167.43281590502</v>
      </c>
      <c r="M44" s="260">
        <f t="shared" si="10"/>
        <v>604.92795267538668</v>
      </c>
      <c r="N44" s="260">
        <f t="shared" si="10"/>
        <v>10244</v>
      </c>
      <c r="O44" s="260">
        <f t="shared" si="10"/>
        <v>4572.5</v>
      </c>
      <c r="P44" s="260">
        <f t="shared" si="10"/>
        <v>3512</v>
      </c>
      <c r="Q44" s="260">
        <f t="shared" si="10"/>
        <v>188575.96726629033</v>
      </c>
      <c r="R44" s="260">
        <f>L44</f>
        <v>388167.43281590502</v>
      </c>
    </row>
    <row r="45" spans="1:19" x14ac:dyDescent="0.6">
      <c r="A45" s="6"/>
      <c r="B45" s="87" t="s">
        <v>14</v>
      </c>
      <c r="C45" s="260">
        <v>53269.061459956341</v>
      </c>
      <c r="D45" s="260">
        <v>78.52907155050741</v>
      </c>
      <c r="E45" s="260">
        <v>1830</v>
      </c>
      <c r="F45" s="260">
        <v>552.5</v>
      </c>
      <c r="G45" s="260">
        <v>426</v>
      </c>
      <c r="H45" s="260">
        <v>25647.241135616438</v>
      </c>
      <c r="I45" s="260">
        <f t="shared" si="9"/>
        <v>81803.33166712329</v>
      </c>
      <c r="J45" s="260"/>
      <c r="K45" s="103" t="s">
        <v>38</v>
      </c>
      <c r="L45" s="261"/>
      <c r="M45" s="260">
        <f>SUMPRODUCT(D26:D30,D44:D48)+SUMPRODUCT(D35:D37,D53:D55)</f>
        <v>215.60440888871457</v>
      </c>
      <c r="R45" s="260">
        <f>SUMPRODUCT(I26:I30,C44:C48)+SUMPRODUCT(I35:I37,C53:C55)</f>
        <v>94362.571265797291</v>
      </c>
    </row>
    <row r="46" spans="1:19" x14ac:dyDescent="0.6">
      <c r="A46" s="6"/>
      <c r="B46" s="87" t="s">
        <v>15</v>
      </c>
      <c r="C46" s="260">
        <v>47229.51522757866</v>
      </c>
      <c r="D46" s="260">
        <v>76.507698448736704</v>
      </c>
      <c r="E46" s="260">
        <v>1802</v>
      </c>
      <c r="F46" s="260">
        <v>542.5</v>
      </c>
      <c r="G46" s="260">
        <v>389.5</v>
      </c>
      <c r="H46" s="260">
        <v>20734.477784931507</v>
      </c>
      <c r="I46" s="260">
        <f t="shared" si="9"/>
        <v>70774.500710958906</v>
      </c>
      <c r="J46" s="260"/>
      <c r="K46" s="103" t="s">
        <v>39</v>
      </c>
      <c r="L46" s="261"/>
      <c r="M46" s="260">
        <f>+M44-M45</f>
        <v>389.32354378667208</v>
      </c>
      <c r="R46" s="260">
        <f>R44-R45</f>
        <v>293804.86155010771</v>
      </c>
    </row>
    <row r="47" spans="1:19" x14ac:dyDescent="0.6">
      <c r="A47" s="6"/>
      <c r="B47" s="87" t="s">
        <v>16</v>
      </c>
      <c r="C47" s="260">
        <v>43709.929340219598</v>
      </c>
      <c r="D47" s="260">
        <v>79.819766629715787</v>
      </c>
      <c r="E47" s="260">
        <v>1082</v>
      </c>
      <c r="F47" s="260">
        <v>475.5</v>
      </c>
      <c r="G47" s="260">
        <v>384</v>
      </c>
      <c r="H47" s="260">
        <v>23997.580101369866</v>
      </c>
      <c r="I47" s="260">
        <f t="shared" si="9"/>
        <v>69728.829208219177</v>
      </c>
      <c r="J47" s="260"/>
    </row>
    <row r="48" spans="1:19" x14ac:dyDescent="0.6">
      <c r="A48" s="6"/>
      <c r="B48" s="87" t="s">
        <v>17</v>
      </c>
      <c r="C48" s="260">
        <v>44043.977392174609</v>
      </c>
      <c r="D48" s="260">
        <v>79.077073578817561</v>
      </c>
      <c r="E48" s="260">
        <v>855</v>
      </c>
      <c r="F48" s="260">
        <v>432.5</v>
      </c>
      <c r="G48" s="260">
        <v>365.5</v>
      </c>
      <c r="H48" s="260">
        <v>20972.421143835614</v>
      </c>
      <c r="I48" s="260">
        <f t="shared" si="9"/>
        <v>66748.475609589048</v>
      </c>
      <c r="J48" s="260"/>
      <c r="K48" s="103" t="s">
        <v>40</v>
      </c>
      <c r="L48" s="261">
        <f>SUM(C49:C52)</f>
        <v>306989.51012851886</v>
      </c>
      <c r="M48" s="260">
        <f>+SUM(D49:D52)</f>
        <v>297.91189105921745</v>
      </c>
      <c r="N48" s="260">
        <f>+SUM(E49:E52)</f>
        <v>4020</v>
      </c>
      <c r="O48" s="260">
        <f>+SUM(F49:F52)</f>
        <v>1791</v>
      </c>
      <c r="P48" s="260">
        <f>+SUM(G49:G52)</f>
        <v>1411</v>
      </c>
      <c r="Q48" s="260">
        <f>+SUM(H49:H52)</f>
        <v>116523.20428200089</v>
      </c>
      <c r="R48" s="260">
        <f>L48</f>
        <v>306989.51012851886</v>
      </c>
    </row>
    <row r="49" spans="1:23" x14ac:dyDescent="0.6">
      <c r="A49" s="6"/>
      <c r="B49" s="87" t="s">
        <v>18</v>
      </c>
      <c r="C49" s="260">
        <v>60112.906382235888</v>
      </c>
      <c r="D49" s="260">
        <v>67.490129503983638</v>
      </c>
      <c r="E49" s="260">
        <v>891</v>
      </c>
      <c r="F49" s="260">
        <v>383.5</v>
      </c>
      <c r="G49" s="260">
        <v>343.5</v>
      </c>
      <c r="H49" s="260">
        <v>25081.363551520815</v>
      </c>
      <c r="I49" s="260">
        <f t="shared" si="9"/>
        <v>86879.760063260677</v>
      </c>
      <c r="J49" s="260"/>
      <c r="K49" s="103" t="s">
        <v>38</v>
      </c>
      <c r="L49" s="261"/>
      <c r="M49" s="260">
        <f>+SUMPRODUCT(D31:D34,D49:D52)</f>
        <v>123.74707502854545</v>
      </c>
      <c r="R49" s="260">
        <f>+SUMPRODUCT(I31:I34,C49:C52)</f>
        <v>94711.540494187342</v>
      </c>
    </row>
    <row r="50" spans="1:23" x14ac:dyDescent="0.6">
      <c r="A50" s="6"/>
      <c r="B50" s="87" t="s">
        <v>19</v>
      </c>
      <c r="C50" s="260">
        <v>85676.89394972939</v>
      </c>
      <c r="D50" s="260">
        <v>76.164876600690178</v>
      </c>
      <c r="E50" s="260">
        <v>1074</v>
      </c>
      <c r="F50" s="260">
        <v>414</v>
      </c>
      <c r="G50" s="260">
        <v>333.5</v>
      </c>
      <c r="H50" s="260">
        <v>29937.171487242034</v>
      </c>
      <c r="I50" s="260">
        <f t="shared" si="9"/>
        <v>117511.7303135721</v>
      </c>
      <c r="J50" s="260"/>
      <c r="K50" s="103" t="s">
        <v>39</v>
      </c>
      <c r="L50" s="261"/>
      <c r="M50" s="260">
        <f>+M48-M49</f>
        <v>174.164816030672</v>
      </c>
      <c r="R50" s="260">
        <f>R48-R49</f>
        <v>212277.96963433153</v>
      </c>
    </row>
    <row r="51" spans="1:23" x14ac:dyDescent="0.6">
      <c r="A51" s="6"/>
      <c r="B51" s="87" t="s">
        <v>20</v>
      </c>
      <c r="C51" s="260">
        <v>86902.39331618548</v>
      </c>
      <c r="D51" s="260">
        <v>77.688020773804823</v>
      </c>
      <c r="E51" s="260">
        <v>1046</v>
      </c>
      <c r="F51" s="260">
        <v>471.5</v>
      </c>
      <c r="G51" s="260">
        <v>334.5</v>
      </c>
      <c r="H51" s="260">
        <v>30653.632661465559</v>
      </c>
      <c r="I51" s="260">
        <f t="shared" si="9"/>
        <v>119485.71399842484</v>
      </c>
      <c r="J51" s="260"/>
    </row>
    <row r="52" spans="1:23" x14ac:dyDescent="0.6">
      <c r="A52" s="6"/>
      <c r="B52" s="87" t="s">
        <v>21</v>
      </c>
      <c r="C52" s="260">
        <v>74297.316480368114</v>
      </c>
      <c r="D52" s="260">
        <v>76.568864180738828</v>
      </c>
      <c r="E52" s="260">
        <v>1009</v>
      </c>
      <c r="F52" s="260">
        <v>522</v>
      </c>
      <c r="G52" s="260">
        <v>399.5</v>
      </c>
      <c r="H52" s="260">
        <v>30851.036581772485</v>
      </c>
      <c r="I52" s="260">
        <f t="shared" si="9"/>
        <v>107155.42192632133</v>
      </c>
      <c r="J52" s="260"/>
      <c r="K52" s="103" t="s">
        <v>41</v>
      </c>
      <c r="L52" s="261">
        <f>ROUND(L48*E156,0)</f>
        <v>131913</v>
      </c>
    </row>
    <row r="53" spans="1:23" x14ac:dyDescent="0.6">
      <c r="A53" s="6"/>
      <c r="B53" s="87" t="s">
        <v>22</v>
      </c>
      <c r="C53" s="260">
        <v>49373.724368590367</v>
      </c>
      <c r="D53" s="260">
        <v>66.507927300045424</v>
      </c>
      <c r="E53" s="260">
        <v>881</v>
      </c>
      <c r="F53" s="260">
        <v>595.5</v>
      </c>
      <c r="G53" s="260">
        <v>462.5</v>
      </c>
      <c r="H53" s="260">
        <v>23795.357805479449</v>
      </c>
      <c r="I53" s="260">
        <f t="shared" si="9"/>
        <v>75174.59010136986</v>
      </c>
      <c r="J53" s="260"/>
      <c r="K53" s="100" t="s">
        <v>42</v>
      </c>
      <c r="L53" s="261">
        <f>L48-L52</f>
        <v>175076.51012851886</v>
      </c>
    </row>
    <row r="54" spans="1:23" x14ac:dyDescent="0.6">
      <c r="A54" s="6"/>
      <c r="B54" s="87" t="s">
        <v>23</v>
      </c>
      <c r="C54" s="260">
        <v>42036.016252412323</v>
      </c>
      <c r="D54" s="260">
        <v>65.683484573979896</v>
      </c>
      <c r="E54" s="260">
        <v>882</v>
      </c>
      <c r="F54" s="260">
        <v>631.5</v>
      </c>
      <c r="G54" s="260">
        <v>504.5</v>
      </c>
      <c r="H54" s="260">
        <v>21456.109252054794</v>
      </c>
      <c r="I54" s="260">
        <f t="shared" si="9"/>
        <v>65575.808989041092</v>
      </c>
      <c r="J54" s="260"/>
      <c r="K54" s="100" t="s">
        <v>43</v>
      </c>
      <c r="L54" s="261"/>
    </row>
    <row r="55" spans="1:23" x14ac:dyDescent="0.6">
      <c r="A55" s="6"/>
      <c r="B55" s="87" t="s">
        <v>24</v>
      </c>
      <c r="C55" s="219">
        <v>51901.453125447573</v>
      </c>
      <c r="D55" s="219">
        <v>78.290952721879933</v>
      </c>
      <c r="E55" s="219">
        <v>1408</v>
      </c>
      <c r="F55" s="219">
        <v>678.5</v>
      </c>
      <c r="G55" s="219">
        <v>505.5</v>
      </c>
      <c r="H55" s="219">
        <v>24380.958626564316</v>
      </c>
      <c r="I55" s="219">
        <f t="shared" si="9"/>
        <v>78952.702704733761</v>
      </c>
      <c r="J55" s="260"/>
      <c r="M55" s="261"/>
    </row>
    <row r="56" spans="1:23" x14ac:dyDescent="0.6">
      <c r="A56" s="6"/>
      <c r="B56" s="262" t="s">
        <v>36</v>
      </c>
      <c r="C56" s="260">
        <f>SUM(C44:C55)</f>
        <v>695156.94294442399</v>
      </c>
      <c r="D56" s="260">
        <f t="shared" ref="D56:H56" si="11">SUM(D44:D55)</f>
        <v>902.8398437346043</v>
      </c>
      <c r="E56" s="260">
        <f t="shared" si="11"/>
        <v>14264</v>
      </c>
      <c r="F56" s="260">
        <f>SUM(F44:F55)</f>
        <v>6363.5</v>
      </c>
      <c r="G56" s="260">
        <f>SUM(G44:G55)</f>
        <v>4923</v>
      </c>
      <c r="H56" s="260">
        <f t="shared" si="11"/>
        <v>305099.17154829123</v>
      </c>
      <c r="I56" s="260">
        <f>SUM(I44:I55)</f>
        <v>1026709.4543364497</v>
      </c>
      <c r="J56" s="260"/>
      <c r="M56" s="261"/>
    </row>
    <row r="57" spans="1:23" x14ac:dyDescent="0.6">
      <c r="A57" s="6"/>
      <c r="B57" s="87"/>
      <c r="N57" s="261"/>
      <c r="O57" s="11" t="s">
        <v>44</v>
      </c>
    </row>
    <row r="58" spans="1:23" x14ac:dyDescent="0.6">
      <c r="A58" s="6"/>
      <c r="O58" s="263"/>
      <c r="P58" s="264"/>
      <c r="Q58" s="264"/>
      <c r="R58" s="264"/>
      <c r="S58" s="264"/>
      <c r="T58" s="264"/>
      <c r="U58" s="264"/>
      <c r="V58" s="264"/>
      <c r="W58" s="265"/>
    </row>
    <row r="59" spans="1:23" x14ac:dyDescent="0.6">
      <c r="A59" s="212" t="s">
        <v>45</v>
      </c>
      <c r="B59" s="11" t="s">
        <v>46</v>
      </c>
      <c r="G59" s="220"/>
      <c r="H59" s="11"/>
      <c r="N59" s="261"/>
      <c r="O59" s="221"/>
      <c r="P59" t="s">
        <v>47</v>
      </c>
      <c r="W59" s="266"/>
    </row>
    <row r="60" spans="1:23" x14ac:dyDescent="0.6">
      <c r="A60" s="6"/>
      <c r="B60" s="211" t="s">
        <v>48</v>
      </c>
      <c r="N60" s="261"/>
      <c r="O60" s="89"/>
      <c r="P60" s="8"/>
      <c r="Q60" s="8"/>
      <c r="R60" s="8"/>
      <c r="S60" s="7" t="str">
        <f>D6</f>
        <v>SC3</v>
      </c>
      <c r="T60" s="7"/>
      <c r="U60" s="7"/>
      <c r="V60" s="7" t="s">
        <v>30</v>
      </c>
      <c r="W60" s="222"/>
    </row>
    <row r="61" spans="1:23" x14ac:dyDescent="0.6">
      <c r="A61" s="6"/>
      <c r="C61" s="12" t="s">
        <v>49</v>
      </c>
      <c r="D61" s="12" t="s">
        <v>50</v>
      </c>
      <c r="G61" s="8"/>
      <c r="H61" s="8"/>
      <c r="I61" s="8"/>
      <c r="N61" s="261"/>
      <c r="O61" s="267"/>
      <c r="W61" s="266"/>
    </row>
    <row r="62" spans="1:23" x14ac:dyDescent="0.6">
      <c r="A62" s="6"/>
      <c r="B62" s="87" t="s">
        <v>13</v>
      </c>
      <c r="C62" s="268">
        <f t="shared" ref="C62:D73" si="12">G428</f>
        <v>75.8</v>
      </c>
      <c r="D62" s="268">
        <f t="shared" si="12"/>
        <v>65.06</v>
      </c>
      <c r="H62" s="8"/>
      <c r="I62" s="8"/>
      <c r="O62" s="89"/>
      <c r="P62" s="260"/>
      <c r="Q62" s="103" t="s">
        <v>37</v>
      </c>
      <c r="R62" s="260"/>
      <c r="S62" s="269">
        <f>SUM(D44:D48,D53:D55)</f>
        <v>604.92795267538668</v>
      </c>
      <c r="T62" s="260"/>
      <c r="U62" s="269"/>
      <c r="V62" s="260">
        <f>R44</f>
        <v>388167.43281590502</v>
      </c>
      <c r="W62" s="266"/>
    </row>
    <row r="63" spans="1:23" x14ac:dyDescent="0.6">
      <c r="A63" s="6"/>
      <c r="B63" s="87" t="s">
        <v>14</v>
      </c>
      <c r="C63" s="268">
        <f t="shared" si="12"/>
        <v>65.47</v>
      </c>
      <c r="D63" s="268">
        <f t="shared" si="12"/>
        <v>56.88</v>
      </c>
      <c r="H63" s="8"/>
      <c r="I63" s="8"/>
      <c r="O63" s="89"/>
      <c r="P63" s="260"/>
      <c r="Q63" s="103" t="s">
        <v>38</v>
      </c>
      <c r="S63" s="269">
        <f>SUMPRODUCT(D26:D30,D44:D48)+SUMPRODUCT(D35:D37,D53:D55)</f>
        <v>215.60440888871457</v>
      </c>
      <c r="T63">
        <f>S63/S62</f>
        <v>0.35641336779887756</v>
      </c>
      <c r="U63" s="269"/>
      <c r="V63" s="260">
        <f>R45</f>
        <v>94362.571265797291</v>
      </c>
      <c r="W63" s="266"/>
    </row>
    <row r="64" spans="1:23" x14ac:dyDescent="0.6">
      <c r="A64" s="6"/>
      <c r="B64" s="87" t="s">
        <v>15</v>
      </c>
      <c r="C64" s="268">
        <f t="shared" si="12"/>
        <v>48.82</v>
      </c>
      <c r="D64" s="268">
        <f t="shared" si="12"/>
        <v>41.66</v>
      </c>
      <c r="H64" s="8"/>
      <c r="I64" s="8"/>
      <c r="M64" s="8"/>
      <c r="N64" s="8"/>
      <c r="O64" s="89"/>
      <c r="P64" s="260"/>
      <c r="Q64" s="103" t="s">
        <v>39</v>
      </c>
      <c r="S64" s="269">
        <f>SUMPRODUCT(M26:M30,D44:D48)+SUMPRODUCT(M35:M37,D53:D55)</f>
        <v>389.32354378667219</v>
      </c>
      <c r="U64" s="269"/>
      <c r="V64" s="260">
        <f>R46</f>
        <v>293804.86155010771</v>
      </c>
      <c r="W64" s="266"/>
    </row>
    <row r="65" spans="1:23" x14ac:dyDescent="0.6">
      <c r="A65" s="6"/>
      <c r="B65" s="87" t="s">
        <v>16</v>
      </c>
      <c r="C65" s="268">
        <f t="shared" si="12"/>
        <v>44.04</v>
      </c>
      <c r="D65" s="268">
        <f t="shared" si="12"/>
        <v>37.58</v>
      </c>
      <c r="H65" s="8"/>
      <c r="I65" s="8"/>
      <c r="O65" s="267"/>
      <c r="W65" s="266"/>
    </row>
    <row r="66" spans="1:23" x14ac:dyDescent="0.6">
      <c r="A66" s="6"/>
      <c r="B66" s="87" t="s">
        <v>17</v>
      </c>
      <c r="C66" s="268">
        <f t="shared" si="12"/>
        <v>46.68</v>
      </c>
      <c r="D66" s="268">
        <f t="shared" si="12"/>
        <v>39.700000000000003</v>
      </c>
      <c r="H66" s="8"/>
      <c r="I66" s="8"/>
      <c r="N66" s="261"/>
      <c r="O66" s="89"/>
      <c r="P66" s="260"/>
      <c r="Q66" s="103" t="s">
        <v>40</v>
      </c>
      <c r="R66" s="260"/>
      <c r="S66" s="269">
        <f>+SUM(D49:D52)</f>
        <v>297.91189105921745</v>
      </c>
      <c r="T66" s="260"/>
      <c r="U66" s="269"/>
      <c r="V66" s="260">
        <f>R48</f>
        <v>306989.51012851886</v>
      </c>
      <c r="W66" s="266"/>
    </row>
    <row r="67" spans="1:23" x14ac:dyDescent="0.6">
      <c r="A67" s="6"/>
      <c r="B67" s="87" t="s">
        <v>18</v>
      </c>
      <c r="C67" s="268">
        <f t="shared" si="12"/>
        <v>46.63</v>
      </c>
      <c r="D67" s="268">
        <f t="shared" si="12"/>
        <v>31.13</v>
      </c>
      <c r="H67" s="8"/>
      <c r="I67" s="8"/>
      <c r="N67" s="261"/>
      <c r="O67" s="89"/>
      <c r="P67" s="260"/>
      <c r="Q67" s="103" t="s">
        <v>38</v>
      </c>
      <c r="S67" s="269">
        <f>+SUMPRODUCT(D31:D34,D49:D52)</f>
        <v>123.74707502854545</v>
      </c>
      <c r="T67" s="270">
        <f>S67/S66</f>
        <v>0.41538145586792846</v>
      </c>
      <c r="U67" s="269"/>
      <c r="V67" s="260">
        <f>R49</f>
        <v>94711.540494187342</v>
      </c>
      <c r="W67" s="266"/>
    </row>
    <row r="68" spans="1:23" x14ac:dyDescent="0.6">
      <c r="A68" s="6"/>
      <c r="B68" s="87" t="s">
        <v>19</v>
      </c>
      <c r="C68" s="268">
        <f t="shared" si="12"/>
        <v>68.599999999999994</v>
      </c>
      <c r="D68" s="268">
        <f t="shared" si="12"/>
        <v>45.12</v>
      </c>
      <c r="H68" s="8"/>
      <c r="I68" s="8"/>
      <c r="N68" s="261"/>
      <c r="O68" s="89"/>
      <c r="P68" s="260"/>
      <c r="Q68" s="103" t="s">
        <v>39</v>
      </c>
      <c r="S68" s="269">
        <f>SUMPRODUCT(M31:M34,D49:D52)</f>
        <v>174.164816030672</v>
      </c>
      <c r="U68" s="269"/>
      <c r="V68" s="260">
        <f>R50</f>
        <v>212277.96963433153</v>
      </c>
      <c r="W68" s="266"/>
    </row>
    <row r="69" spans="1:23" x14ac:dyDescent="0.6">
      <c r="A69" s="6"/>
      <c r="B69" s="87" t="s">
        <v>20</v>
      </c>
      <c r="C69" s="268">
        <f t="shared" si="12"/>
        <v>61.64</v>
      </c>
      <c r="D69" s="268">
        <f t="shared" si="12"/>
        <v>40.64</v>
      </c>
      <c r="H69" s="8"/>
      <c r="I69" s="8"/>
      <c r="O69" s="89"/>
      <c r="W69" s="266"/>
    </row>
    <row r="70" spans="1:23" x14ac:dyDescent="0.6">
      <c r="A70" s="6"/>
      <c r="B70" s="87" t="s">
        <v>21</v>
      </c>
      <c r="C70" s="268">
        <f t="shared" si="12"/>
        <v>48.92</v>
      </c>
      <c r="D70" s="268">
        <f t="shared" si="12"/>
        <v>32.340000000000003</v>
      </c>
      <c r="H70" s="8"/>
      <c r="I70" s="8"/>
      <c r="N70" s="261"/>
      <c r="O70" s="221"/>
      <c r="P70" t="s">
        <v>51</v>
      </c>
      <c r="W70" s="266"/>
    </row>
    <row r="71" spans="1:23" x14ac:dyDescent="0.6">
      <c r="A71" s="6"/>
      <c r="B71" s="87" t="s">
        <v>22</v>
      </c>
      <c r="C71" s="268">
        <f t="shared" si="12"/>
        <v>43.89</v>
      </c>
      <c r="D71" s="268">
        <f t="shared" si="12"/>
        <v>37.58</v>
      </c>
      <c r="H71" s="8"/>
      <c r="I71" s="8"/>
      <c r="N71" s="261"/>
      <c r="O71" s="89"/>
      <c r="P71" s="8"/>
      <c r="Q71" s="8"/>
      <c r="R71" s="8"/>
      <c r="S71" s="8" t="str">
        <f>S60</f>
        <v>SC3</v>
      </c>
      <c r="T71" s="8"/>
      <c r="U71" s="8"/>
      <c r="V71" s="8"/>
      <c r="W71" s="266"/>
    </row>
    <row r="72" spans="1:23" x14ac:dyDescent="0.6">
      <c r="A72" s="6"/>
      <c r="B72" s="87" t="s">
        <v>23</v>
      </c>
      <c r="C72" s="268">
        <f t="shared" si="12"/>
        <v>46.16</v>
      </c>
      <c r="D72" s="268">
        <f t="shared" si="12"/>
        <v>39.21</v>
      </c>
      <c r="H72" s="8"/>
      <c r="I72" s="8"/>
      <c r="N72" s="261"/>
      <c r="O72" s="267"/>
      <c r="W72" s="266"/>
    </row>
    <row r="73" spans="1:23" x14ac:dyDescent="0.6">
      <c r="A73" s="6"/>
      <c r="B73" s="87" t="s">
        <v>24</v>
      </c>
      <c r="C73" s="268">
        <f t="shared" si="12"/>
        <v>55.17</v>
      </c>
      <c r="D73" s="268">
        <f t="shared" si="12"/>
        <v>46.82</v>
      </c>
      <c r="H73" s="8"/>
      <c r="I73" s="8"/>
      <c r="O73" s="89"/>
      <c r="P73" s="260"/>
      <c r="Q73" s="103" t="s">
        <v>37</v>
      </c>
      <c r="R73" s="260"/>
      <c r="S73" s="269">
        <f>SUM(D44:D48,D53:D55)</f>
        <v>604.92795267538668</v>
      </c>
      <c r="T73" s="260"/>
      <c r="U73" s="269"/>
      <c r="V73" s="260">
        <f>V62</f>
        <v>388167.43281590502</v>
      </c>
      <c r="W73" s="266"/>
    </row>
    <row r="74" spans="1:23" x14ac:dyDescent="0.6">
      <c r="A74" s="6"/>
      <c r="B74" s="87"/>
      <c r="C74" s="268"/>
      <c r="D74" s="268"/>
      <c r="G74" s="258"/>
      <c r="M74" s="8"/>
      <c r="N74" s="8"/>
      <c r="O74" s="89"/>
      <c r="P74" s="260"/>
      <c r="Q74" s="103" t="s">
        <v>38</v>
      </c>
      <c r="S74" s="269">
        <f>SUMPRODUCT(D8:D12,D44:D48)+SUMPRODUCT(D17:D19,D53:D55)</f>
        <v>291.26765510608402</v>
      </c>
      <c r="T74">
        <f>S74/S73</f>
        <v>0.48149147980004581</v>
      </c>
      <c r="U74" s="269"/>
      <c r="V74" s="260">
        <f>SUMPRODUCT(C8:C12,C44:C48)+SUMPRODUCT(C17:C19,C53:C55)</f>
        <v>188640.92625678587</v>
      </c>
      <c r="W74" s="266"/>
    </row>
    <row r="75" spans="1:23" x14ac:dyDescent="0.6">
      <c r="A75" s="6"/>
      <c r="B75" s="87"/>
      <c r="C75" s="268"/>
      <c r="D75" s="268"/>
      <c r="I75" s="258"/>
      <c r="O75" s="89"/>
      <c r="P75" s="260"/>
      <c r="Q75" s="103" t="s">
        <v>39</v>
      </c>
      <c r="S75" s="269">
        <f>SUMPRODUCT(M8:M12,D44:D48)+SUMPRODUCT(M17:M19,D53:D55)</f>
        <v>313.66029756930277</v>
      </c>
      <c r="U75" s="269"/>
      <c r="V75" s="260">
        <f>V73-V74</f>
        <v>199526.50655911915</v>
      </c>
      <c r="W75" s="266"/>
    </row>
    <row r="76" spans="1:23" x14ac:dyDescent="0.6">
      <c r="A76" s="15" t="s">
        <v>52</v>
      </c>
      <c r="B76" s="10" t="s">
        <v>53</v>
      </c>
      <c r="C76" s="12" t="str">
        <f t="shared" ref="C76:H76" si="13">+C6</f>
        <v>SC1</v>
      </c>
      <c r="D76" s="12" t="str">
        <f t="shared" si="13"/>
        <v>SC3</v>
      </c>
      <c r="E76" s="12" t="str">
        <f t="shared" si="13"/>
        <v>SC2 ND</v>
      </c>
      <c r="F76" s="12" t="str">
        <f t="shared" si="13"/>
        <v>SC4</v>
      </c>
      <c r="G76" s="12" t="str">
        <f t="shared" si="13"/>
        <v>SC6</v>
      </c>
      <c r="H76" s="12" t="str">
        <f t="shared" si="13"/>
        <v>SC2 Dem</v>
      </c>
      <c r="J76" s="8"/>
      <c r="N76" s="261"/>
      <c r="O76" s="267"/>
      <c r="W76" s="266"/>
    </row>
    <row r="77" spans="1:23" x14ac:dyDescent="0.6">
      <c r="A77" s="6"/>
      <c r="C77" s="105"/>
      <c r="D77" s="105"/>
      <c r="E77" s="105"/>
      <c r="N77" s="261"/>
      <c r="O77" s="89"/>
      <c r="P77" s="8"/>
      <c r="Q77" s="103" t="s">
        <v>40</v>
      </c>
      <c r="R77" s="8"/>
      <c r="S77" s="269">
        <f>+SUM(D49:D52)</f>
        <v>297.91189105921745</v>
      </c>
      <c r="T77" s="8"/>
      <c r="U77" s="269"/>
      <c r="V77" s="271">
        <f>V66</f>
        <v>306989.51012851886</v>
      </c>
      <c r="W77" s="266"/>
    </row>
    <row r="78" spans="1:23" x14ac:dyDescent="0.6">
      <c r="A78" s="6"/>
      <c r="B78" t="s">
        <v>54</v>
      </c>
      <c r="C78" s="270">
        <v>1.0867703581547521</v>
      </c>
      <c r="D78" s="270">
        <v>1.0867703581547521</v>
      </c>
      <c r="E78" s="270">
        <v>1.0867703581547521</v>
      </c>
      <c r="F78" s="270">
        <v>1.0829863317935586</v>
      </c>
      <c r="G78" s="270">
        <v>1.0829863317935586</v>
      </c>
      <c r="H78" s="270">
        <v>1.0867703581547521</v>
      </c>
      <c r="I78" s="270"/>
      <c r="J78" s="16"/>
      <c r="N78" s="261"/>
      <c r="O78" s="89"/>
      <c r="P78" s="260"/>
      <c r="Q78" s="103" t="s">
        <v>38</v>
      </c>
      <c r="S78" s="269">
        <f>+SUMPRODUCT(D13:D16,D49:D52)</f>
        <v>151.6149980225581</v>
      </c>
      <c r="T78">
        <f>S78/S77</f>
        <v>0.50892563396343526</v>
      </c>
      <c r="U78" s="269"/>
      <c r="V78" s="271">
        <f>+SUMPRODUCT(C12:C15,C49:C52)</f>
        <v>159614.42668342235</v>
      </c>
      <c r="W78" s="266"/>
    </row>
    <row r="79" spans="1:23" x14ac:dyDescent="0.6">
      <c r="A79" s="6"/>
      <c r="I79" s="270"/>
      <c r="J79" s="270"/>
      <c r="O79" s="89"/>
      <c r="P79" s="260"/>
      <c r="Q79" s="103" t="s">
        <v>39</v>
      </c>
      <c r="S79" s="269">
        <f>SUMPRODUCT(M13:M16,D49:D52)</f>
        <v>146.29689303665936</v>
      </c>
      <c r="U79" s="269"/>
      <c r="V79" s="260">
        <f>V77-V78</f>
        <v>147375.0834450965</v>
      </c>
      <c r="W79" s="266"/>
    </row>
    <row r="80" spans="1:23" x14ac:dyDescent="0.6">
      <c r="A80" s="6"/>
      <c r="B80" t="s">
        <v>55</v>
      </c>
      <c r="C80" s="270"/>
      <c r="I80" s="270"/>
      <c r="J80" s="270"/>
      <c r="O80" s="89"/>
      <c r="P80" s="260"/>
      <c r="Q80" s="103"/>
      <c r="S80" s="269"/>
      <c r="U80" s="269"/>
      <c r="W80" s="266"/>
    </row>
    <row r="81" spans="1:23" x14ac:dyDescent="0.6">
      <c r="A81" s="6"/>
      <c r="B81" t="s">
        <v>56</v>
      </c>
      <c r="C81" s="270">
        <v>1.0766068173408416</v>
      </c>
      <c r="D81" s="270">
        <v>1.0766068173408416</v>
      </c>
      <c r="E81" s="270">
        <v>1.0766068173408416</v>
      </c>
      <c r="F81" s="270">
        <v>1.0728581794184975</v>
      </c>
      <c r="G81" s="270">
        <v>1.0660255083227215</v>
      </c>
      <c r="H81" s="270">
        <v>1.0766068173408416</v>
      </c>
      <c r="I81" s="270"/>
      <c r="J81" s="270"/>
      <c r="O81" s="89"/>
      <c r="P81" s="260"/>
      <c r="Q81" s="103"/>
      <c r="S81" s="269"/>
      <c r="U81" s="269"/>
      <c r="W81" s="266"/>
    </row>
    <row r="82" spans="1:23" x14ac:dyDescent="0.6">
      <c r="A82" s="6"/>
      <c r="N82" s="261"/>
      <c r="O82" s="221"/>
      <c r="W82" s="266"/>
    </row>
    <row r="83" spans="1:23" x14ac:dyDescent="0.6">
      <c r="A83" s="15" t="s">
        <v>57</v>
      </c>
      <c r="B83" s="11" t="s">
        <v>58</v>
      </c>
      <c r="N83" s="261"/>
      <c r="O83" s="89"/>
      <c r="P83" t="s">
        <v>59</v>
      </c>
      <c r="W83" s="266"/>
    </row>
    <row r="84" spans="1:23" x14ac:dyDescent="0.6">
      <c r="A84" s="6"/>
      <c r="B84" s="211" t="s">
        <v>60</v>
      </c>
      <c r="N84" s="261"/>
      <c r="O84" s="267"/>
      <c r="P84" s="8"/>
      <c r="Q84" s="8"/>
      <c r="R84" s="8"/>
      <c r="S84" s="8" t="str">
        <f>S60</f>
        <v>SC3</v>
      </c>
      <c r="T84" s="8"/>
      <c r="U84" s="8"/>
      <c r="V84" s="8"/>
      <c r="W84" s="266"/>
    </row>
    <row r="85" spans="1:23" x14ac:dyDescent="0.6">
      <c r="A85" s="6"/>
      <c r="B85" s="4" t="s">
        <v>61</v>
      </c>
      <c r="O85" s="89"/>
      <c r="W85" s="266"/>
    </row>
    <row r="86" spans="1:23" x14ac:dyDescent="0.6">
      <c r="A86" s="6"/>
      <c r="B86" s="11"/>
      <c r="C86" s="12" t="str">
        <f t="shared" ref="C86:H86" si="14">+C6</f>
        <v>SC1</v>
      </c>
      <c r="D86" s="12" t="str">
        <f t="shared" si="14"/>
        <v>SC3</v>
      </c>
      <c r="E86" s="12" t="str">
        <f t="shared" si="14"/>
        <v>SC2 ND</v>
      </c>
      <c r="F86" s="12" t="str">
        <f t="shared" si="14"/>
        <v>SC4</v>
      </c>
      <c r="G86" s="12" t="str">
        <f t="shared" si="14"/>
        <v>SC6</v>
      </c>
      <c r="H86" s="12" t="str">
        <f t="shared" si="14"/>
        <v>SC2 Dem</v>
      </c>
      <c r="I86" s="8"/>
      <c r="J86" s="8"/>
      <c r="O86" s="89"/>
      <c r="P86" s="260"/>
      <c r="Q86" s="103" t="s">
        <v>62</v>
      </c>
      <c r="R86" s="260"/>
      <c r="S86" s="260"/>
      <c r="T86" s="260"/>
      <c r="U86" s="260"/>
      <c r="V86" s="260"/>
      <c r="W86" s="266"/>
    </row>
    <row r="87" spans="1:23" x14ac:dyDescent="0.6">
      <c r="A87" s="6"/>
      <c r="O87" s="89"/>
      <c r="P87" s="260"/>
      <c r="Q87" s="100" t="s">
        <v>63</v>
      </c>
      <c r="S87" s="260">
        <f>S74-S63</f>
        <v>75.663246217369448</v>
      </c>
      <c r="U87" s="260"/>
      <c r="V87" s="271">
        <f>V74-V63</f>
        <v>94278.354990988577</v>
      </c>
      <c r="W87" s="266"/>
    </row>
    <row r="88" spans="1:23" x14ac:dyDescent="0.6">
      <c r="A88" s="6"/>
      <c r="B88" s="87" t="s">
        <v>64</v>
      </c>
      <c r="C88" s="272">
        <f t="shared" ref="C88:H88" si="15">(SUMPRODUCT(C13:C16,C49:C52,$C67:$C70)*C78+SUMPRODUCT(L13:L16,C49:C52,$D67:$D70)*C78)/SUM(C49:C52)</f>
        <v>52.396159592811614</v>
      </c>
      <c r="D88" s="272">
        <f t="shared" si="15"/>
        <v>51.456698602045421</v>
      </c>
      <c r="E88" s="272">
        <f t="shared" si="15"/>
        <v>50.476861270592494</v>
      </c>
      <c r="F88" s="272">
        <f t="shared" si="15"/>
        <v>44.910370254500101</v>
      </c>
      <c r="G88" s="272">
        <f t="shared" si="15"/>
        <v>44.665046896920124</v>
      </c>
      <c r="H88" s="272">
        <f t="shared" si="15"/>
        <v>52.196745362575157</v>
      </c>
      <c r="I88" s="272"/>
      <c r="J88" s="272"/>
      <c r="O88" s="267"/>
      <c r="P88" s="260"/>
      <c r="Q88" s="103" t="s">
        <v>65</v>
      </c>
      <c r="S88" s="273">
        <f>S87*(D93-D94)</f>
        <v>615.01926630926823</v>
      </c>
      <c r="U88" s="273"/>
      <c r="V88" s="271">
        <f>V87*(C93-C94)</f>
        <v>782382.90735311073</v>
      </c>
      <c r="W88" s="266"/>
    </row>
    <row r="89" spans="1:23" x14ac:dyDescent="0.6">
      <c r="A89" s="6"/>
      <c r="B89" s="88" t="s">
        <v>66</v>
      </c>
      <c r="C89" s="272">
        <f t="shared" ref="C89:H89" si="16">(SUMPRODUCT(C13:C16,C49:C52,$C67:$C70)*C78)/SUMPRODUCT(C13:C16,C49:C52)</f>
        <v>62.898307783919144</v>
      </c>
      <c r="D89" s="272">
        <f t="shared" si="16"/>
        <v>61.98908862343356</v>
      </c>
      <c r="E89" s="272">
        <f t="shared" si="16"/>
        <v>62.228584928373941</v>
      </c>
      <c r="F89" s="272">
        <f t="shared" si="16"/>
        <v>60.505313516809487</v>
      </c>
      <c r="G89" s="272">
        <f t="shared" si="16"/>
        <v>60.231976717477032</v>
      </c>
      <c r="H89" s="272">
        <f t="shared" si="16"/>
        <v>61.943370644871031</v>
      </c>
      <c r="I89" s="272"/>
      <c r="J89" s="272"/>
      <c r="O89" s="89"/>
      <c r="Q89" s="103" t="s">
        <v>67</v>
      </c>
      <c r="S89" s="90">
        <f>ROUND(S88/S73,2)</f>
        <v>1.02</v>
      </c>
      <c r="U89" s="90"/>
      <c r="V89" s="90">
        <f>ROUND(V88/V73,2)</f>
        <v>2.02</v>
      </c>
      <c r="W89" s="266"/>
    </row>
    <row r="90" spans="1:23" x14ac:dyDescent="0.6">
      <c r="A90" s="6"/>
      <c r="B90" s="88" t="s">
        <v>68</v>
      </c>
      <c r="C90" s="272">
        <f t="shared" ref="C90:H90" si="17">(SUMPRODUCT(L13:L16,C49:C52,$D67:$D70)*C78)/SUMPRODUCT(L13:L16,C49:C52)</f>
        <v>41.0833743078651</v>
      </c>
      <c r="D90" s="272">
        <f t="shared" si="17"/>
        <v>40.54144087428611</v>
      </c>
      <c r="E90" s="272">
        <f t="shared" si="17"/>
        <v>40.750670082810551</v>
      </c>
      <c r="F90" s="272">
        <f t="shared" si="17"/>
        <v>40.404528320835468</v>
      </c>
      <c r="G90" s="272">
        <f t="shared" si="17"/>
        <v>40.193085920358349</v>
      </c>
      <c r="H90" s="272">
        <f t="shared" si="17"/>
        <v>40.665264846104584</v>
      </c>
      <c r="I90" s="272"/>
      <c r="J90" s="272"/>
      <c r="O90" s="89"/>
      <c r="P90" s="8"/>
      <c r="V90" s="8"/>
      <c r="W90" s="266"/>
    </row>
    <row r="91" spans="1:23" x14ac:dyDescent="0.6">
      <c r="A91" s="6"/>
      <c r="C91" s="274"/>
      <c r="D91" s="274"/>
      <c r="E91" s="274"/>
      <c r="F91" s="274"/>
      <c r="G91" s="274"/>
      <c r="H91" s="274"/>
      <c r="I91" s="274"/>
      <c r="J91" s="274"/>
      <c r="O91" s="89"/>
      <c r="P91" s="260"/>
      <c r="Q91" s="103" t="s">
        <v>69</v>
      </c>
      <c r="R91" s="8"/>
      <c r="S91" s="108"/>
      <c r="T91" s="8"/>
      <c r="U91" s="108"/>
      <c r="W91" s="266"/>
    </row>
    <row r="92" spans="1:23" x14ac:dyDescent="0.6">
      <c r="A92" s="6"/>
      <c r="B92" s="87" t="s">
        <v>70</v>
      </c>
      <c r="C92" s="272">
        <f t="shared" ref="C92:H92" si="18">(SUMPRODUCT(C8:C12,C44:C48,$C62:$C66)*C78+SUMPRODUCT(L8:L12,C44:C48,$D62:$D66)*C78+SUMPRODUCT(C17:C19,C53:C55,$C71:$C73)*C78+SUMPRODUCT(L17:L19,C53:C55,$D71:$D73)*C78)/SUM(C44:C48,C53:C55)</f>
        <v>54.51834975780703</v>
      </c>
      <c r="D92" s="272">
        <f t="shared" si="18"/>
        <v>53.933526281543031</v>
      </c>
      <c r="E92" s="272">
        <f t="shared" si="18"/>
        <v>55.468244675075724</v>
      </c>
      <c r="F92" s="272">
        <f t="shared" si="18"/>
        <v>52.471680891540522</v>
      </c>
      <c r="G92" s="272">
        <f t="shared" si="18"/>
        <v>52.113082365347871</v>
      </c>
      <c r="H92" s="272">
        <f t="shared" si="18"/>
        <v>54.844464034631002</v>
      </c>
      <c r="I92" s="272"/>
      <c r="J92" s="272"/>
      <c r="O92" s="89"/>
      <c r="P92" s="260"/>
      <c r="Q92" s="100" t="s">
        <v>63</v>
      </c>
      <c r="S92" s="260">
        <f>S78-S67</f>
        <v>27.867922994012645</v>
      </c>
      <c r="U92" s="260"/>
      <c r="V92" s="260">
        <f>V78-V67</f>
        <v>64902.886189235011</v>
      </c>
      <c r="W92" s="266"/>
    </row>
    <row r="93" spans="1:23" x14ac:dyDescent="0.6">
      <c r="A93" s="6"/>
      <c r="B93" s="88" t="s">
        <v>66</v>
      </c>
      <c r="C93" s="272">
        <f t="shared" ref="C93" si="19">(SUMPRODUCT(C8:C12,C44:C48,$C62:$C66)*C78+SUMPRODUCT(C17:C19,C53:C55,$C71:$C73)*C78)/(SUMPRODUCT(C8:C12,C44:C48)+SUMPRODUCT(C17:C19,C53:C55))</f>
        <v>58.784035536903303</v>
      </c>
      <c r="D93" s="272">
        <f>(SUMPRODUCT(D8:D12,D44:D48,$C62:$C66)*D78+SUMPRODUCT(D17:D19,D53:D55,$C71:$C73)*D78)/(SUMPRODUCT(D8:D12,D44:D48)+SUMPRODUCT(D17:D19,D53:D55))</f>
        <v>58.148158161760641</v>
      </c>
      <c r="E93" s="272">
        <f>(SUMPRODUCT(E8:E12,E44:E48,$C62:$C66)*E78+SUMPRODUCT(E17:E19,E53:E55,$C71:$C73)*E78)/(SUMPRODUCT(E8:E12,E44:E48)+SUMPRODUCT(E17:E19,E53:E55))</f>
        <v>60.311003203008639</v>
      </c>
      <c r="F93" s="272">
        <f>(SUMPRODUCT(F8:F12,F44:F48,$C62:$C66)*F78+SUMPRODUCT(F17:F19,F53:F55,$C71:$C73)*F78)/(SUMPRODUCT(F8:F12,F44:F48)+SUMPRODUCT(F17:F19,F53:F55))</f>
        <v>58.844284750184087</v>
      </c>
      <c r="G93" s="272">
        <f>(SUMPRODUCT(G8:G12,G44:G48,$C62:$C66)*G78+SUMPRODUCT(G17:G19,G53:G55,$C71:$C73)*G78)/(SUMPRODUCT(G8:G12,G44:G48)+SUMPRODUCT(G17:G19,G53:G55))</f>
        <v>58.454055485781886</v>
      </c>
      <c r="H93" s="272">
        <f>(SUMPRODUCT(H8:H12,H44:H48,$C62:$C66)*H78+SUMPRODUCT(H17:H19,H53:H55,$C71:$C73)*H78)/(SUMPRODUCT(H8:H12,H44:H48)+SUMPRODUCT(H17:H19,H53:H55))</f>
        <v>58.694232811323943</v>
      </c>
      <c r="I93" s="272"/>
      <c r="J93" s="272"/>
      <c r="Q93" s="103" t="s">
        <v>65</v>
      </c>
      <c r="S93" s="273">
        <f>S92*(D89-D90)</f>
        <v>597.70139587594974</v>
      </c>
      <c r="U93" s="273"/>
      <c r="V93" s="271">
        <f>V92*(C89-C90)</f>
        <v>1415852.1446220686</v>
      </c>
    </row>
    <row r="94" spans="1:23" x14ac:dyDescent="0.6">
      <c r="A94" s="6"/>
      <c r="B94" s="88" t="s">
        <v>68</v>
      </c>
      <c r="C94" s="272">
        <f t="shared" ref="C94:H94" si="20">(SUMPRODUCT(L8:L12,C44:C48,$D62:$D66)*C78+SUMPRODUCT(L17:L19,C53:C55,$D71:$D73)*C78)/(SUMPRODUCT(L8:L12,C44:C48)+SUMPRODUCT(L17:L19,C53:C55))</f>
        <v>50.485387268932428</v>
      </c>
      <c r="D94" s="272">
        <f t="shared" si="20"/>
        <v>50.019782800460284</v>
      </c>
      <c r="E94" s="272">
        <f t="shared" si="20"/>
        <v>51.306940546623693</v>
      </c>
      <c r="F94" s="272">
        <f t="shared" si="20"/>
        <v>49.876653422391456</v>
      </c>
      <c r="G94" s="272">
        <f t="shared" si="20"/>
        <v>49.538411055325874</v>
      </c>
      <c r="H94" s="272">
        <f t="shared" si="20"/>
        <v>50.382095111953227</v>
      </c>
      <c r="I94" s="272"/>
      <c r="J94" s="272"/>
      <c r="Q94" s="103" t="s">
        <v>67</v>
      </c>
      <c r="S94" s="90">
        <f>ROUND(S93/S77,2)</f>
        <v>2.0099999999999998</v>
      </c>
      <c r="U94" s="90"/>
      <c r="V94" s="90">
        <f>ROUND(V93/V77,2)</f>
        <v>4.6100000000000003</v>
      </c>
    </row>
    <row r="95" spans="1:23" x14ac:dyDescent="0.6">
      <c r="A95" s="6"/>
      <c r="C95" s="274"/>
      <c r="D95" s="274"/>
      <c r="E95" s="274"/>
      <c r="F95" s="274"/>
      <c r="G95" s="274"/>
      <c r="H95" s="274"/>
      <c r="I95" s="274"/>
      <c r="J95" s="274"/>
    </row>
    <row r="96" spans="1:23" x14ac:dyDescent="0.6">
      <c r="A96" s="6"/>
      <c r="B96" t="s">
        <v>71</v>
      </c>
      <c r="C96" s="272">
        <f t="shared" ref="C96" si="21">(C88*SUM(C49:C52)+C92*SUM(C44:C48,C53:C55))/C56</f>
        <v>53.58116553521689</v>
      </c>
      <c r="D96" s="274">
        <f>(D88*SUM(D49:D52)+D92*SUM(D44:D48,D53:D55))/D56</f>
        <v>53.116242437738876</v>
      </c>
      <c r="E96" s="274">
        <f>(E88*SUM(E49:E52)+E92*SUM(E44:E48,E53:E55))/E56</f>
        <v>54.061531180542453</v>
      </c>
      <c r="F96" s="274">
        <f>(F88*SUM(F49:F52)+F92*SUM(F44:F48,F53:F55))/F56</f>
        <v>50.343558419482797</v>
      </c>
      <c r="G96" s="274">
        <f>(G88*SUM(G49:G52)+G92*SUM(G44:G48,G53:G55))/G56</f>
        <v>49.978372219917944</v>
      </c>
      <c r="H96" s="274">
        <f>(H88*SUM(H49:H52)+H92*SUM(H44:H48,H53:H55))/H56</f>
        <v>53.8332496739378</v>
      </c>
      <c r="I96" s="274"/>
      <c r="J96" s="274"/>
    </row>
    <row r="97" spans="1:11" x14ac:dyDescent="0.6">
      <c r="A97" s="6"/>
      <c r="C97" s="272"/>
      <c r="D97" s="274"/>
      <c r="E97" s="274"/>
      <c r="F97" s="274"/>
      <c r="G97" s="274"/>
      <c r="H97" s="274"/>
      <c r="I97" s="274"/>
      <c r="J97" s="274"/>
    </row>
    <row r="98" spans="1:11" x14ac:dyDescent="0.6">
      <c r="A98" s="6"/>
      <c r="B98" t="s">
        <v>72</v>
      </c>
      <c r="C98" s="272">
        <f>SUMPRODUCT(C96:H96,C56:H56)/SUM(C56:H56)</f>
        <v>53.624998560996666</v>
      </c>
      <c r="D98" s="274"/>
      <c r="E98" s="274"/>
      <c r="F98" s="274"/>
      <c r="G98" s="274"/>
      <c r="H98" s="274"/>
      <c r="I98" s="274"/>
      <c r="J98" s="274"/>
    </row>
    <row r="99" spans="1:11" x14ac:dyDescent="0.6">
      <c r="A99" s="6"/>
      <c r="C99" s="272"/>
      <c r="D99" s="274"/>
      <c r="E99" s="274"/>
      <c r="F99" s="274"/>
      <c r="G99" s="274"/>
      <c r="H99" s="274"/>
      <c r="I99" s="274"/>
      <c r="J99" s="274"/>
      <c r="K99" s="274"/>
    </row>
    <row r="100" spans="1:11" x14ac:dyDescent="0.6">
      <c r="A100" s="6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pans="1:11" x14ac:dyDescent="0.6">
      <c r="A101" s="15" t="s">
        <v>73</v>
      </c>
      <c r="B101" s="11" t="s">
        <v>74</v>
      </c>
      <c r="C101" s="274"/>
      <c r="D101" s="274"/>
      <c r="E101" s="274"/>
      <c r="F101" s="274"/>
      <c r="G101" s="274"/>
      <c r="H101" s="274"/>
      <c r="I101" s="274"/>
      <c r="J101" s="274"/>
      <c r="K101" s="274"/>
    </row>
    <row r="102" spans="1:11" x14ac:dyDescent="0.6">
      <c r="A102" s="6"/>
      <c r="B102" s="4" t="s">
        <v>60</v>
      </c>
      <c r="C102" s="274"/>
      <c r="D102" s="274"/>
      <c r="E102" s="274"/>
      <c r="F102" s="274"/>
      <c r="G102" s="274"/>
      <c r="H102" s="274"/>
      <c r="I102" s="274"/>
      <c r="J102" s="274"/>
      <c r="K102" s="274"/>
    </row>
    <row r="103" spans="1:11" x14ac:dyDescent="0.6">
      <c r="A103" s="6"/>
      <c r="B103" s="4" t="s">
        <v>75</v>
      </c>
      <c r="C103" s="274"/>
      <c r="D103" s="274"/>
      <c r="E103" s="274"/>
      <c r="F103" s="274"/>
      <c r="G103" s="274"/>
      <c r="H103" s="274"/>
      <c r="I103" s="274"/>
      <c r="J103" s="274"/>
      <c r="K103" s="274"/>
    </row>
    <row r="104" spans="1:11" x14ac:dyDescent="0.6">
      <c r="A104" s="6"/>
      <c r="B104" s="11"/>
      <c r="C104" s="12" t="str">
        <f t="shared" ref="C104:H104" si="22">+C6</f>
        <v>SC1</v>
      </c>
      <c r="D104" s="12" t="str">
        <f t="shared" si="22"/>
        <v>SC3</v>
      </c>
      <c r="E104" s="12" t="str">
        <f t="shared" si="22"/>
        <v>SC2 ND</v>
      </c>
      <c r="F104" s="12" t="str">
        <f t="shared" si="22"/>
        <v>SC4</v>
      </c>
      <c r="G104" s="12" t="str">
        <f t="shared" si="22"/>
        <v>SC6</v>
      </c>
      <c r="H104" s="12" t="str">
        <f t="shared" si="22"/>
        <v>SC2 Dem</v>
      </c>
      <c r="I104" s="8"/>
      <c r="J104" s="8"/>
    </row>
    <row r="105" spans="1:11" x14ac:dyDescent="0.6">
      <c r="A105" s="6"/>
      <c r="C105" s="108"/>
    </row>
    <row r="106" spans="1:11" x14ac:dyDescent="0.6">
      <c r="A106" s="6"/>
      <c r="B106" s="87" t="s">
        <v>64</v>
      </c>
      <c r="C106" s="107">
        <f t="shared" ref="C106" si="23">SUM(C49:C52)*C88/1000</f>
        <v>16085.071366012931</v>
      </c>
      <c r="D106" s="107">
        <f>SUM(D49:D52)*D88/1000</f>
        <v>15.329562388199541</v>
      </c>
      <c r="E106" s="107">
        <f>SUM(E49:E52)*E88/1000</f>
        <v>202.91698230778181</v>
      </c>
      <c r="F106" s="107">
        <f>SUM(F49:F52)*F88/1000</f>
        <v>80.434473125809689</v>
      </c>
      <c r="G106" s="107">
        <f>SUM(G49:G52)*G88/1000</f>
        <v>63.022381171554301</v>
      </c>
      <c r="H106" s="107">
        <f>SUM(H49:H52)*H88/1000</f>
        <v>6082.1320227389278</v>
      </c>
      <c r="I106" s="107"/>
      <c r="J106" s="107"/>
    </row>
    <row r="107" spans="1:11" x14ac:dyDescent="0.6">
      <c r="A107" s="6"/>
      <c r="B107" s="88" t="s">
        <v>66</v>
      </c>
      <c r="C107" s="107">
        <f t="shared" ref="C107" si="24">SUMPRODUCT(C49:C52,C13:C16)*C89/1000</f>
        <v>10013.321227761402</v>
      </c>
      <c r="D107" s="107">
        <f>SUMPRODUCT(D49:D52,D13:D16)*D89/1000</f>
        <v>9.3984755490620575</v>
      </c>
      <c r="E107" s="107">
        <f>SUMPRODUCT(E49:E52,E13:E16)*E89/1000</f>
        <v>113.28350155107013</v>
      </c>
      <c r="F107" s="107">
        <f>SUMPRODUCT(F49:F52,F13:F16)*F89/1000</f>
        <v>24.291371245762736</v>
      </c>
      <c r="G107" s="107">
        <f>SUMPRODUCT(G49:G52,G13:G16)*G89/1000</f>
        <v>18.966118363632933</v>
      </c>
      <c r="H107" s="107">
        <f>SUMPRODUCT(H49:H52,H13:H16)*H89/1000</f>
        <v>3911.644320325403</v>
      </c>
      <c r="I107" s="107"/>
      <c r="J107" s="107"/>
    </row>
    <row r="108" spans="1:11" x14ac:dyDescent="0.6">
      <c r="A108" s="6"/>
      <c r="B108" s="88" t="s">
        <v>68</v>
      </c>
      <c r="C108" s="107">
        <f t="shared" ref="C108:H108" si="25">SUMPRODUCT(C49:C52,L13:L16)*C90/1000</f>
        <v>6071.7501382515293</v>
      </c>
      <c r="D108" s="107">
        <f t="shared" si="25"/>
        <v>5.9310868391374845</v>
      </c>
      <c r="E108" s="107">
        <f t="shared" si="25"/>
        <v>89.633480756711677</v>
      </c>
      <c r="F108" s="107">
        <f t="shared" si="25"/>
        <v>56.143101880046949</v>
      </c>
      <c r="G108" s="107">
        <f t="shared" si="25"/>
        <v>44.056262807921371</v>
      </c>
      <c r="H108" s="107">
        <f t="shared" si="25"/>
        <v>2170.4877024135249</v>
      </c>
      <c r="I108" s="107"/>
      <c r="J108" s="107"/>
    </row>
    <row r="109" spans="1:11" x14ac:dyDescent="0.6">
      <c r="A109" s="6"/>
      <c r="C109" s="106"/>
      <c r="D109" s="106"/>
      <c r="E109" s="106"/>
      <c r="F109" s="106"/>
      <c r="G109" s="106"/>
      <c r="H109" s="106"/>
      <c r="I109" s="106"/>
      <c r="J109" s="106"/>
    </row>
    <row r="110" spans="1:11" x14ac:dyDescent="0.6">
      <c r="A110" s="6"/>
      <c r="B110" s="87" t="s">
        <v>70</v>
      </c>
      <c r="C110" s="106">
        <f t="shared" ref="C110" si="26">SUM(C44:C48,C53:C55)*C92/1000</f>
        <v>21162.247866847571</v>
      </c>
      <c r="D110" s="106">
        <f>SUM(D44:D48,D53:D55)*D92/1000</f>
        <v>32.625897634057985</v>
      </c>
      <c r="E110" s="106">
        <f>SUM(E44:E48,E53:E55)*E92/1000</f>
        <v>568.21669845147574</v>
      </c>
      <c r="F110" s="106">
        <f>SUM(F44:F48,F53:F55)*F92/1000</f>
        <v>239.92676087656906</v>
      </c>
      <c r="G110" s="106">
        <f>SUM(G44:G48,G53:G55)*G92/1000</f>
        <v>183.02114526710173</v>
      </c>
      <c r="H110" s="106">
        <f>SUM(H44:H48,H53:H55)*H92/1000</f>
        <v>10342.347854531814</v>
      </c>
      <c r="I110" s="106"/>
      <c r="J110" s="106"/>
    </row>
    <row r="111" spans="1:11" x14ac:dyDescent="0.6">
      <c r="A111" s="6"/>
      <c r="B111" s="88" t="s">
        <v>66</v>
      </c>
      <c r="C111" s="107">
        <f t="shared" ref="C111" si="27">(SUMPRODUCT(C44:C48,C8:C12)+SUMPRODUCT(C53:C55,C17:C19))*C93/1000</f>
        <v>11089.074912793256</v>
      </c>
      <c r="D111" s="107">
        <f>(SUMPRODUCT(D44:D48,D8:D12)+SUMPRODUCT(D53:D55,D17:D19))*D93/1000</f>
        <v>16.936677676513721</v>
      </c>
      <c r="E111" s="107">
        <f>(SUMPRODUCT(E44:E48,E8:E12)+SUMPRODUCT(E53:E55,E17:E19))*E93/1000</f>
        <v>285.5335015321935</v>
      </c>
      <c r="F111" s="107">
        <f>(SUMPRODUCT(F44:F48,F8:F12)+SUMPRODUCT(F53:F55,F17:F19))*F93/1000</f>
        <v>77.861401441492887</v>
      </c>
      <c r="G111" s="107">
        <f>(SUMPRODUCT(G44:G48,G8:G12)+SUMPRODUCT(G53:G55,G17:G19))*G93/1000</f>
        <v>59.28409690696899</v>
      </c>
      <c r="H111" s="107">
        <f>(SUMPRODUCT(H44:H48,H8:H12)+SUMPRODUCT(H53:H55,H17:H19))*H93/1000</f>
        <v>5942.0255871281543</v>
      </c>
      <c r="I111" s="107"/>
      <c r="J111" s="107"/>
    </row>
    <row r="112" spans="1:11" x14ac:dyDescent="0.6">
      <c r="A112" s="6"/>
      <c r="B112" s="88" t="s">
        <v>68</v>
      </c>
      <c r="C112" s="107">
        <f t="shared" ref="C112:H112" si="28">+(SUMPRODUCT(C44:C48,L8:L12)+SUMPRODUCT(C53:C55,L17:L19))*C94/1000</f>
        <v>10073.172954054317</v>
      </c>
      <c r="D112" s="107">
        <f t="shared" si="28"/>
        <v>15.689219957544264</v>
      </c>
      <c r="E112" s="107">
        <f t="shared" si="28"/>
        <v>282.68319691928218</v>
      </c>
      <c r="F112" s="107">
        <f t="shared" si="28"/>
        <v>162.06535943507612</v>
      </c>
      <c r="G112" s="107">
        <f t="shared" si="28"/>
        <v>123.73704836013276</v>
      </c>
      <c r="H112" s="107">
        <f t="shared" si="28"/>
        <v>4400.3222674036606</v>
      </c>
      <c r="I112" s="107"/>
      <c r="J112" s="107"/>
    </row>
    <row r="113" spans="1:10" x14ac:dyDescent="0.6">
      <c r="A113" s="6"/>
      <c r="C113" s="274"/>
      <c r="D113" s="274"/>
      <c r="E113" s="274"/>
      <c r="F113" s="274"/>
      <c r="G113" s="274"/>
      <c r="H113" s="274"/>
      <c r="I113" s="274"/>
      <c r="J113" s="274"/>
    </row>
    <row r="114" spans="1:10" x14ac:dyDescent="0.6">
      <c r="A114" s="6"/>
      <c r="B114" t="s">
        <v>71</v>
      </c>
      <c r="C114" s="106">
        <f>+C106+C110</f>
        <v>37247.3192328605</v>
      </c>
      <c r="D114" s="106">
        <f t="shared" ref="D114:H114" si="29">+D106+D110</f>
        <v>47.955460022257526</v>
      </c>
      <c r="E114" s="106">
        <f t="shared" si="29"/>
        <v>771.13368075925757</v>
      </c>
      <c r="F114" s="106">
        <f t="shared" si="29"/>
        <v>320.36123400237875</v>
      </c>
      <c r="G114" s="106">
        <f t="shared" si="29"/>
        <v>246.04352643865604</v>
      </c>
      <c r="H114" s="106">
        <f t="shared" si="29"/>
        <v>16424.479877270744</v>
      </c>
      <c r="I114" s="106"/>
      <c r="J114" s="106"/>
    </row>
    <row r="115" spans="1:10" x14ac:dyDescent="0.6">
      <c r="A115" s="6"/>
    </row>
    <row r="116" spans="1:10" x14ac:dyDescent="0.6">
      <c r="A116" s="6"/>
      <c r="B116" t="s">
        <v>72</v>
      </c>
      <c r="C116" s="107">
        <f>SUM(C114:H114)</f>
        <v>55057.293011353788</v>
      </c>
      <c r="D116" s="104"/>
      <c r="E116" s="272"/>
    </row>
    <row r="117" spans="1:10" x14ac:dyDescent="0.6">
      <c r="A117" s="6"/>
    </row>
    <row r="118" spans="1:10" x14ac:dyDescent="0.6">
      <c r="A118" s="6"/>
    </row>
    <row r="119" spans="1:10" x14ac:dyDescent="0.6">
      <c r="A119" s="15" t="s">
        <v>76</v>
      </c>
      <c r="B119" s="5" t="s">
        <v>77</v>
      </c>
      <c r="C119" s="274"/>
    </row>
    <row r="120" spans="1:10" x14ac:dyDescent="0.6">
      <c r="A120" s="6"/>
      <c r="B120" s="211" t="s">
        <v>78</v>
      </c>
      <c r="C120" s="274"/>
    </row>
    <row r="121" spans="1:10" x14ac:dyDescent="0.6">
      <c r="A121" s="6"/>
      <c r="B121" s="4"/>
      <c r="C121" s="274"/>
    </row>
    <row r="122" spans="1:10" x14ac:dyDescent="0.6">
      <c r="A122" s="6"/>
      <c r="B122" s="11"/>
      <c r="C122" s="12" t="str">
        <f t="shared" ref="C122:H122" si="30">+C6</f>
        <v>SC1</v>
      </c>
      <c r="D122" s="12" t="str">
        <f t="shared" si="30"/>
        <v>SC3</v>
      </c>
      <c r="E122" s="12" t="str">
        <f t="shared" si="30"/>
        <v>SC2 ND</v>
      </c>
      <c r="F122" s="12" t="str">
        <f t="shared" si="30"/>
        <v>SC4</v>
      </c>
      <c r="G122" s="12" t="str">
        <f t="shared" si="30"/>
        <v>SC6</v>
      </c>
      <c r="H122" s="12" t="str">
        <f t="shared" si="30"/>
        <v>SC2 Dem</v>
      </c>
      <c r="I122" s="12" t="str">
        <f>$I$24</f>
        <v>SC1 TOD</v>
      </c>
      <c r="J122" s="8"/>
    </row>
    <row r="123" spans="1:10" x14ac:dyDescent="0.6">
      <c r="A123" s="6"/>
      <c r="C123" s="108"/>
    </row>
    <row r="124" spans="1:10" x14ac:dyDescent="0.6">
      <c r="A124" s="6"/>
      <c r="B124" s="87" t="s">
        <v>64</v>
      </c>
      <c r="C124" s="272">
        <f t="shared" ref="C124" si="31">+C106/SUM(C49:C52)*1000</f>
        <v>52.396159592811614</v>
      </c>
      <c r="D124" s="272">
        <f>+D106/SUM(D49:D52)*1000</f>
        <v>51.456698602045414</v>
      </c>
      <c r="E124" s="272">
        <f>+E106/SUM(E49:E52)*1000</f>
        <v>50.476861270592494</v>
      </c>
      <c r="F124" s="272">
        <f>+F106/SUM(F49:F52)*1000</f>
        <v>44.910370254500108</v>
      </c>
      <c r="G124" s="272">
        <f>+G106/SUM(G49:G52)*1000</f>
        <v>44.665046896920131</v>
      </c>
      <c r="H124" s="272">
        <f>+H106/SUM(H49:H52)*1000</f>
        <v>52.196745362575157</v>
      </c>
      <c r="I124" s="272">
        <f>+C106/SUM(C49:C52)*1000</f>
        <v>52.396159592811614</v>
      </c>
      <c r="J124" s="272"/>
    </row>
    <row r="125" spans="1:10" x14ac:dyDescent="0.6">
      <c r="A125" s="6"/>
      <c r="B125" s="88" t="s">
        <v>79</v>
      </c>
      <c r="C125" s="107"/>
      <c r="D125" s="272">
        <f>D89+S94</f>
        <v>63.999088623433558</v>
      </c>
      <c r="E125" s="107"/>
      <c r="F125" s="107"/>
      <c r="G125" s="107"/>
      <c r="H125" s="107"/>
      <c r="I125" s="272">
        <f>C89+V94</f>
        <v>67.50830778391915</v>
      </c>
      <c r="J125" s="272"/>
    </row>
    <row r="126" spans="1:10" x14ac:dyDescent="0.6">
      <c r="A126" s="6"/>
      <c r="B126" s="88" t="s">
        <v>80</v>
      </c>
      <c r="C126" s="107"/>
      <c r="D126" s="272">
        <f>D90+S94</f>
        <v>42.551440874286108</v>
      </c>
      <c r="E126" s="107"/>
      <c r="F126" s="107"/>
      <c r="G126" s="107"/>
      <c r="H126" s="107"/>
      <c r="I126" s="272">
        <f>C90+V94</f>
        <v>45.693374307865099</v>
      </c>
      <c r="J126" s="272"/>
    </row>
    <row r="127" spans="1:10" x14ac:dyDescent="0.6">
      <c r="A127" s="6"/>
      <c r="C127" s="106"/>
      <c r="D127" s="106"/>
      <c r="E127" s="106"/>
      <c r="F127" s="106"/>
      <c r="G127" s="106"/>
      <c r="H127" s="106"/>
      <c r="I127" s="106"/>
      <c r="J127" s="106"/>
    </row>
    <row r="128" spans="1:10" x14ac:dyDescent="0.6">
      <c r="A128" s="6"/>
      <c r="B128" s="87" t="s">
        <v>70</v>
      </c>
      <c r="C128" s="274">
        <f t="shared" ref="C128" si="32">+C110/SUM(C44:C48,C53:C55)*1000</f>
        <v>54.518349757807023</v>
      </c>
      <c r="D128" s="274">
        <f>+D110/SUM(D44:D48,D53:D55)*1000</f>
        <v>53.933526281543024</v>
      </c>
      <c r="E128" s="274">
        <f>+E110/SUM(E44:E48,E53:E55)*1000</f>
        <v>55.468244675075724</v>
      </c>
      <c r="F128" s="274">
        <f>+F110/SUM(F44:F48,F53:F55)*1000</f>
        <v>52.47168089154053</v>
      </c>
      <c r="G128" s="274">
        <f>+G110/SUM(G44:G48,G53:G55)*1000</f>
        <v>52.113082365347879</v>
      </c>
      <c r="H128" s="274">
        <f>+H110/SUM(H44:H48,H53:H55)*1000</f>
        <v>54.844464034631009</v>
      </c>
      <c r="I128" s="274">
        <f>C128</f>
        <v>54.518349757807023</v>
      </c>
      <c r="J128" s="274"/>
    </row>
    <row r="129" spans="1:21" x14ac:dyDescent="0.6">
      <c r="A129" s="6"/>
      <c r="B129" s="88" t="s">
        <v>79</v>
      </c>
      <c r="C129" s="107"/>
      <c r="D129" s="272">
        <f>D93+S89</f>
        <v>59.168158161760644</v>
      </c>
      <c r="E129" s="107"/>
      <c r="F129" s="107"/>
      <c r="G129" s="107"/>
      <c r="H129" s="107"/>
      <c r="I129" s="272">
        <f>C93+V89</f>
        <v>60.804035536903307</v>
      </c>
      <c r="J129" s="272"/>
    </row>
    <row r="130" spans="1:21" x14ac:dyDescent="0.6">
      <c r="A130" s="6"/>
      <c r="B130" s="88" t="s">
        <v>80</v>
      </c>
      <c r="C130" s="107"/>
      <c r="D130" s="272">
        <f>D94+S89</f>
        <v>51.039782800460287</v>
      </c>
      <c r="E130" s="107"/>
      <c r="F130" s="107"/>
      <c r="G130" s="107"/>
      <c r="H130" s="107"/>
      <c r="I130" s="272">
        <f>C94+V89</f>
        <v>52.505387268932431</v>
      </c>
      <c r="J130" s="272"/>
    </row>
    <row r="131" spans="1:21" x14ac:dyDescent="0.6">
      <c r="A131" s="6"/>
      <c r="C131" s="274"/>
      <c r="D131" s="274"/>
      <c r="E131" s="274"/>
      <c r="F131" s="274"/>
      <c r="G131" s="274"/>
      <c r="H131" s="274"/>
      <c r="I131" s="274"/>
      <c r="J131" s="274"/>
    </row>
    <row r="132" spans="1:21" x14ac:dyDescent="0.6">
      <c r="A132" s="6"/>
      <c r="B132" t="s">
        <v>81</v>
      </c>
      <c r="C132" s="272">
        <f t="shared" ref="C132:H132" si="33">(C124*SUM(C49:C52)+C128*SUM(C44:C48,C53:C55))/C56</f>
        <v>53.58116553521689</v>
      </c>
      <c r="D132" s="272">
        <f t="shared" si="33"/>
        <v>53.116242437738876</v>
      </c>
      <c r="E132" s="272">
        <f t="shared" si="33"/>
        <v>54.061531180542453</v>
      </c>
      <c r="F132" s="272">
        <f t="shared" si="33"/>
        <v>50.343558419482797</v>
      </c>
      <c r="G132" s="272">
        <f t="shared" si="33"/>
        <v>49.978372219917951</v>
      </c>
      <c r="H132" s="272">
        <f t="shared" si="33"/>
        <v>53.833249673937807</v>
      </c>
      <c r="I132" s="272">
        <f>(I124*SUM(C49:C52)+I128*SUM(C44:C48,C53:C55))/C56</f>
        <v>53.58116553521689</v>
      </c>
      <c r="J132" s="272"/>
    </row>
    <row r="133" spans="1:21" x14ac:dyDescent="0.6">
      <c r="A133" s="6"/>
      <c r="B133" t="s">
        <v>82</v>
      </c>
      <c r="C133" s="272">
        <f>+C116/SUM(C56:H56)*1000</f>
        <v>53.624998560996659</v>
      </c>
    </row>
    <row r="134" spans="1:21" x14ac:dyDescent="0.6">
      <c r="A134" s="6"/>
    </row>
    <row r="135" spans="1:21" x14ac:dyDescent="0.6">
      <c r="A135" s="15" t="s">
        <v>83</v>
      </c>
      <c r="B135" s="5" t="s">
        <v>84</v>
      </c>
    </row>
    <row r="136" spans="1:21" x14ac:dyDescent="0.6">
      <c r="A136" s="6"/>
      <c r="B136" s="211" t="str">
        <f>"Obligations - annual average forecasted for " &amp;M1-1 &amp;"; costs are market estimates"</f>
        <v>Obligations - annual average forecasted for 2024; costs are market estimates</v>
      </c>
      <c r="L136" s="275"/>
    </row>
    <row r="137" spans="1:21" x14ac:dyDescent="0.6">
      <c r="A137" s="6"/>
      <c r="B137" s="4" t="s">
        <v>85</v>
      </c>
      <c r="C137" s="12" t="str">
        <f t="shared" ref="C137:H137" si="34">+C6</f>
        <v>SC1</v>
      </c>
      <c r="D137" s="12" t="str">
        <f t="shared" si="34"/>
        <v>SC3</v>
      </c>
      <c r="E137" s="12" t="str">
        <f t="shared" si="34"/>
        <v>SC2 ND</v>
      </c>
      <c r="F137" s="12" t="str">
        <f t="shared" si="34"/>
        <v>SC4</v>
      </c>
      <c r="G137" s="12" t="str">
        <f t="shared" si="34"/>
        <v>SC6</v>
      </c>
      <c r="H137" s="12" t="str">
        <f t="shared" si="34"/>
        <v>SC2 Dem</v>
      </c>
      <c r="I137" s="12" t="s">
        <v>86</v>
      </c>
      <c r="J137" s="8"/>
      <c r="L137" s="275"/>
    </row>
    <row r="138" spans="1:21" x14ac:dyDescent="0.6">
      <c r="A138" s="6"/>
    </row>
    <row r="139" spans="1:21" x14ac:dyDescent="0.6">
      <c r="A139" s="6"/>
      <c r="B139" t="s">
        <v>87</v>
      </c>
      <c r="C139" s="276">
        <v>294.98999999999995</v>
      </c>
      <c r="D139" s="276">
        <v>8.4000000000000005E-2</v>
      </c>
      <c r="E139" s="276">
        <v>2.7759999999999998</v>
      </c>
      <c r="F139" s="277">
        <v>0</v>
      </c>
      <c r="G139" s="277">
        <v>0</v>
      </c>
      <c r="H139" s="276">
        <v>90.248000000000005</v>
      </c>
      <c r="I139" s="276">
        <f>SUM(C139:H139)</f>
        <v>388.09799999999996</v>
      </c>
      <c r="J139" s="278"/>
      <c r="K139" s="276"/>
      <c r="L139" s="276"/>
      <c r="M139" s="276"/>
      <c r="N139" s="276"/>
      <c r="O139" s="276"/>
      <c r="P139" s="276"/>
      <c r="Q139" s="276"/>
      <c r="R139" s="268"/>
      <c r="S139" s="268"/>
      <c r="T139" s="268"/>
      <c r="U139" s="268"/>
    </row>
    <row r="140" spans="1:21" x14ac:dyDescent="0.6">
      <c r="A140" s="6"/>
      <c r="C140" s="276"/>
      <c r="D140" s="276"/>
      <c r="E140" s="276"/>
      <c r="F140" s="276"/>
      <c r="G140" s="276"/>
      <c r="H140" s="276"/>
      <c r="I140" s="276"/>
    </row>
    <row r="141" spans="1:21" x14ac:dyDescent="0.6">
      <c r="A141" s="6"/>
      <c r="B141" t="s">
        <v>88</v>
      </c>
      <c r="C141" s="276">
        <v>254.566</v>
      </c>
      <c r="D141" s="276">
        <v>5.8999999999999997E-2</v>
      </c>
      <c r="E141" s="276">
        <v>2.589</v>
      </c>
      <c r="F141" s="277">
        <v>0</v>
      </c>
      <c r="G141" s="277">
        <v>0</v>
      </c>
      <c r="H141" s="276">
        <v>87.713999999999999</v>
      </c>
      <c r="I141" s="276">
        <f>SUM(C141:H141)</f>
        <v>344.928</v>
      </c>
      <c r="J141" s="278"/>
      <c r="K141" s="276"/>
      <c r="L141" s="276"/>
      <c r="P141" s="276"/>
      <c r="Q141" s="276"/>
      <c r="R141" s="268"/>
      <c r="S141" s="268"/>
      <c r="T141" s="268"/>
      <c r="U141" s="268"/>
    </row>
    <row r="142" spans="1:21" x14ac:dyDescent="0.6">
      <c r="A142" s="6"/>
      <c r="C142" s="277"/>
      <c r="D142" s="277"/>
      <c r="E142" s="277"/>
      <c r="F142" s="277"/>
      <c r="G142" s="277"/>
      <c r="H142" s="277"/>
      <c r="I142" s="277"/>
      <c r="J142" s="277"/>
    </row>
    <row r="143" spans="1:21" x14ac:dyDescent="0.6">
      <c r="A143" s="6"/>
      <c r="B143" t="s">
        <v>89</v>
      </c>
      <c r="F143" s="277"/>
      <c r="G143" s="277"/>
      <c r="H143" s="277"/>
      <c r="I143" s="279"/>
      <c r="J143" s="277"/>
    </row>
    <row r="144" spans="1:21" x14ac:dyDescent="0.6">
      <c r="A144" s="6"/>
      <c r="D144" s="103" t="s">
        <v>90</v>
      </c>
      <c r="E144" s="187">
        <f>(DATE($M$1,10,1))-(DATE($M$1,6,1))</f>
        <v>122</v>
      </c>
      <c r="G144" s="103" t="s">
        <v>91</v>
      </c>
      <c r="H144">
        <v>4</v>
      </c>
      <c r="I144" s="277"/>
      <c r="J144" s="277"/>
      <c r="K144" s="280"/>
      <c r="L144" s="281"/>
    </row>
    <row r="145" spans="1:12" x14ac:dyDescent="0.6">
      <c r="A145" s="6"/>
      <c r="D145" s="100" t="s">
        <v>92</v>
      </c>
      <c r="E145" s="187">
        <f>(DATE($M$1+1,6,1))-(DATE($M$1,10,1))</f>
        <v>243</v>
      </c>
      <c r="G145" s="100" t="s">
        <v>93</v>
      </c>
      <c r="H145">
        <v>8</v>
      </c>
      <c r="I145" s="277"/>
      <c r="J145" s="277"/>
      <c r="K145" s="280"/>
      <c r="L145" s="281"/>
    </row>
    <row r="146" spans="1:12" x14ac:dyDescent="0.6">
      <c r="A146" s="6"/>
      <c r="G146" s="103" t="s">
        <v>94</v>
      </c>
      <c r="H146">
        <f>+H144+H145</f>
        <v>12</v>
      </c>
      <c r="I146" s="277"/>
      <c r="J146" s="277"/>
      <c r="K146" s="277"/>
    </row>
    <row r="147" spans="1:12" x14ac:dyDescent="0.6">
      <c r="A147" s="6"/>
      <c r="B147" t="s">
        <v>95</v>
      </c>
      <c r="C147" s="106">
        <v>53766</v>
      </c>
      <c r="D147" s="93" t="s">
        <v>96</v>
      </c>
      <c r="E147" s="282">
        <f>C147/SUM(E144:E145)</f>
        <v>147.3041095890411</v>
      </c>
      <c r="F147" s="282"/>
    </row>
    <row r="148" spans="1:12" x14ac:dyDescent="0.6">
      <c r="A148" s="6"/>
    </row>
    <row r="149" spans="1:12" x14ac:dyDescent="0.6">
      <c r="A149" s="6"/>
      <c r="B149" t="s">
        <v>97</v>
      </c>
      <c r="C149" t="s">
        <v>98</v>
      </c>
      <c r="D149" s="283">
        <f>F449</f>
        <v>72.11</v>
      </c>
      <c r="E149" s="93" t="s">
        <v>99</v>
      </c>
      <c r="G149" s="100" t="s">
        <v>100</v>
      </c>
      <c r="H149" s="103" t="s">
        <v>101</v>
      </c>
      <c r="I149" s="274">
        <f>+D149*365/1000</f>
        <v>26.320150000000002</v>
      </c>
      <c r="J149" t="s">
        <v>102</v>
      </c>
    </row>
    <row r="150" spans="1:12" x14ac:dyDescent="0.6">
      <c r="A150" s="6"/>
      <c r="B150" s="96" t="s">
        <v>103</v>
      </c>
      <c r="C150" t="s">
        <v>104</v>
      </c>
      <c r="D150" s="283">
        <f>F451</f>
        <v>68.88</v>
      </c>
      <c r="E150" s="93" t="s">
        <v>99</v>
      </c>
      <c r="H150" s="103" t="s">
        <v>105</v>
      </c>
      <c r="I150" s="274">
        <f>+D150*365/1000</f>
        <v>25.141199999999998</v>
      </c>
      <c r="J150" t="s">
        <v>102</v>
      </c>
      <c r="L150" s="275"/>
    </row>
    <row r="151" spans="1:12" x14ac:dyDescent="0.6">
      <c r="A151" s="6"/>
      <c r="D151" s="283"/>
      <c r="E151" s="93"/>
      <c r="H151" s="103"/>
      <c r="I151" s="274"/>
      <c r="L151" s="275"/>
    </row>
    <row r="152" spans="1:12" x14ac:dyDescent="0.6">
      <c r="A152" s="6"/>
      <c r="B152" s="96" t="s">
        <v>106</v>
      </c>
      <c r="L152" s="281"/>
    </row>
    <row r="153" spans="1:12" x14ac:dyDescent="0.6">
      <c r="A153" s="6"/>
      <c r="B153" s="211" t="s">
        <v>107</v>
      </c>
    </row>
    <row r="154" spans="1:12" x14ac:dyDescent="0.6">
      <c r="A154" s="6"/>
      <c r="B154" s="4"/>
      <c r="C154" s="223" t="str">
        <f>" ---------- "&amp;C6&amp;" ----------"</f>
        <v xml:space="preserve"> ---------- SC1 ----------</v>
      </c>
      <c r="D154" s="284"/>
      <c r="E154" s="284"/>
      <c r="H154" s="223"/>
      <c r="I154" s="284"/>
      <c r="J154" s="284"/>
    </row>
    <row r="155" spans="1:12" x14ac:dyDescent="0.6">
      <c r="A155" s="6"/>
      <c r="C155" s="103" t="s">
        <v>108</v>
      </c>
      <c r="D155" s="103"/>
      <c r="E155" s="103" t="s">
        <v>109</v>
      </c>
      <c r="H155" s="223"/>
      <c r="I155" s="284"/>
      <c r="J155" s="284"/>
    </row>
    <row r="156" spans="1:12" x14ac:dyDescent="0.6">
      <c r="A156" s="6"/>
      <c r="B156" s="100" t="s">
        <v>110</v>
      </c>
      <c r="C156" s="102">
        <v>6.0140000000000002</v>
      </c>
      <c r="D156" t="s">
        <v>111</v>
      </c>
      <c r="E156" s="256">
        <v>0.42970000000000003</v>
      </c>
      <c r="H156" s="223"/>
      <c r="I156" s="284"/>
      <c r="J156" s="284"/>
    </row>
    <row r="157" spans="1:12" x14ac:dyDescent="0.6">
      <c r="A157" s="6"/>
      <c r="B157" s="100" t="s">
        <v>112</v>
      </c>
      <c r="C157" s="102">
        <v>13.021000000000003</v>
      </c>
      <c r="D157" t="s">
        <v>111</v>
      </c>
      <c r="E157" s="256">
        <v>0.57030000000000003</v>
      </c>
      <c r="H157" s="223"/>
      <c r="I157" s="284"/>
      <c r="J157" s="284"/>
    </row>
    <row r="158" spans="1:12" x14ac:dyDescent="0.6">
      <c r="A158" s="6"/>
      <c r="B158" s="103" t="s">
        <v>113</v>
      </c>
      <c r="C158" s="102">
        <f>+C157-C156</f>
        <v>7.0070000000000023</v>
      </c>
      <c r="D158" t="s">
        <v>111</v>
      </c>
      <c r="H158" s="223"/>
      <c r="I158" s="284"/>
      <c r="J158" s="284"/>
    </row>
    <row r="159" spans="1:12" x14ac:dyDescent="0.6">
      <c r="A159"/>
      <c r="F159" s="4"/>
    </row>
    <row r="160" spans="1:12" x14ac:dyDescent="0.6">
      <c r="A160" s="15" t="s">
        <v>114</v>
      </c>
      <c r="B160" s="11" t="s">
        <v>115</v>
      </c>
    </row>
    <row r="161" spans="1:10" x14ac:dyDescent="0.6">
      <c r="A161" s="6"/>
      <c r="B161" s="4" t="s">
        <v>116</v>
      </c>
      <c r="D161" s="285">
        <f>H461</f>
        <v>24.71</v>
      </c>
      <c r="E161" s="96" t="s">
        <v>117</v>
      </c>
      <c r="F161" s="93"/>
    </row>
    <row r="162" spans="1:10" x14ac:dyDescent="0.6">
      <c r="A162" s="6"/>
      <c r="B162" s="4"/>
      <c r="F162" s="93"/>
    </row>
    <row r="163" spans="1:10" x14ac:dyDescent="0.6">
      <c r="A163" s="15" t="s">
        <v>118</v>
      </c>
      <c r="B163" s="11" t="s">
        <v>119</v>
      </c>
    </row>
    <row r="164" spans="1:10" x14ac:dyDescent="0.6">
      <c r="A164" s="212"/>
      <c r="B164" s="11"/>
    </row>
    <row r="165" spans="1:10" x14ac:dyDescent="0.6">
      <c r="A165" s="212"/>
      <c r="B165" s="11"/>
      <c r="C165" s="12" t="str">
        <f t="shared" ref="C165" si="35">+C6</f>
        <v>SC1</v>
      </c>
      <c r="D165" s="12" t="str">
        <f>+D6</f>
        <v>SC3</v>
      </c>
      <c r="E165" s="12" t="str">
        <f>+E6</f>
        <v>SC2 ND</v>
      </c>
      <c r="F165" s="12" t="str">
        <f>+F6</f>
        <v>SC4</v>
      </c>
      <c r="G165" s="12" t="str">
        <f>+G6</f>
        <v>SC6</v>
      </c>
      <c r="H165" s="12" t="str">
        <f>$I$24</f>
        <v>SC1 TOD</v>
      </c>
    </row>
    <row r="166" spans="1:10" x14ac:dyDescent="0.6">
      <c r="A166" s="212"/>
      <c r="B166" s="11"/>
    </row>
    <row r="167" spans="1:10" x14ac:dyDescent="0.6">
      <c r="A167" s="6"/>
      <c r="B167" s="103" t="s">
        <v>120</v>
      </c>
      <c r="C167" s="272">
        <f t="shared" ref="C167" si="36">(+$C$147*C141*$H$146/12)/C56</f>
        <v>19.689072654625331</v>
      </c>
      <c r="D167" s="272">
        <f>(+$C$147*D141*$H$146/12)/D56</f>
        <v>3.5135733342008852</v>
      </c>
      <c r="E167" s="272">
        <f>(+$C$147*E141*$H$146/12)/E56</f>
        <v>9.7588456253505331</v>
      </c>
      <c r="F167" s="272">
        <f>(+$C$147*F141*$H$146/12)/F56</f>
        <v>0</v>
      </c>
      <c r="G167" s="272">
        <f>(+$C$147*G141*$H$146/12)/G56</f>
        <v>0</v>
      </c>
      <c r="H167" s="272">
        <f>C167</f>
        <v>19.689072654625331</v>
      </c>
      <c r="I167" s="272"/>
      <c r="J167" s="272"/>
    </row>
    <row r="168" spans="1:10" x14ac:dyDescent="0.6">
      <c r="A168" s="6"/>
      <c r="B168" s="103"/>
      <c r="C168" s="272"/>
      <c r="D168" s="272"/>
      <c r="E168" s="272"/>
      <c r="F168" s="272"/>
      <c r="G168" s="272"/>
      <c r="H168" s="272"/>
      <c r="I168" s="272"/>
      <c r="J168" s="272"/>
    </row>
    <row r="169" spans="1:10" x14ac:dyDescent="0.6">
      <c r="A169" s="6"/>
      <c r="B169" s="103" t="s">
        <v>121</v>
      </c>
      <c r="C169" s="272"/>
      <c r="D169" s="272"/>
      <c r="E169" s="272"/>
      <c r="F169" s="272"/>
      <c r="G169" s="272"/>
      <c r="H169" s="272"/>
      <c r="I169" s="272"/>
      <c r="J169" s="272"/>
    </row>
    <row r="170" spans="1:10" x14ac:dyDescent="0.6">
      <c r="A170" s="6"/>
      <c r="B170" s="103" t="s">
        <v>122</v>
      </c>
      <c r="C170" s="272">
        <f t="shared" ref="C170" si="37">((+$D$149*$E$144*C139)+($D$150*$E$145*C139))/C56</f>
        <v>10.835893137302973</v>
      </c>
      <c r="D170" s="272">
        <f>((+$D$149*$E$144*D139)+($D$150*$E$145*D139))/D56</f>
        <v>2.3757943946374231</v>
      </c>
      <c r="E170" s="272">
        <f>((+$D$149*$E$144*E139)+($D$150*$E$145*E139))/E56</f>
        <v>4.9695654627033079</v>
      </c>
      <c r="F170" s="272">
        <f>((+$D$149*$E$144*F139)+($D$150*$E$145*F139))/F56</f>
        <v>0</v>
      </c>
      <c r="G170" s="272">
        <f>((+$D$149*$E$144*G139)+($D$150*$E$145*G139))/G56</f>
        <v>0</v>
      </c>
      <c r="H170" s="272">
        <f>C170</f>
        <v>10.835893137302973</v>
      </c>
      <c r="I170" s="272"/>
      <c r="J170" s="272"/>
    </row>
    <row r="171" spans="1:10" x14ac:dyDescent="0.6">
      <c r="A171" s="6"/>
      <c r="B171" s="103" t="s">
        <v>123</v>
      </c>
      <c r="C171" s="272">
        <f t="shared" ref="C171" si="38">C$139*$D149*$E144/SUM(C$49:C$52)</f>
        <v>8.4535491936306197</v>
      </c>
      <c r="D171" s="272">
        <f>D$139*$D149*$E144/SUM(D$49:D$52)</f>
        <v>2.4805430806154312</v>
      </c>
      <c r="E171" s="272">
        <f>E$139*$D149*$E144/SUM(E$49:E$52)</f>
        <v>6.0750343084577105</v>
      </c>
      <c r="F171" s="272">
        <f>F$139*$D149*$E144/SUM(F$49:F$52)</f>
        <v>0</v>
      </c>
      <c r="G171" s="272">
        <f>G$139*$D149*$E144/SUM(G$49:G$52)</f>
        <v>0</v>
      </c>
      <c r="H171" s="272">
        <f>C171</f>
        <v>8.4535491936306197</v>
      </c>
      <c r="I171" s="272"/>
      <c r="J171" s="272"/>
    </row>
    <row r="172" spans="1:10" x14ac:dyDescent="0.6">
      <c r="A172" s="6"/>
      <c r="B172" s="103" t="s">
        <v>124</v>
      </c>
      <c r="C172" s="272">
        <f t="shared" ref="C172" si="39">C$139*$D150*$E145/(SUM(C$44:C$48)+SUM(C$53:C$55))</f>
        <v>12.720014623024003</v>
      </c>
      <c r="D172" s="272">
        <f>D$139*$D150*$E145/(SUM(D$44:D$48)+SUM(D$53:D$55))</f>
        <v>2.3242082859319759</v>
      </c>
      <c r="E172" s="272">
        <f>E$139*$D150*$E145/(SUM(E$44:E$48)+SUM(E$53:E$55))</f>
        <v>4.5357520343615771</v>
      </c>
      <c r="F172" s="272">
        <f>F$139*$D150*$E145/(SUM(F$44:F$48)+SUM(F$53:F$55))</f>
        <v>0</v>
      </c>
      <c r="G172" s="272">
        <f>G$139*$D150*$E145/(SUM(G$44:G$48)+SUM(G$53:G$55))</f>
        <v>0</v>
      </c>
      <c r="H172" s="272">
        <f>C172</f>
        <v>12.720014623024003</v>
      </c>
      <c r="I172" s="272"/>
      <c r="J172" s="272"/>
    </row>
    <row r="173" spans="1:10" x14ac:dyDescent="0.6">
      <c r="A173" s="6"/>
      <c r="C173" s="108"/>
      <c r="D173" s="108"/>
      <c r="E173" s="108"/>
      <c r="F173" s="108"/>
      <c r="G173" s="108"/>
      <c r="H173" s="108"/>
      <c r="I173" s="272"/>
      <c r="J173" s="272"/>
    </row>
    <row r="174" spans="1:10" x14ac:dyDescent="0.6">
      <c r="A174" s="6"/>
      <c r="C174" s="286"/>
      <c r="D174" s="286"/>
      <c r="E174" s="286"/>
      <c r="F174" s="286"/>
      <c r="G174" s="286"/>
    </row>
    <row r="175" spans="1:10" x14ac:dyDescent="0.6">
      <c r="A175" s="15" t="s">
        <v>125</v>
      </c>
      <c r="B175" s="11" t="s">
        <v>126</v>
      </c>
    </row>
    <row r="176" spans="1:10" x14ac:dyDescent="0.6">
      <c r="A176" s="6"/>
      <c r="B176" s="11"/>
      <c r="C176" s="108"/>
      <c r="D176" s="108"/>
      <c r="E176" s="108"/>
      <c r="F176" s="108"/>
      <c r="G176" s="108"/>
    </row>
    <row r="177" spans="1:8" x14ac:dyDescent="0.6">
      <c r="A177" s="6"/>
      <c r="B177" s="5" t="s">
        <v>127</v>
      </c>
      <c r="C177" s="286"/>
      <c r="D177" s="286"/>
      <c r="E177" s="286"/>
      <c r="F177" s="286"/>
      <c r="G177" s="286"/>
    </row>
    <row r="178" spans="1:8" x14ac:dyDescent="0.6">
      <c r="A178" s="6"/>
      <c r="B178" s="4"/>
    </row>
    <row r="179" spans="1:8" x14ac:dyDescent="0.6">
      <c r="A179" s="6"/>
      <c r="C179" s="12" t="str">
        <f t="shared" ref="C179" si="40">+C6</f>
        <v>SC1</v>
      </c>
      <c r="D179" s="12" t="str">
        <f>+D6</f>
        <v>SC3</v>
      </c>
      <c r="E179" s="12" t="str">
        <f>+E6</f>
        <v>SC2 ND</v>
      </c>
      <c r="F179" s="12" t="str">
        <f>+F6</f>
        <v>SC4</v>
      </c>
      <c r="G179" s="12" t="str">
        <f>+G6</f>
        <v>SC6</v>
      </c>
      <c r="H179" s="12" t="str">
        <f>$I$24</f>
        <v>SC1 TOD</v>
      </c>
    </row>
    <row r="180" spans="1:8" x14ac:dyDescent="0.6">
      <c r="A180" s="6"/>
      <c r="C180" s="8"/>
      <c r="D180" s="272"/>
      <c r="E180" s="8"/>
      <c r="H180" s="272"/>
    </row>
    <row r="181" spans="1:8" x14ac:dyDescent="0.6">
      <c r="A181" s="6"/>
      <c r="B181" s="87" t="s">
        <v>64</v>
      </c>
      <c r="C181" s="287">
        <f t="shared" ref="C181" si="41">+C124+$D$161+C$167+C171</f>
        <v>105.24878144106758</v>
      </c>
      <c r="D181" s="272">
        <f>+D124+$D$161+D$167+D171</f>
        <v>82.160815016861733</v>
      </c>
      <c r="E181" s="272">
        <f>+E124+$D$161+E$167+E171</f>
        <v>91.020741204400736</v>
      </c>
      <c r="F181" s="272">
        <f>+F124+$D$161+F$167+F171</f>
        <v>69.620370254500102</v>
      </c>
      <c r="G181" s="272">
        <f>+G124+$D$161+G$167+G171</f>
        <v>69.375046896920139</v>
      </c>
      <c r="H181" s="272">
        <f>+I124+$D$161+C$167+C171</f>
        <v>105.24878144106758</v>
      </c>
    </row>
    <row r="182" spans="1:8" x14ac:dyDescent="0.6">
      <c r="A182" s="6"/>
      <c r="B182" s="88" t="s">
        <v>79</v>
      </c>
      <c r="C182" s="272"/>
      <c r="D182" s="287">
        <f>+D125+$D$161+D$167+(D171*M48/M49)</f>
        <v>98.194385166684313</v>
      </c>
      <c r="E182" s="272"/>
      <c r="F182" s="272"/>
      <c r="G182" s="272"/>
      <c r="H182" s="287">
        <f>+I125+$D$161+C$167+(C171*R48/R49)</f>
        <v>139.30795815335074</v>
      </c>
    </row>
    <row r="183" spans="1:8" x14ac:dyDescent="0.6">
      <c r="A183" s="6"/>
      <c r="B183" s="88" t="s">
        <v>80</v>
      </c>
      <c r="C183" s="272"/>
      <c r="D183" s="287">
        <f>+D126+$D$161+D$167</f>
        <v>70.775014208486994</v>
      </c>
      <c r="E183" s="272"/>
      <c r="F183" s="272"/>
      <c r="G183" s="272"/>
      <c r="H183" s="287">
        <f>+I126+$D$161+C$167</f>
        <v>90.092446962490442</v>
      </c>
    </row>
    <row r="184" spans="1:8" x14ac:dyDescent="0.6">
      <c r="A184" s="6"/>
      <c r="B184" s="103" t="s">
        <v>128</v>
      </c>
      <c r="C184" s="272">
        <f>(C181*SUM(C49:C52)-C158*10*E157*SUM(C49:C52))/SUM(C49:C52)</f>
        <v>65.287860441067565</v>
      </c>
      <c r="D184" s="272"/>
      <c r="E184" s="272"/>
      <c r="F184" s="272"/>
      <c r="G184" s="272"/>
      <c r="H184" s="272"/>
    </row>
    <row r="185" spans="1:8" x14ac:dyDescent="0.6">
      <c r="A185" s="6"/>
      <c r="B185" s="103" t="s">
        <v>129</v>
      </c>
      <c r="C185" s="272">
        <f>C184+C158*10</f>
        <v>135.3578604410676</v>
      </c>
      <c r="D185" s="272"/>
      <c r="E185" s="272"/>
      <c r="F185" s="272"/>
      <c r="G185" s="272"/>
      <c r="H185" s="272"/>
    </row>
    <row r="186" spans="1:8" x14ac:dyDescent="0.6">
      <c r="A186" s="6"/>
      <c r="B186" s="272"/>
      <c r="C186" s="272"/>
      <c r="D186" s="272"/>
      <c r="E186" s="272"/>
      <c r="F186" s="272"/>
      <c r="G186" s="272"/>
      <c r="H186" s="272"/>
    </row>
    <row r="187" spans="1:8" x14ac:dyDescent="0.6">
      <c r="A187" s="6"/>
      <c r="C187" s="272"/>
      <c r="D187" s="272"/>
      <c r="E187" s="272"/>
      <c r="F187" s="272"/>
      <c r="G187" s="272"/>
      <c r="H187" s="272"/>
    </row>
    <row r="188" spans="1:8" x14ac:dyDescent="0.6">
      <c r="A188" s="6"/>
      <c r="B188" s="87" t="s">
        <v>70</v>
      </c>
      <c r="C188" s="287">
        <f t="shared" ref="C188" si="42">+C128+$D$161+C$167+C172</f>
        <v>111.63743703545636</v>
      </c>
      <c r="D188" s="272">
        <f>+D128+$D$161+D$167+D172</f>
        <v>84.481307901675876</v>
      </c>
      <c r="E188" s="272">
        <f>+E128+$D$161+E$167+E172</f>
        <v>94.472842334787828</v>
      </c>
      <c r="F188" s="272">
        <f>+F128+$D$161+F$167+F172</f>
        <v>77.181680891540537</v>
      </c>
      <c r="G188" s="272">
        <f>+G128+$D$161+G$167+G172</f>
        <v>76.823082365347886</v>
      </c>
      <c r="H188" s="272">
        <f>+C128+$D$161+C$167+C172</f>
        <v>111.63743703545636</v>
      </c>
    </row>
    <row r="189" spans="1:8" x14ac:dyDescent="0.6">
      <c r="A189" s="6"/>
      <c r="B189" s="88" t="s">
        <v>79</v>
      </c>
      <c r="C189" s="272"/>
      <c r="D189" s="287">
        <f>+D129+$D$161+D$167+(D172*M44/M45)</f>
        <v>93.912834507012207</v>
      </c>
      <c r="E189" s="272"/>
      <c r="F189" s="272"/>
      <c r="G189" s="272"/>
      <c r="H189" s="287">
        <f>+I129+$D$161+C$167+(C172*R44/R45)</f>
        <v>157.52783138810443</v>
      </c>
    </row>
    <row r="190" spans="1:8" x14ac:dyDescent="0.6">
      <c r="A190" s="6"/>
      <c r="B190" s="88" t="s">
        <v>80</v>
      </c>
      <c r="C190" s="272"/>
      <c r="D190" s="287">
        <f>+D130+$D$161+D$167</f>
        <v>79.263356134661166</v>
      </c>
      <c r="E190" s="272"/>
      <c r="F190" s="272"/>
      <c r="G190" s="272"/>
      <c r="H190" s="287">
        <f>+I130+$D$161+C$167</f>
        <v>96.904459923557766</v>
      </c>
    </row>
    <row r="191" spans="1:8" x14ac:dyDescent="0.6">
      <c r="A191" s="6"/>
      <c r="C191" s="272"/>
      <c r="D191" s="272"/>
      <c r="E191" s="272"/>
      <c r="F191" s="272"/>
      <c r="G191" s="272"/>
      <c r="H191" s="272"/>
    </row>
    <row r="192" spans="1:8" x14ac:dyDescent="0.6">
      <c r="A192" s="6"/>
      <c r="B192" t="s">
        <v>130</v>
      </c>
      <c r="C192" s="287">
        <f t="shared" ref="C192" si="43">+C132+$D$161+C$167+C170</f>
        <v>108.8161313271452</v>
      </c>
      <c r="D192" s="272">
        <f>+D132+$D$161+D$167+D170</f>
        <v>83.715610166577179</v>
      </c>
      <c r="E192" s="272">
        <f>+E132+$D$161+E$167+E170</f>
        <v>93.4999422685963</v>
      </c>
      <c r="F192" s="272">
        <f>+F132+$D$161+F$167+F170</f>
        <v>75.053558419482798</v>
      </c>
      <c r="G192" s="272">
        <f>+G132+$D$161+G$167+G170</f>
        <v>74.688372219917952</v>
      </c>
      <c r="H192" s="272">
        <f>+I132+$D$161+C$167+C170</f>
        <v>108.8161313271452</v>
      </c>
    </row>
    <row r="193" spans="1:26" x14ac:dyDescent="0.6">
      <c r="A193" s="6"/>
      <c r="C193" s="272"/>
      <c r="D193" s="272"/>
      <c r="E193" s="272"/>
      <c r="F193" s="272"/>
      <c r="G193" s="272"/>
      <c r="H193" s="272"/>
    </row>
    <row r="194" spans="1:26" x14ac:dyDescent="0.6">
      <c r="A194" s="6"/>
      <c r="B194" s="5" t="s">
        <v>131</v>
      </c>
    </row>
    <row r="195" spans="1:26" x14ac:dyDescent="0.6">
      <c r="A195" s="6"/>
      <c r="B195" s="4"/>
    </row>
    <row r="196" spans="1:26" x14ac:dyDescent="0.6">
      <c r="A196" s="6"/>
      <c r="C196" s="12" t="str">
        <f>+H6</f>
        <v>SC2 Dem</v>
      </c>
      <c r="D196" s="8"/>
      <c r="F196" s="11" t="s">
        <v>132</v>
      </c>
    </row>
    <row r="197" spans="1:26" x14ac:dyDescent="0.6">
      <c r="A197" s="6"/>
      <c r="C197" s="8"/>
      <c r="E197" s="11"/>
    </row>
    <row r="198" spans="1:26" x14ac:dyDescent="0.6">
      <c r="A198" s="6"/>
      <c r="B198" s="87" t="s">
        <v>64</v>
      </c>
      <c r="C198" s="272">
        <f>+H124+$D$161</f>
        <v>76.906745362575151</v>
      </c>
      <c r="F198" s="24" t="s">
        <v>133</v>
      </c>
    </row>
    <row r="199" spans="1:26" x14ac:dyDescent="0.6">
      <c r="A199" s="6"/>
      <c r="B199" s="88"/>
      <c r="C199" s="272"/>
    </row>
    <row r="200" spans="1:26" x14ac:dyDescent="0.6">
      <c r="A200" s="6"/>
      <c r="B200" s="88"/>
      <c r="C200" s="272"/>
      <c r="G200" s="12"/>
      <c r="H200" s="12" t="s">
        <v>12</v>
      </c>
      <c r="I200" s="25"/>
    </row>
    <row r="201" spans="1:26" x14ac:dyDescent="0.6">
      <c r="A201" s="6"/>
      <c r="C201" s="272"/>
    </row>
    <row r="202" spans="1:26" x14ac:dyDescent="0.6">
      <c r="A202" s="6"/>
      <c r="B202" s="87" t="s">
        <v>70</v>
      </c>
      <c r="C202" s="272">
        <f>+H128+$D$161</f>
        <v>79.55446403463101</v>
      </c>
      <c r="F202" s="103" t="s">
        <v>98</v>
      </c>
      <c r="G202" s="288"/>
      <c r="H202" s="90">
        <f>ROUND(H139*D149*E144/$M$223,2)</f>
        <v>1.95</v>
      </c>
      <c r="I202" s="289"/>
    </row>
    <row r="203" spans="1:26" x14ac:dyDescent="0.6">
      <c r="A203" s="6"/>
      <c r="B203" s="88"/>
      <c r="C203" s="272"/>
      <c r="F203" s="103" t="s">
        <v>104</v>
      </c>
      <c r="G203" s="288"/>
      <c r="H203" s="90">
        <f>ROUND(H139*D150*E145/$M$224,2)</f>
        <v>2.19</v>
      </c>
      <c r="I203" s="289"/>
    </row>
    <row r="204" spans="1:26" x14ac:dyDescent="0.6">
      <c r="A204" s="6"/>
      <c r="B204" s="88"/>
      <c r="C204" s="272"/>
    </row>
    <row r="205" spans="1:26" x14ac:dyDescent="0.6">
      <c r="A205" s="6"/>
      <c r="B205" s="88"/>
      <c r="C205" s="272"/>
      <c r="F205" s="27" t="s">
        <v>134</v>
      </c>
      <c r="H205" s="93"/>
    </row>
    <row r="206" spans="1:26" x14ac:dyDescent="0.6">
      <c r="A206" s="6"/>
      <c r="B206" t="s">
        <v>135</v>
      </c>
      <c r="C206" s="272">
        <f>+H132+$D$161</f>
        <v>78.543249673937808</v>
      </c>
      <c r="F206" s="103" t="s">
        <v>136</v>
      </c>
      <c r="G206" s="274">
        <f>ROUND(+C147/1000/12,2)</f>
        <v>4.4800000000000004</v>
      </c>
      <c r="H206" s="93" t="s">
        <v>137</v>
      </c>
      <c r="P206" s="90"/>
    </row>
    <row r="207" spans="1:26" x14ac:dyDescent="0.6">
      <c r="A207" s="15" t="s">
        <v>125</v>
      </c>
      <c r="B207" s="224" t="s">
        <v>138</v>
      </c>
      <c r="C207" s="272"/>
      <c r="K207" s="225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1:26" x14ac:dyDescent="0.6">
      <c r="A208" s="15"/>
      <c r="C208" s="272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1:27" x14ac:dyDescent="0.6">
      <c r="A209" s="6"/>
      <c r="B209" s="227" t="s">
        <v>139</v>
      </c>
      <c r="C209" s="272"/>
      <c r="D209" s="272"/>
      <c r="F209" s="28" t="s">
        <v>133</v>
      </c>
      <c r="K209" s="228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1:27" x14ac:dyDescent="0.6">
      <c r="A210" s="6"/>
      <c r="B210" s="87" t="s">
        <v>64</v>
      </c>
      <c r="C210" s="287">
        <f>(C198*Q48+($H213*($M$223/4*H144))+($G206*$H144*H141*1000))/Q48</f>
        <v>97.204874988979086</v>
      </c>
      <c r="D210" s="287"/>
      <c r="F210" s="89"/>
      <c r="K210" s="226"/>
      <c r="L210" s="226"/>
      <c r="M210" s="226"/>
      <c r="N210" s="226"/>
      <c r="O210" s="226"/>
      <c r="P210" s="226"/>
      <c r="Q210" s="226"/>
      <c r="R210" s="226"/>
      <c r="S210" s="226"/>
      <c r="T210" s="312"/>
      <c r="U210" s="312"/>
      <c r="V210" s="229"/>
      <c r="W210" s="229"/>
      <c r="X210" s="226"/>
      <c r="Y210" s="226"/>
      <c r="Z210" s="226"/>
    </row>
    <row r="211" spans="1:27" x14ac:dyDescent="0.6">
      <c r="A211" s="6"/>
      <c r="B211" s="88"/>
      <c r="C211" s="272"/>
      <c r="D211" s="272"/>
      <c r="F211" s="89"/>
      <c r="H211" s="12" t="s">
        <v>12</v>
      </c>
      <c r="K211" s="226"/>
      <c r="L211" s="230"/>
      <c r="M211" s="231"/>
      <c r="N211" s="231"/>
      <c r="O211" s="226"/>
      <c r="P211" s="226"/>
      <c r="Q211" s="232"/>
      <c r="R211" s="232"/>
      <c r="S211" s="232"/>
      <c r="T211" s="226"/>
      <c r="U211" s="226"/>
      <c r="V211" s="226"/>
      <c r="W211" s="226"/>
      <c r="X211" s="233"/>
      <c r="Y211" s="226"/>
      <c r="Z211" s="226"/>
    </row>
    <row r="212" spans="1:27" x14ac:dyDescent="0.6">
      <c r="A212" s="6"/>
      <c r="B212" s="88"/>
      <c r="C212" s="272"/>
      <c r="D212" s="272"/>
      <c r="F212" s="89"/>
      <c r="G212" s="12"/>
      <c r="H212" s="25"/>
      <c r="I212" s="25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1:27" x14ac:dyDescent="0.6">
      <c r="A213" s="6"/>
      <c r="C213" s="272"/>
      <c r="D213" s="272"/>
      <c r="F213" s="89" t="s">
        <v>98</v>
      </c>
      <c r="G213" s="289"/>
      <c r="H213" s="90">
        <f>H202</f>
        <v>1.95</v>
      </c>
      <c r="I213" s="289"/>
      <c r="K213" s="232"/>
      <c r="L213" s="29"/>
      <c r="M213" s="102"/>
      <c r="N213" s="102"/>
      <c r="O213" s="226"/>
      <c r="P213" s="29"/>
      <c r="Q213" s="234"/>
      <c r="R213" s="234"/>
      <c r="S213" s="235"/>
      <c r="T213" s="236"/>
      <c r="U213" s="236"/>
      <c r="V213" s="226"/>
      <c r="W213" s="226"/>
      <c r="X213" s="226"/>
      <c r="Y213" s="226"/>
      <c r="Z213" s="90"/>
      <c r="AA213" s="90"/>
    </row>
    <row r="214" spans="1:27" x14ac:dyDescent="0.6">
      <c r="A214" s="6"/>
      <c r="B214" s="87" t="s">
        <v>70</v>
      </c>
      <c r="C214" s="287">
        <f>(C202*Q44+($H214*($M$224/8*H145))+($G206*$H145*H141*1000))/Q44</f>
        <v>104.2434067005094</v>
      </c>
      <c r="D214" s="287"/>
      <c r="F214" s="89" t="s">
        <v>104</v>
      </c>
      <c r="G214" s="289"/>
      <c r="H214" s="90">
        <f>H203</f>
        <v>2.19</v>
      </c>
      <c r="I214" s="289"/>
      <c r="K214" s="232"/>
      <c r="L214" s="29"/>
      <c r="N214" s="102"/>
      <c r="O214" s="226"/>
      <c r="P214" s="29"/>
      <c r="Q214" s="234"/>
      <c r="R214" s="234"/>
      <c r="S214" s="235"/>
      <c r="T214" s="236"/>
      <c r="U214" s="236"/>
      <c r="V214" s="226"/>
      <c r="W214" s="226"/>
      <c r="X214" s="226"/>
      <c r="Y214" s="226"/>
      <c r="Z214" s="226"/>
    </row>
    <row r="215" spans="1:27" x14ac:dyDescent="0.6">
      <c r="A215" s="6"/>
      <c r="B215" s="88"/>
      <c r="C215" s="272"/>
      <c r="G215" s="286"/>
      <c r="H215" s="28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1:27" x14ac:dyDescent="0.6">
      <c r="A216" s="6"/>
      <c r="B216" s="88"/>
      <c r="C216" s="272"/>
      <c r="K216" s="237"/>
      <c r="L216" s="226"/>
      <c r="M216" s="238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1:27" x14ac:dyDescent="0.6">
      <c r="A217" s="6"/>
      <c r="B217" s="88"/>
      <c r="C217" s="272"/>
      <c r="G217" s="108"/>
      <c r="H217" s="108"/>
      <c r="K217" s="232"/>
      <c r="L217" s="30"/>
      <c r="M217" s="238"/>
      <c r="N217" s="226"/>
      <c r="O217" s="226"/>
      <c r="P217" s="239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1:27" x14ac:dyDescent="0.6">
      <c r="A218" s="6"/>
      <c r="B218" t="s">
        <v>140</v>
      </c>
      <c r="C218" s="287">
        <f>(C206*H56+($H213*($M$223/4*H144)+$H214*($M$224/8*H145))+($G206*$H146*H141*1000))/H56</f>
        <v>101.55525692840104</v>
      </c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1:27" x14ac:dyDescent="0.6">
      <c r="A219" s="6"/>
      <c r="C219" s="107"/>
      <c r="D219" s="107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  <c r="AA219" s="226"/>
    </row>
    <row r="220" spans="1:27" ht="13.75" thickBot="1" x14ac:dyDescent="0.75">
      <c r="A220" s="6"/>
      <c r="B220" s="11" t="s">
        <v>141</v>
      </c>
      <c r="C220" s="272"/>
      <c r="D220" s="272"/>
    </row>
    <row r="221" spans="1:27" x14ac:dyDescent="0.6">
      <c r="A221" s="6"/>
      <c r="B221" s="103" t="s">
        <v>142</v>
      </c>
      <c r="C221" s="290">
        <f>(+SUMPRODUCT(C192:G192,C56:G56)+SUMPRODUCT(C218,H56))/1000</f>
        <v>108883.27309200745</v>
      </c>
      <c r="L221" s="120" t="s">
        <v>143</v>
      </c>
      <c r="M221" s="121"/>
    </row>
    <row r="222" spans="1:27" x14ac:dyDescent="0.6">
      <c r="A222" s="6"/>
      <c r="C222" s="103" t="s">
        <v>144</v>
      </c>
      <c r="D222" s="287">
        <f>+C221/SUM(C56:H56)*1000</f>
        <v>106.05071632692564</v>
      </c>
      <c r="E222" t="s">
        <v>145</v>
      </c>
      <c r="L222" s="122"/>
      <c r="M222" s="123" t="s">
        <v>146</v>
      </c>
    </row>
    <row r="223" spans="1:27" x14ac:dyDescent="0.6">
      <c r="A223" s="6"/>
      <c r="C223" s="103" t="s">
        <v>147</v>
      </c>
      <c r="D223" s="287">
        <f>+C221/SUMPRODUCT(C56:H56,C81:H81)*1000</f>
        <v>98.511361396003196</v>
      </c>
      <c r="E223" t="s">
        <v>148</v>
      </c>
      <c r="L223" s="122" t="s">
        <v>69</v>
      </c>
      <c r="M223" s="124">
        <v>406855.5</v>
      </c>
    </row>
    <row r="224" spans="1:27" ht="13.75" thickBot="1" x14ac:dyDescent="0.75">
      <c r="A224" s="6"/>
      <c r="L224" s="125" t="s">
        <v>62</v>
      </c>
      <c r="M224" s="126">
        <v>690443.6</v>
      </c>
    </row>
    <row r="225" spans="1:10" x14ac:dyDescent="0.6">
      <c r="A225" s="6"/>
      <c r="E225" s="291"/>
    </row>
    <row r="226" spans="1:10" x14ac:dyDescent="0.6">
      <c r="A226" s="15" t="s">
        <v>149</v>
      </c>
      <c r="B226" s="11" t="s">
        <v>150</v>
      </c>
    </row>
    <row r="227" spans="1:10" x14ac:dyDescent="0.6">
      <c r="A227" s="6"/>
      <c r="B227" s="11"/>
    </row>
    <row r="228" spans="1:10" x14ac:dyDescent="0.6">
      <c r="A228" s="6"/>
      <c r="B228" s="11" t="s">
        <v>151</v>
      </c>
    </row>
    <row r="229" spans="1:10" x14ac:dyDescent="0.6">
      <c r="A229" s="6"/>
      <c r="B229" s="4" t="s">
        <v>152</v>
      </c>
    </row>
    <row r="230" spans="1:10" x14ac:dyDescent="0.6">
      <c r="A230" s="6"/>
      <c r="B230" s="11"/>
    </row>
    <row r="231" spans="1:10" x14ac:dyDescent="0.6">
      <c r="A231" s="6"/>
      <c r="C231" s="12" t="str">
        <f t="shared" ref="C231" si="44">+C6</f>
        <v>SC1</v>
      </c>
      <c r="D231" s="12" t="str">
        <f>+D6</f>
        <v>SC3</v>
      </c>
      <c r="E231" s="12" t="str">
        <f>+E6</f>
        <v>SC2 ND</v>
      </c>
      <c r="F231" s="12" t="str">
        <f>+F6</f>
        <v>SC4</v>
      </c>
      <c r="G231" s="12" t="str">
        <f>+G6</f>
        <v>SC6</v>
      </c>
      <c r="H231" s="12" t="str">
        <f>$I$24</f>
        <v>SC1 TOD</v>
      </c>
    </row>
    <row r="232" spans="1:10" x14ac:dyDescent="0.6">
      <c r="A232" s="6"/>
      <c r="C232" s="8"/>
      <c r="D232" s="8"/>
      <c r="E232" s="8"/>
    </row>
    <row r="233" spans="1:10" x14ac:dyDescent="0.6">
      <c r="A233" s="6"/>
      <c r="B233" s="87" t="s">
        <v>64</v>
      </c>
      <c r="C233" s="31">
        <f>ROUND(+C181/$D$223,3)</f>
        <v>1.0680000000000001</v>
      </c>
      <c r="D233" s="292"/>
      <c r="E233" s="31">
        <f>ROUND(+E181/$D$223,3)</f>
        <v>0.92400000000000004</v>
      </c>
      <c r="F233" s="31">
        <f>ROUND(+F181/$D$223,3)</f>
        <v>0.70699999999999996</v>
      </c>
      <c r="G233" s="31">
        <f>ROUND(+G181/$D$223,3)</f>
        <v>0.70399999999999996</v>
      </c>
      <c r="H233" s="293"/>
      <c r="I233" s="293"/>
      <c r="J233" s="293"/>
    </row>
    <row r="234" spans="1:10" x14ac:dyDescent="0.6">
      <c r="A234" s="6"/>
      <c r="B234" s="88" t="s">
        <v>79</v>
      </c>
      <c r="C234" s="292"/>
      <c r="D234" s="31">
        <f>ROUND(+D182/$D$223,3)</f>
        <v>0.997</v>
      </c>
      <c r="E234" s="292"/>
      <c r="F234" s="292"/>
      <c r="G234" s="292"/>
      <c r="H234" s="31">
        <f>ROUND(+H182/$D$223,3)</f>
        <v>1.4139999999999999</v>
      </c>
      <c r="I234" s="293"/>
      <c r="J234" s="293"/>
    </row>
    <row r="235" spans="1:10" x14ac:dyDescent="0.6">
      <c r="A235" s="6"/>
      <c r="B235" s="88" t="s">
        <v>80</v>
      </c>
      <c r="C235" s="292"/>
      <c r="D235" s="31">
        <f>ROUND(+D183/$D$223,3)</f>
        <v>0.71799999999999997</v>
      </c>
      <c r="E235" s="292"/>
      <c r="F235" s="292"/>
      <c r="G235" s="292"/>
      <c r="H235" s="31">
        <f>ROUND(+H183/$D$223,3)</f>
        <v>0.91500000000000004</v>
      </c>
      <c r="I235" s="293"/>
      <c r="J235" s="293"/>
    </row>
    <row r="236" spans="1:10" x14ac:dyDescent="0.6">
      <c r="A236" s="6"/>
      <c r="B236" s="88"/>
      <c r="C236" s="292"/>
      <c r="D236" s="34"/>
      <c r="E236" s="292"/>
      <c r="F236" s="292"/>
      <c r="G236" s="292"/>
      <c r="H236" s="293"/>
      <c r="I236" s="293"/>
      <c r="J236" s="293"/>
    </row>
    <row r="237" spans="1:10" x14ac:dyDescent="0.6">
      <c r="A237" s="6"/>
      <c r="B237" s="25"/>
      <c r="D237" s="34"/>
      <c r="E237" s="292"/>
      <c r="F237" s="292"/>
      <c r="G237" s="292"/>
      <c r="H237" s="293"/>
      <c r="I237" s="293"/>
      <c r="J237" s="293"/>
    </row>
    <row r="238" spans="1:10" x14ac:dyDescent="0.6">
      <c r="A238" s="6"/>
      <c r="B238" s="35" t="s">
        <v>153</v>
      </c>
      <c r="C238" s="36">
        <f>C184-C181</f>
        <v>-39.960921000000013</v>
      </c>
      <c r="D238" s="34"/>
      <c r="E238" s="292"/>
      <c r="F238" s="292"/>
      <c r="G238" s="292"/>
      <c r="H238" s="293"/>
      <c r="I238" s="293"/>
      <c r="J238" s="293"/>
    </row>
    <row r="239" spans="1:10" x14ac:dyDescent="0.6">
      <c r="A239" s="6"/>
      <c r="B239" s="35" t="s">
        <v>154</v>
      </c>
      <c r="C239" s="36">
        <f>C185-C181</f>
        <v>30.109079000000023</v>
      </c>
      <c r="D239" s="34"/>
      <c r="E239" s="292"/>
      <c r="F239" s="292"/>
      <c r="G239" s="292"/>
      <c r="H239" s="293"/>
      <c r="I239" s="293"/>
      <c r="J239" s="293"/>
    </row>
    <row r="240" spans="1:10" x14ac:dyDescent="0.6">
      <c r="A240" s="6"/>
      <c r="B240" s="292"/>
      <c r="C240" s="292"/>
      <c r="D240" s="34"/>
      <c r="E240" s="292"/>
      <c r="F240" s="292"/>
      <c r="G240" s="292"/>
      <c r="H240" s="293"/>
      <c r="I240" s="293"/>
      <c r="J240" s="293"/>
    </row>
    <row r="241" spans="1:10" x14ac:dyDescent="0.6">
      <c r="A241" s="6"/>
      <c r="C241" s="292"/>
      <c r="D241" s="292"/>
      <c r="E241" s="292"/>
      <c r="F241" s="292"/>
      <c r="G241" s="292"/>
      <c r="H241" s="293"/>
      <c r="I241" s="293"/>
      <c r="J241" s="293"/>
    </row>
    <row r="242" spans="1:10" x14ac:dyDescent="0.6">
      <c r="A242" s="6"/>
      <c r="B242" s="87" t="s">
        <v>70</v>
      </c>
      <c r="C242" s="31">
        <f>ROUND(+C188/$D$223,3)</f>
        <v>1.133</v>
      </c>
      <c r="D242" s="294"/>
      <c r="E242" s="31">
        <f>ROUND(+E188/$D$223,3)</f>
        <v>0.95899999999999996</v>
      </c>
      <c r="F242" s="31">
        <f>ROUND(+F188/$D$223,3)</f>
        <v>0.78300000000000003</v>
      </c>
      <c r="G242" s="31">
        <f>ROUND(+G188/$D$223,3)</f>
        <v>0.78</v>
      </c>
      <c r="H242" s="293"/>
      <c r="I242" s="293"/>
      <c r="J242" s="293"/>
    </row>
    <row r="243" spans="1:10" x14ac:dyDescent="0.6">
      <c r="A243" s="6"/>
      <c r="B243" s="88" t="s">
        <v>79</v>
      </c>
      <c r="C243" s="292"/>
      <c r="D243" s="31">
        <f>ROUND(+D189/$D$223,3)</f>
        <v>0.95299999999999996</v>
      </c>
      <c r="E243" s="292"/>
      <c r="F243" s="292"/>
      <c r="G243" s="292"/>
      <c r="H243" s="38">
        <f>ROUND(+H189/$D$223,3)</f>
        <v>1.599</v>
      </c>
      <c r="I243" s="293"/>
      <c r="J243" s="293"/>
    </row>
    <row r="244" spans="1:10" x14ac:dyDescent="0.6">
      <c r="A244" s="6"/>
      <c r="B244" s="88" t="s">
        <v>80</v>
      </c>
      <c r="C244" s="292"/>
      <c r="D244" s="31">
        <f>ROUND(+D190/$D$223,3)</f>
        <v>0.80500000000000005</v>
      </c>
      <c r="E244" s="292"/>
      <c r="F244" s="292"/>
      <c r="G244" s="292"/>
      <c r="H244" s="38">
        <f>ROUND(+H190/$D$223,3)</f>
        <v>0.98399999999999999</v>
      </c>
      <c r="I244" s="293"/>
      <c r="J244" s="293"/>
    </row>
    <row r="245" spans="1:10" x14ac:dyDescent="0.6">
      <c r="A245" s="6"/>
      <c r="C245" s="293"/>
      <c r="D245" s="293"/>
      <c r="E245" s="293"/>
      <c r="F245" s="293"/>
      <c r="G245" s="293"/>
      <c r="H245" s="293"/>
      <c r="I245" s="293"/>
      <c r="J245" s="293"/>
    </row>
    <row r="246" spans="1:10" x14ac:dyDescent="0.6">
      <c r="A246" s="6"/>
      <c r="B246" t="s">
        <v>155</v>
      </c>
      <c r="C246" s="295">
        <f t="shared" ref="C246" si="45">ROUND(+C192/$D$223,3)</f>
        <v>1.105</v>
      </c>
      <c r="D246" s="295">
        <f>ROUND(+D192/$D$223,3)</f>
        <v>0.85</v>
      </c>
      <c r="E246" s="295">
        <f>ROUND(+E192/$D$223,3)</f>
        <v>0.94899999999999995</v>
      </c>
      <c r="F246" s="295">
        <f>ROUND(+F192/$D$223,3)</f>
        <v>0.76200000000000001</v>
      </c>
      <c r="G246" s="295">
        <f>ROUND(+G192/$D$223,3)</f>
        <v>0.75800000000000001</v>
      </c>
      <c r="H246" s="38">
        <f>ROUND(+H192/$D$223,3)</f>
        <v>1.105</v>
      </c>
      <c r="I246" s="293"/>
      <c r="J246" s="293"/>
    </row>
    <row r="247" spans="1:10" x14ac:dyDescent="0.6">
      <c r="A247" s="6"/>
    </row>
    <row r="248" spans="1:10" x14ac:dyDescent="0.6">
      <c r="A248" s="15" t="s">
        <v>149</v>
      </c>
      <c r="B248" s="224" t="s">
        <v>138</v>
      </c>
    </row>
    <row r="249" spans="1:10" x14ac:dyDescent="0.6">
      <c r="A249" s="15"/>
      <c r="B249" s="224"/>
    </row>
    <row r="250" spans="1:10" x14ac:dyDescent="0.6">
      <c r="A250" s="6"/>
      <c r="B250" s="11" t="s">
        <v>156</v>
      </c>
    </row>
    <row r="251" spans="1:10" x14ac:dyDescent="0.6">
      <c r="A251" s="6"/>
      <c r="B251" s="4" t="s">
        <v>157</v>
      </c>
    </row>
    <row r="252" spans="1:10" x14ac:dyDescent="0.6">
      <c r="A252" s="6"/>
    </row>
    <row r="253" spans="1:10" x14ac:dyDescent="0.6">
      <c r="A253" s="6"/>
      <c r="C253" s="25" t="str">
        <f>+H6</f>
        <v>SC2 Dem</v>
      </c>
      <c r="D253" s="25" t="str">
        <f>+C253</f>
        <v>SC2 Dem</v>
      </c>
      <c r="E253" s="8"/>
      <c r="F253" s="8"/>
      <c r="G253" s="40" t="s">
        <v>132</v>
      </c>
    </row>
    <row r="254" spans="1:10" x14ac:dyDescent="0.6">
      <c r="A254" s="6"/>
      <c r="C254" s="12" t="s">
        <v>158</v>
      </c>
      <c r="D254" s="12" t="s">
        <v>159</v>
      </c>
      <c r="E254" s="8"/>
      <c r="F254" s="8"/>
      <c r="G254" s="89"/>
    </row>
    <row r="255" spans="1:10" x14ac:dyDescent="0.6">
      <c r="A255" s="6"/>
      <c r="B255" s="87" t="s">
        <v>64</v>
      </c>
      <c r="C255" s="31">
        <f>ROUND(+C210/$D$223,3)</f>
        <v>0.98699999999999999</v>
      </c>
      <c r="D255" s="240">
        <f>+C198-C210</f>
        <v>-20.298129626403934</v>
      </c>
      <c r="F255" s="90"/>
      <c r="G255" s="28" t="s">
        <v>133</v>
      </c>
    </row>
    <row r="256" spans="1:10" x14ac:dyDescent="0.6">
      <c r="A256" s="6"/>
      <c r="B256" s="296"/>
      <c r="C256" s="292"/>
      <c r="D256" s="11"/>
      <c r="E256" s="34"/>
      <c r="F256" s="41"/>
      <c r="G256" s="89"/>
    </row>
    <row r="257" spans="1:10" x14ac:dyDescent="0.6">
      <c r="A257" s="6"/>
      <c r="B257" s="88"/>
      <c r="C257" s="292"/>
      <c r="D257" s="11"/>
      <c r="E257" s="34"/>
      <c r="F257" s="41"/>
      <c r="G257" s="89"/>
      <c r="H257" s="12"/>
      <c r="I257" s="25" t="s">
        <v>12</v>
      </c>
      <c r="J257" s="25"/>
    </row>
    <row r="258" spans="1:10" x14ac:dyDescent="0.6">
      <c r="A258" s="6"/>
      <c r="C258" s="292"/>
      <c r="D258" s="11"/>
      <c r="E258" s="292"/>
      <c r="F258" s="41"/>
      <c r="G258" s="89"/>
    </row>
    <row r="259" spans="1:10" x14ac:dyDescent="0.6">
      <c r="A259" s="6"/>
      <c r="B259" s="87" t="s">
        <v>70</v>
      </c>
      <c r="C259" s="31">
        <f>ROUND(+C214/$D$223,3)</f>
        <v>1.0580000000000001</v>
      </c>
      <c r="D259" s="240">
        <f>+C202-C214</f>
        <v>-24.688942665878386</v>
      </c>
      <c r="E259" s="34"/>
      <c r="F259" s="41"/>
      <c r="G259" s="91" t="s">
        <v>98</v>
      </c>
      <c r="H259" s="288"/>
      <c r="I259" s="272">
        <f>H213</f>
        <v>1.95</v>
      </c>
      <c r="J259" s="272"/>
    </row>
    <row r="260" spans="1:10" x14ac:dyDescent="0.6">
      <c r="A260" s="6"/>
      <c r="B260" s="296"/>
      <c r="C260" s="292"/>
      <c r="E260" s="34"/>
      <c r="F260" s="41"/>
      <c r="G260" s="91" t="s">
        <v>104</v>
      </c>
      <c r="H260" s="288"/>
      <c r="I260" s="272">
        <f>H214</f>
        <v>2.19</v>
      </c>
      <c r="J260" s="272"/>
    </row>
    <row r="261" spans="1:10" x14ac:dyDescent="0.6">
      <c r="A261" s="6"/>
      <c r="B261" s="88"/>
      <c r="C261" s="292"/>
      <c r="E261" s="34"/>
      <c r="F261" s="41"/>
      <c r="G261" s="91"/>
      <c r="H261" s="272"/>
      <c r="I261" s="93"/>
    </row>
    <row r="262" spans="1:10" x14ac:dyDescent="0.6">
      <c r="A262" s="6"/>
      <c r="C262" s="293"/>
      <c r="E262" s="293"/>
      <c r="G262" s="42" t="s">
        <v>134</v>
      </c>
    </row>
    <row r="263" spans="1:10" x14ac:dyDescent="0.6">
      <c r="A263" s="6"/>
      <c r="B263" t="s">
        <v>140</v>
      </c>
      <c r="C263" s="295">
        <f>ROUND(+C218/$D$223,3)</f>
        <v>1.0309999999999999</v>
      </c>
      <c r="E263" s="293"/>
      <c r="G263" s="91" t="s">
        <v>136</v>
      </c>
      <c r="H263" s="272">
        <f>+G206</f>
        <v>4.4800000000000004</v>
      </c>
      <c r="I263" s="93" t="s">
        <v>137</v>
      </c>
    </row>
    <row r="264" spans="1:10" x14ac:dyDescent="0.6">
      <c r="A264" s="6"/>
      <c r="C264" s="293"/>
      <c r="E264" s="293"/>
    </row>
    <row r="265" spans="1:10" x14ac:dyDescent="0.6">
      <c r="A265" s="6"/>
      <c r="C265" s="293"/>
      <c r="E265" s="293"/>
    </row>
    <row r="266" spans="1:10" x14ac:dyDescent="0.6">
      <c r="A266" s="15" t="s">
        <v>160</v>
      </c>
      <c r="B266" s="5" t="s">
        <v>161</v>
      </c>
    </row>
    <row r="267" spans="1:10" x14ac:dyDescent="0.6">
      <c r="A267" s="6"/>
      <c r="B267" s="11"/>
    </row>
    <row r="268" spans="1:10" x14ac:dyDescent="0.6">
      <c r="A268" s="6"/>
      <c r="B268" s="11" t="s">
        <v>151</v>
      </c>
    </row>
    <row r="269" spans="1:10" x14ac:dyDescent="0.6">
      <c r="A269" s="6"/>
      <c r="B269" s="211" t="s">
        <v>162</v>
      </c>
    </row>
    <row r="270" spans="1:10" x14ac:dyDescent="0.6">
      <c r="A270" s="6"/>
      <c r="B270" s="4" t="s">
        <v>61</v>
      </c>
    </row>
    <row r="271" spans="1:10" x14ac:dyDescent="0.6">
      <c r="A271" s="6"/>
      <c r="C271" s="12" t="str">
        <f t="shared" ref="C271" si="46">+C6</f>
        <v>SC1</v>
      </c>
      <c r="D271" s="12" t="str">
        <f>+D6</f>
        <v>SC3</v>
      </c>
      <c r="E271" s="12" t="str">
        <f>+E6</f>
        <v>SC2 ND</v>
      </c>
      <c r="F271" s="12" t="str">
        <f>+F6</f>
        <v>SC4</v>
      </c>
      <c r="G271" s="12" t="str">
        <f>+G6</f>
        <v>SC6</v>
      </c>
      <c r="H271" s="12" t="str">
        <f>$I$24</f>
        <v>SC1 TOD</v>
      </c>
    </row>
    <row r="272" spans="1:10" x14ac:dyDescent="0.6">
      <c r="A272" s="6"/>
      <c r="C272" s="8"/>
      <c r="D272" s="272"/>
      <c r="E272" s="8"/>
    </row>
    <row r="273" spans="1:9" x14ac:dyDescent="0.6">
      <c r="A273" s="6"/>
      <c r="B273" s="87" t="s">
        <v>64</v>
      </c>
      <c r="C273" s="287">
        <f t="shared" ref="C273" si="47">C181-C$167</f>
        <v>85.559708786442243</v>
      </c>
      <c r="D273" s="287">
        <f>D181-D$167</f>
        <v>78.647241682660848</v>
      </c>
      <c r="E273" s="287">
        <f>E181-E$167</f>
        <v>81.261895579050204</v>
      </c>
      <c r="F273" s="287">
        <f>F181-F$167</f>
        <v>69.620370254500102</v>
      </c>
      <c r="G273" s="287">
        <f>G181-G$167</f>
        <v>69.375046896920139</v>
      </c>
      <c r="H273" s="272">
        <f>H181-H$167</f>
        <v>85.559708786442243</v>
      </c>
    </row>
    <row r="274" spans="1:9" x14ac:dyDescent="0.6">
      <c r="A274" s="6"/>
      <c r="B274" s="88" t="s">
        <v>79</v>
      </c>
      <c r="C274" s="272"/>
      <c r="D274" s="287">
        <f>D182-D$167</f>
        <v>94.680811832483428</v>
      </c>
      <c r="E274" s="272"/>
      <c r="F274" s="272"/>
      <c r="G274" s="272"/>
      <c r="H274" s="90">
        <f>H182-H$167</f>
        <v>119.6188854987254</v>
      </c>
    </row>
    <row r="275" spans="1:9" x14ac:dyDescent="0.6">
      <c r="A275" s="6"/>
      <c r="B275" s="88" t="s">
        <v>80</v>
      </c>
      <c r="C275" s="272"/>
      <c r="D275" s="287">
        <f>D183-D$167</f>
        <v>67.261440874286109</v>
      </c>
      <c r="E275" s="272"/>
      <c r="F275" s="272"/>
      <c r="G275" s="272"/>
      <c r="H275" s="90">
        <f>H183-H$167</f>
        <v>70.403374307865107</v>
      </c>
    </row>
    <row r="276" spans="1:9" x14ac:dyDescent="0.6">
      <c r="A276" s="6"/>
      <c r="B276" s="103" t="s">
        <v>128</v>
      </c>
      <c r="C276" s="272">
        <f>(C273*SUM(C49:C52)-C158*10*E157*SUM(C49:C52))/SUM(C49:C52)</f>
        <v>45.59878778644223</v>
      </c>
      <c r="D276" s="287"/>
      <c r="E276" s="272"/>
      <c r="F276" s="272"/>
      <c r="G276" s="272"/>
    </row>
    <row r="277" spans="1:9" x14ac:dyDescent="0.6">
      <c r="A277" s="6"/>
      <c r="B277" s="103" t="s">
        <v>129</v>
      </c>
      <c r="C277" s="272">
        <f>C276+C158*10</f>
        <v>115.66878778644225</v>
      </c>
      <c r="D277" s="287"/>
      <c r="E277" s="272"/>
      <c r="F277" s="272"/>
      <c r="G277" s="272"/>
    </row>
    <row r="278" spans="1:9" x14ac:dyDescent="0.6">
      <c r="A278" s="6"/>
      <c r="B278" s="272"/>
      <c r="C278" s="272"/>
      <c r="D278" s="287"/>
      <c r="E278" s="272"/>
      <c r="F278" s="272"/>
      <c r="G278" s="272"/>
    </row>
    <row r="279" spans="1:9" x14ac:dyDescent="0.6">
      <c r="A279" s="6"/>
      <c r="C279" s="272"/>
      <c r="D279" s="272"/>
      <c r="E279" s="272"/>
      <c r="F279" s="272"/>
      <c r="G279" s="272"/>
    </row>
    <row r="280" spans="1:9" x14ac:dyDescent="0.6">
      <c r="A280" s="6"/>
      <c r="B280" s="87" t="s">
        <v>70</v>
      </c>
      <c r="C280" s="287">
        <f t="shared" ref="C280" si="48">C188-C$167</f>
        <v>91.948364380831023</v>
      </c>
      <c r="D280" s="287">
        <f>D188-D$167</f>
        <v>80.967734567474992</v>
      </c>
      <c r="E280" s="287">
        <f>E188-E$167</f>
        <v>84.713996709437296</v>
      </c>
      <c r="F280" s="287">
        <f>F188-F$167</f>
        <v>77.181680891540537</v>
      </c>
      <c r="G280" s="287">
        <f>G188-G$167</f>
        <v>76.823082365347886</v>
      </c>
      <c r="H280" s="272">
        <f>H188-H$167</f>
        <v>91.948364380831023</v>
      </c>
    </row>
    <row r="281" spans="1:9" x14ac:dyDescent="0.6">
      <c r="A281" s="6"/>
      <c r="B281" s="88" t="s">
        <v>79</v>
      </c>
      <c r="C281" s="272"/>
      <c r="D281" s="287">
        <f>D189-D$167</f>
        <v>90.399261172811322</v>
      </c>
      <c r="E281" s="272"/>
      <c r="F281" s="272"/>
      <c r="G281" s="272"/>
      <c r="H281" s="90">
        <f>H189-H$167</f>
        <v>137.8387587334791</v>
      </c>
    </row>
    <row r="282" spans="1:9" x14ac:dyDescent="0.6">
      <c r="A282" s="6"/>
      <c r="B282" s="88" t="s">
        <v>80</v>
      </c>
      <c r="C282" s="272"/>
      <c r="D282" s="287">
        <f>D190-D$167</f>
        <v>75.749782800460281</v>
      </c>
      <c r="E282" s="272"/>
      <c r="F282" s="272"/>
      <c r="G282" s="272"/>
      <c r="H282" s="90">
        <f>H190-H$167</f>
        <v>77.215387268932432</v>
      </c>
    </row>
    <row r="283" spans="1:9" x14ac:dyDescent="0.6">
      <c r="A283" s="6"/>
      <c r="C283" s="272"/>
      <c r="D283" s="272"/>
      <c r="E283" s="272"/>
      <c r="F283" s="272"/>
      <c r="G283" s="272"/>
    </row>
    <row r="284" spans="1:9" x14ac:dyDescent="0.6">
      <c r="A284" s="6"/>
      <c r="B284" t="s">
        <v>130</v>
      </c>
      <c r="C284" s="287">
        <f t="shared" ref="C284" si="49">C192-C$167</f>
        <v>89.127058672519865</v>
      </c>
      <c r="D284" s="287">
        <f>D192-D$167</f>
        <v>80.202036832376294</v>
      </c>
      <c r="E284" s="287">
        <f>E192-E$167</f>
        <v>83.741096643245768</v>
      </c>
      <c r="F284" s="287">
        <f>F192-F$167</f>
        <v>75.053558419482798</v>
      </c>
      <c r="G284" s="287">
        <f>G192-G$167</f>
        <v>74.688372219917952</v>
      </c>
      <c r="H284" s="272">
        <f>H192-H$167</f>
        <v>89.127058672519865</v>
      </c>
    </row>
    <row r="285" spans="1:9" x14ac:dyDescent="0.6">
      <c r="A285" s="6"/>
      <c r="C285" s="272"/>
      <c r="D285" s="272"/>
      <c r="E285" s="272"/>
      <c r="F285" s="272"/>
      <c r="G285" s="272"/>
      <c r="H285" s="272"/>
      <c r="I285" s="272"/>
    </row>
    <row r="286" spans="1:9" x14ac:dyDescent="0.6">
      <c r="A286" s="15" t="s">
        <v>160</v>
      </c>
      <c r="B286" s="224" t="s">
        <v>138</v>
      </c>
      <c r="C286" s="272"/>
      <c r="D286" s="272"/>
      <c r="E286" s="272"/>
      <c r="F286" s="272"/>
      <c r="G286" s="272"/>
      <c r="H286" s="272"/>
      <c r="I286" s="272"/>
    </row>
    <row r="287" spans="1:9" x14ac:dyDescent="0.6">
      <c r="A287" s="6"/>
      <c r="C287" s="272"/>
      <c r="D287" s="272"/>
      <c r="E287" s="272"/>
      <c r="F287" s="272"/>
      <c r="G287" s="272"/>
      <c r="H287" s="272"/>
      <c r="I287" s="272"/>
    </row>
    <row r="288" spans="1:9" x14ac:dyDescent="0.6">
      <c r="A288" s="6"/>
      <c r="B288" s="11" t="s">
        <v>156</v>
      </c>
    </row>
    <row r="289" spans="1:10" x14ac:dyDescent="0.6">
      <c r="A289" s="6"/>
      <c r="B289" s="211" t="s">
        <v>163</v>
      </c>
    </row>
    <row r="290" spans="1:10" x14ac:dyDescent="0.6">
      <c r="A290" s="6"/>
      <c r="B290" s="6" t="s">
        <v>164</v>
      </c>
    </row>
    <row r="291" spans="1:10" x14ac:dyDescent="0.6">
      <c r="A291" s="6"/>
      <c r="B291" s="6"/>
    </row>
    <row r="292" spans="1:10" x14ac:dyDescent="0.6">
      <c r="A292" s="6"/>
      <c r="C292" s="12" t="str">
        <f>+H6</f>
        <v>SC2 Dem</v>
      </c>
      <c r="D292" s="8"/>
      <c r="E292" s="8"/>
      <c r="G292" s="11" t="s">
        <v>132</v>
      </c>
    </row>
    <row r="293" spans="1:10" x14ac:dyDescent="0.6">
      <c r="A293" s="6"/>
      <c r="C293" s="8"/>
      <c r="D293" s="8"/>
      <c r="F293" s="11"/>
    </row>
    <row r="294" spans="1:10" x14ac:dyDescent="0.6">
      <c r="A294" s="6"/>
      <c r="B294" s="87" t="s">
        <v>64</v>
      </c>
      <c r="C294" s="272">
        <f>C198</f>
        <v>76.906745362575151</v>
      </c>
      <c r="D294" s="272"/>
      <c r="G294" s="24" t="s">
        <v>133</v>
      </c>
    </row>
    <row r="295" spans="1:10" x14ac:dyDescent="0.6">
      <c r="A295" s="6"/>
      <c r="B295" s="88"/>
      <c r="C295" s="272"/>
      <c r="D295" s="272"/>
    </row>
    <row r="296" spans="1:10" x14ac:dyDescent="0.6">
      <c r="A296" s="6"/>
      <c r="B296" s="88"/>
      <c r="C296" s="272"/>
      <c r="D296" s="272"/>
      <c r="H296" s="12"/>
      <c r="I296" s="12" t="str">
        <f t="shared" ref="I296" si="50">I257</f>
        <v>SC2 Dem</v>
      </c>
      <c r="J296" s="12"/>
    </row>
    <row r="297" spans="1:10" x14ac:dyDescent="0.6">
      <c r="A297" s="6"/>
      <c r="C297" s="272"/>
      <c r="D297" s="272"/>
    </row>
    <row r="298" spans="1:10" x14ac:dyDescent="0.6">
      <c r="A298" s="6"/>
      <c r="B298" s="87" t="s">
        <v>70</v>
      </c>
      <c r="C298" s="272">
        <f>C202</f>
        <v>79.55446403463101</v>
      </c>
      <c r="D298" s="272"/>
      <c r="G298" s="103" t="s">
        <v>98</v>
      </c>
      <c r="H298" s="288"/>
      <c r="I298" s="288">
        <f t="shared" ref="I298:I299" si="51">I259</f>
        <v>1.95</v>
      </c>
      <c r="J298" s="288"/>
    </row>
    <row r="299" spans="1:10" x14ac:dyDescent="0.6">
      <c r="A299" s="6"/>
      <c r="B299" s="88"/>
      <c r="C299" s="272"/>
      <c r="D299" s="272"/>
      <c r="G299" s="103" t="s">
        <v>104</v>
      </c>
      <c r="H299" s="288"/>
      <c r="I299" s="288">
        <f t="shared" si="51"/>
        <v>2.19</v>
      </c>
      <c r="J299" s="288"/>
    </row>
    <row r="300" spans="1:10" x14ac:dyDescent="0.6">
      <c r="A300" s="6"/>
      <c r="B300" s="88"/>
      <c r="C300" s="272"/>
      <c r="D300" s="272"/>
    </row>
    <row r="301" spans="1:10" x14ac:dyDescent="0.6">
      <c r="A301" s="6"/>
      <c r="B301" s="88"/>
      <c r="C301" s="272"/>
      <c r="D301" s="272"/>
      <c r="G301" s="27"/>
      <c r="I301" s="93"/>
    </row>
    <row r="302" spans="1:10" x14ac:dyDescent="0.6">
      <c r="A302" s="6"/>
      <c r="B302" t="s">
        <v>135</v>
      </c>
      <c r="C302" s="272">
        <f>C206</f>
        <v>78.543249673937808</v>
      </c>
      <c r="D302" s="272"/>
      <c r="G302" s="103"/>
      <c r="H302" s="274"/>
      <c r="I302" s="93"/>
    </row>
    <row r="303" spans="1:10" x14ac:dyDescent="0.6">
      <c r="A303" s="6"/>
      <c r="C303" s="272"/>
      <c r="D303" s="272"/>
    </row>
    <row r="304" spans="1:10" x14ac:dyDescent="0.6">
      <c r="A304" s="6"/>
      <c r="B304" s="241" t="s">
        <v>165</v>
      </c>
      <c r="C304" s="272"/>
      <c r="D304" s="272"/>
      <c r="E304" s="90"/>
    </row>
    <row r="305" spans="1:14" x14ac:dyDescent="0.6">
      <c r="A305" s="6"/>
      <c r="B305" s="87" t="s">
        <v>64</v>
      </c>
      <c r="C305" s="287">
        <f>(C294*Q48+($I298*($M$223/4*H144)))/Q48</f>
        <v>83.715416904768134</v>
      </c>
      <c r="D305" s="287"/>
      <c r="E305" s="285"/>
    </row>
    <row r="306" spans="1:14" x14ac:dyDescent="0.6">
      <c r="A306" s="6"/>
      <c r="B306" s="88"/>
      <c r="C306" s="272"/>
      <c r="D306" s="287"/>
      <c r="N306" s="287"/>
    </row>
    <row r="307" spans="1:14" x14ac:dyDescent="0.6">
      <c r="A307" s="6"/>
      <c r="B307" s="88"/>
      <c r="C307" s="272"/>
      <c r="D307" s="287"/>
      <c r="N307" s="272"/>
    </row>
    <row r="308" spans="1:14" x14ac:dyDescent="0.6">
      <c r="A308" s="6"/>
      <c r="C308" s="272"/>
      <c r="D308" s="272"/>
      <c r="N308" s="272"/>
    </row>
    <row r="309" spans="1:14" x14ac:dyDescent="0.6">
      <c r="A309" s="6"/>
      <c r="B309" s="87" t="s">
        <v>70</v>
      </c>
      <c r="C309" s="287">
        <f>(C298*Q44+($I299*($M$224/8*H145)))/Q44</f>
        <v>87.572831941845749</v>
      </c>
      <c r="D309" s="287"/>
      <c r="N309" s="272"/>
    </row>
    <row r="310" spans="1:14" x14ac:dyDescent="0.6">
      <c r="A310" s="6"/>
      <c r="B310" s="88"/>
      <c r="C310" s="272"/>
      <c r="D310" s="287"/>
      <c r="N310" s="287"/>
    </row>
    <row r="311" spans="1:14" x14ac:dyDescent="0.6">
      <c r="A311" s="6"/>
      <c r="B311" s="88"/>
      <c r="C311" s="272"/>
      <c r="D311" s="287"/>
      <c r="N311" s="272"/>
    </row>
    <row r="312" spans="1:14" x14ac:dyDescent="0.6">
      <c r="A312" s="6"/>
      <c r="B312" s="88"/>
      <c r="C312" s="272"/>
      <c r="D312" s="272"/>
      <c r="N312" s="272"/>
    </row>
    <row r="313" spans="1:14" x14ac:dyDescent="0.6">
      <c r="A313" s="6"/>
      <c r="B313" t="s">
        <v>140</v>
      </c>
      <c r="C313" s="287">
        <f>(C302*H56+($I298*($M$223/4*H144))+($I299*($M$224/8*H145)))/H56</f>
        <v>86.099611421170863</v>
      </c>
      <c r="D313" s="287"/>
      <c r="N313" s="272"/>
    </row>
    <row r="314" spans="1:14" x14ac:dyDescent="0.6">
      <c r="A314" s="6"/>
      <c r="C314" s="107"/>
      <c r="D314" s="107"/>
      <c r="N314" s="287"/>
    </row>
    <row r="315" spans="1:14" x14ac:dyDescent="0.6">
      <c r="A315" s="6"/>
      <c r="B315" s="11" t="s">
        <v>141</v>
      </c>
      <c r="C315" s="272"/>
      <c r="D315" s="272"/>
    </row>
    <row r="316" spans="1:14" x14ac:dyDescent="0.6">
      <c r="A316" s="6"/>
      <c r="B316" s="103" t="s">
        <v>142</v>
      </c>
      <c r="C316" s="290">
        <f>(+SUMPRODUCT(C284:G284,C56:G56)+SUMPRODUCT(C313,H56))/1000</f>
        <v>90338.400528007478</v>
      </c>
    </row>
    <row r="317" spans="1:14" x14ac:dyDescent="0.6">
      <c r="A317" s="6"/>
      <c r="C317" s="103" t="s">
        <v>144</v>
      </c>
      <c r="D317" s="287">
        <f>+C316/SUM(C56:H56)*1000</f>
        <v>87.988281540070275</v>
      </c>
      <c r="E317" t="s">
        <v>145</v>
      </c>
    </row>
    <row r="318" spans="1:14" x14ac:dyDescent="0.6">
      <c r="A318" s="6"/>
      <c r="C318" s="103" t="s">
        <v>166</v>
      </c>
      <c r="D318" s="287">
        <f>+C316/SUMPRODUCT(C56:H56,C81:H81)*1000</f>
        <v>81.733020781175313</v>
      </c>
      <c r="E318" t="s">
        <v>167</v>
      </c>
    </row>
    <row r="319" spans="1:14" x14ac:dyDescent="0.6">
      <c r="A319" s="6"/>
    </row>
    <row r="320" spans="1:14" x14ac:dyDescent="0.6">
      <c r="A320" s="15" t="s">
        <v>168</v>
      </c>
      <c r="B320" s="5" t="s">
        <v>169</v>
      </c>
    </row>
    <row r="321" spans="1:10" x14ac:dyDescent="0.6">
      <c r="A321" s="6"/>
      <c r="B321" s="11"/>
    </row>
    <row r="322" spans="1:10" x14ac:dyDescent="0.6">
      <c r="A322" s="6"/>
      <c r="B322" s="11" t="s">
        <v>151</v>
      </c>
    </row>
    <row r="323" spans="1:10" x14ac:dyDescent="0.6">
      <c r="A323" s="6"/>
      <c r="B323" s="4" t="s">
        <v>152</v>
      </c>
    </row>
    <row r="324" spans="1:10" x14ac:dyDescent="0.6">
      <c r="A324" s="6"/>
      <c r="B324" s="11"/>
    </row>
    <row r="325" spans="1:10" x14ac:dyDescent="0.6">
      <c r="A325" s="6"/>
      <c r="C325" s="12" t="str">
        <f t="shared" ref="C325" si="52">+C6</f>
        <v>SC1</v>
      </c>
      <c r="D325" s="12" t="str">
        <f>+D6</f>
        <v>SC3</v>
      </c>
      <c r="E325" s="12" t="str">
        <f>+E6</f>
        <v>SC2 ND</v>
      </c>
      <c r="F325" s="12" t="str">
        <f>+F6</f>
        <v>SC4</v>
      </c>
      <c r="G325" s="12" t="str">
        <f>+G6</f>
        <v>SC6</v>
      </c>
      <c r="H325" s="12" t="str">
        <f>$I$24</f>
        <v>SC1 TOD</v>
      </c>
    </row>
    <row r="326" spans="1:10" x14ac:dyDescent="0.6">
      <c r="A326" s="6"/>
      <c r="C326" s="8"/>
      <c r="D326" s="8"/>
      <c r="E326" s="8"/>
    </row>
    <row r="327" spans="1:10" x14ac:dyDescent="0.6">
      <c r="A327" s="6"/>
      <c r="B327" s="87" t="s">
        <v>64</v>
      </c>
      <c r="C327" s="31">
        <f>ROUND(+C273/$D$318,3)</f>
        <v>1.0469999999999999</v>
      </c>
      <c r="D327" s="292"/>
      <c r="E327" s="31">
        <f>ROUND(+E273/$D$318,3)</f>
        <v>0.99399999999999999</v>
      </c>
      <c r="F327" s="31">
        <f>ROUND(+F273/$D$318,3)</f>
        <v>0.85199999999999998</v>
      </c>
      <c r="G327" s="31">
        <f>ROUND(+G273/$D$318,3)</f>
        <v>0.84899999999999998</v>
      </c>
      <c r="H327" s="43"/>
      <c r="I327" s="293"/>
      <c r="J327" s="293"/>
    </row>
    <row r="328" spans="1:10" x14ac:dyDescent="0.6">
      <c r="A328" s="6"/>
      <c r="B328" s="88" t="s">
        <v>79</v>
      </c>
      <c r="C328" s="292"/>
      <c r="D328" s="31">
        <f>ROUND(+D274/$D$318,3)</f>
        <v>1.1579999999999999</v>
      </c>
      <c r="E328" s="292"/>
      <c r="F328" s="292"/>
      <c r="G328" s="292"/>
      <c r="H328" s="44">
        <f>ROUND(+H274/$D$318,3)</f>
        <v>1.464</v>
      </c>
      <c r="I328" s="293"/>
      <c r="J328" s="293"/>
    </row>
    <row r="329" spans="1:10" x14ac:dyDescent="0.6">
      <c r="A329" s="6"/>
      <c r="B329" s="88" t="s">
        <v>80</v>
      </c>
      <c r="C329" s="292"/>
      <c r="D329" s="31">
        <f>ROUND(+D275/$D$318,3)</f>
        <v>0.82299999999999995</v>
      </c>
      <c r="E329" s="292"/>
      <c r="F329" s="292"/>
      <c r="G329" s="292"/>
      <c r="H329" s="44">
        <f>ROUND(+H275/$D$318,3)</f>
        <v>0.86099999999999999</v>
      </c>
      <c r="I329" s="293"/>
      <c r="J329" s="293"/>
    </row>
    <row r="330" spans="1:10" x14ac:dyDescent="0.6">
      <c r="A330" s="6"/>
      <c r="C330" s="292"/>
      <c r="D330" s="292"/>
      <c r="E330" s="292"/>
      <c r="F330" s="292"/>
      <c r="G330" s="292"/>
      <c r="H330" s="43"/>
      <c r="I330" s="293"/>
      <c r="J330" s="293"/>
    </row>
    <row r="331" spans="1:10" x14ac:dyDescent="0.6">
      <c r="A331" s="6"/>
      <c r="B331" s="25"/>
      <c r="D331" s="292"/>
      <c r="E331" s="292"/>
      <c r="F331" s="292"/>
      <c r="G331" s="292"/>
      <c r="H331" s="43"/>
      <c r="I331" s="293"/>
      <c r="J331" s="293"/>
    </row>
    <row r="332" spans="1:10" x14ac:dyDescent="0.6">
      <c r="A332" s="6"/>
      <c r="B332" s="35" t="s">
        <v>153</v>
      </c>
      <c r="C332" s="36">
        <f>C276-C273</f>
        <v>-39.960921000000013</v>
      </c>
      <c r="D332" s="292"/>
      <c r="E332" s="292"/>
      <c r="F332" s="292"/>
      <c r="G332" s="292"/>
      <c r="H332" s="43"/>
      <c r="I332" s="293"/>
      <c r="J332" s="293"/>
    </row>
    <row r="333" spans="1:10" x14ac:dyDescent="0.6">
      <c r="A333" s="6"/>
      <c r="B333" s="35" t="s">
        <v>154</v>
      </c>
      <c r="C333" s="36">
        <f>C277-C273</f>
        <v>30.109079000000008</v>
      </c>
      <c r="D333" s="292"/>
      <c r="E333" s="292"/>
      <c r="F333" s="292"/>
      <c r="G333" s="292"/>
      <c r="H333" s="43"/>
      <c r="I333" s="293"/>
      <c r="J333" s="293"/>
    </row>
    <row r="334" spans="1:10" x14ac:dyDescent="0.6">
      <c r="A334" s="6"/>
      <c r="B334" s="292"/>
      <c r="C334" s="292"/>
      <c r="D334" s="292"/>
      <c r="E334" s="292"/>
      <c r="F334" s="292"/>
      <c r="G334" s="292"/>
      <c r="H334" s="43"/>
      <c r="I334" s="293"/>
      <c r="J334" s="293"/>
    </row>
    <row r="335" spans="1:10" x14ac:dyDescent="0.6">
      <c r="A335" s="6"/>
      <c r="C335" s="292"/>
      <c r="D335" s="292"/>
      <c r="E335" s="292"/>
      <c r="F335" s="292"/>
      <c r="G335" s="292"/>
      <c r="H335" s="43"/>
      <c r="I335" s="293"/>
      <c r="J335" s="293"/>
    </row>
    <row r="336" spans="1:10" x14ac:dyDescent="0.6">
      <c r="A336" s="6"/>
      <c r="B336" s="87" t="s">
        <v>70</v>
      </c>
      <c r="C336" s="31">
        <f>ROUND(+C280/$D$318,3)</f>
        <v>1.125</v>
      </c>
      <c r="D336" s="294"/>
      <c r="E336" s="31">
        <f>ROUND(+E280/$D$318,3)</f>
        <v>1.036</v>
      </c>
      <c r="F336" s="31">
        <f>ROUND(+F280/$D$318,3)</f>
        <v>0.94399999999999995</v>
      </c>
      <c r="G336" s="31">
        <f>ROUND(+G280/$D$318,3)</f>
        <v>0.94</v>
      </c>
      <c r="H336" s="43"/>
      <c r="I336" s="293"/>
      <c r="J336" s="293"/>
    </row>
    <row r="337" spans="1:10" x14ac:dyDescent="0.6">
      <c r="A337" s="6"/>
      <c r="B337" s="88" t="s">
        <v>79</v>
      </c>
      <c r="C337" s="292"/>
      <c r="D337" s="31">
        <f>ROUND(+D281/$D$318,3)</f>
        <v>1.1060000000000001</v>
      </c>
      <c r="E337" s="292"/>
      <c r="F337" s="292"/>
      <c r="G337" s="292"/>
      <c r="H337" s="44">
        <f>ROUND(+H281/$D$318,3)</f>
        <v>1.6859999999999999</v>
      </c>
      <c r="I337" s="293"/>
      <c r="J337" s="293"/>
    </row>
    <row r="338" spans="1:10" x14ac:dyDescent="0.6">
      <c r="A338" s="6"/>
      <c r="B338" s="88" t="s">
        <v>80</v>
      </c>
      <c r="C338" s="292"/>
      <c r="D338" s="31">
        <f>ROUND(+D282/$D$318,3)</f>
        <v>0.92700000000000005</v>
      </c>
      <c r="E338" s="292"/>
      <c r="F338" s="292"/>
      <c r="G338" s="292"/>
      <c r="H338" s="44">
        <f>ROUND(+H282/$D$318,3)</f>
        <v>0.94499999999999995</v>
      </c>
      <c r="I338" s="293"/>
      <c r="J338" s="293"/>
    </row>
    <row r="339" spans="1:10" x14ac:dyDescent="0.6">
      <c r="A339" s="6"/>
      <c r="C339" s="293"/>
      <c r="D339" s="293"/>
      <c r="E339" s="293"/>
      <c r="F339" s="293"/>
      <c r="G339" s="293"/>
      <c r="H339" s="295"/>
      <c r="I339" s="293"/>
      <c r="J339" s="293"/>
    </row>
    <row r="340" spans="1:10" x14ac:dyDescent="0.6">
      <c r="A340" s="6"/>
      <c r="B340" t="s">
        <v>155</v>
      </c>
      <c r="C340" s="294">
        <f>ROUND(+C284/$D$318,3)</f>
        <v>1.0900000000000001</v>
      </c>
      <c r="D340" s="294">
        <f>ROUND(+D284/$D$318,3)</f>
        <v>0.98099999999999998</v>
      </c>
      <c r="E340" s="294">
        <f>ROUND(,3)+E284/$D$318</f>
        <v>1.0245687219544559</v>
      </c>
      <c r="F340" s="294">
        <f>ROUND(+F284/$D$318,3)</f>
        <v>0.91800000000000004</v>
      </c>
      <c r="G340" s="294">
        <f>ROUND(+G284/$D$318,3)</f>
        <v>0.91400000000000003</v>
      </c>
      <c r="H340" s="295">
        <f>ROUND(+H284/$D$318,3)</f>
        <v>1.0900000000000001</v>
      </c>
      <c r="I340" s="293"/>
      <c r="J340" s="293"/>
    </row>
    <row r="341" spans="1:10" x14ac:dyDescent="0.6">
      <c r="A341" s="6"/>
    </row>
    <row r="342" spans="1:10" x14ac:dyDescent="0.6">
      <c r="A342" s="6"/>
    </row>
    <row r="343" spans="1:10" x14ac:dyDescent="0.6">
      <c r="A343" s="6"/>
      <c r="B343" s="11" t="s">
        <v>156</v>
      </c>
    </row>
    <row r="344" spans="1:10" x14ac:dyDescent="0.6">
      <c r="A344" s="6"/>
      <c r="B344" s="4" t="s">
        <v>170</v>
      </c>
    </row>
    <row r="345" spans="1:10" x14ac:dyDescent="0.6">
      <c r="A345" s="6"/>
    </row>
    <row r="346" spans="1:10" x14ac:dyDescent="0.6">
      <c r="A346" s="6"/>
      <c r="C346" s="25" t="str">
        <f>+H6</f>
        <v>SC2 Dem</v>
      </c>
      <c r="D346" s="25" t="str">
        <f>+C346</f>
        <v>SC2 Dem</v>
      </c>
      <c r="E346" s="8"/>
      <c r="F346" s="8"/>
      <c r="G346" s="40" t="s">
        <v>132</v>
      </c>
    </row>
    <row r="347" spans="1:10" x14ac:dyDescent="0.6">
      <c r="A347" s="6"/>
      <c r="C347" s="12" t="s">
        <v>158</v>
      </c>
      <c r="D347" s="45" t="s">
        <v>159</v>
      </c>
      <c r="E347" s="8"/>
      <c r="F347" s="8"/>
      <c r="G347" s="89"/>
    </row>
    <row r="348" spans="1:10" x14ac:dyDescent="0.6">
      <c r="A348" s="6"/>
      <c r="B348" s="87" t="s">
        <v>64</v>
      </c>
      <c r="C348" s="31">
        <f>ROUND(+C305/$D$318,3)</f>
        <v>1.024</v>
      </c>
      <c r="D348" s="46">
        <f>C294-C305</f>
        <v>-6.8086715421929824</v>
      </c>
      <c r="F348" s="90"/>
      <c r="G348" s="28" t="s">
        <v>133</v>
      </c>
    </row>
    <row r="349" spans="1:10" x14ac:dyDescent="0.6">
      <c r="A349" s="6"/>
      <c r="B349" s="88"/>
      <c r="C349" s="294"/>
      <c r="D349" s="46"/>
      <c r="E349" s="34"/>
      <c r="F349" s="41"/>
      <c r="G349" s="89"/>
    </row>
    <row r="350" spans="1:10" x14ac:dyDescent="0.6">
      <c r="A350" s="6"/>
      <c r="B350" s="88"/>
      <c r="C350" s="294"/>
      <c r="D350" s="46"/>
      <c r="E350" s="34"/>
      <c r="F350" s="41"/>
      <c r="G350" s="89"/>
      <c r="H350" s="12"/>
      <c r="I350" s="12" t="str">
        <f t="shared" ref="I350" si="53">I296</f>
        <v>SC2 Dem</v>
      </c>
      <c r="J350" s="12"/>
    </row>
    <row r="351" spans="1:10" x14ac:dyDescent="0.6">
      <c r="A351" s="6"/>
      <c r="C351" s="294"/>
      <c r="D351" s="46"/>
      <c r="E351" s="292"/>
      <c r="F351" s="41"/>
      <c r="G351" s="89"/>
    </row>
    <row r="352" spans="1:10" x14ac:dyDescent="0.6">
      <c r="A352" s="6"/>
      <c r="B352" s="87" t="s">
        <v>70</v>
      </c>
      <c r="C352" s="31">
        <f>ROUND(+C309/$D$318,3)</f>
        <v>1.071</v>
      </c>
      <c r="D352" s="46">
        <f>C298-C309</f>
        <v>-8.0183679072147385</v>
      </c>
      <c r="E352" s="34"/>
      <c r="F352" s="41"/>
      <c r="G352" s="91" t="s">
        <v>98</v>
      </c>
      <c r="H352" s="288"/>
      <c r="I352" s="288">
        <f t="shared" ref="I352:I353" si="54">I298</f>
        <v>1.95</v>
      </c>
      <c r="J352" s="288"/>
    </row>
    <row r="353" spans="1:13" x14ac:dyDescent="0.6">
      <c r="A353" s="6"/>
      <c r="B353" s="88"/>
      <c r="C353" s="294"/>
      <c r="D353" s="92"/>
      <c r="E353" s="34"/>
      <c r="F353" s="41"/>
      <c r="G353" s="91" t="s">
        <v>104</v>
      </c>
      <c r="H353" s="288"/>
      <c r="I353" s="288">
        <f t="shared" si="54"/>
        <v>2.19</v>
      </c>
      <c r="J353" s="288"/>
    </row>
    <row r="354" spans="1:13" x14ac:dyDescent="0.6">
      <c r="A354" s="6"/>
      <c r="B354" s="88"/>
      <c r="C354" s="294"/>
      <c r="D354" s="92"/>
      <c r="E354" s="34"/>
      <c r="F354" s="41"/>
      <c r="G354" s="91"/>
      <c r="H354" s="272"/>
      <c r="I354" s="93"/>
    </row>
    <row r="355" spans="1:13" x14ac:dyDescent="0.6">
      <c r="A355" s="6"/>
      <c r="C355" s="295"/>
      <c r="D355" s="92"/>
      <c r="E355" s="293"/>
      <c r="G355" s="42"/>
    </row>
    <row r="356" spans="1:13" x14ac:dyDescent="0.6">
      <c r="A356" s="6"/>
      <c r="B356" t="s">
        <v>140</v>
      </c>
      <c r="C356" s="31">
        <f>ROUND(+C313/$D$318,3)</f>
        <v>1.0529999999999999</v>
      </c>
      <c r="D356" s="92"/>
      <c r="E356" s="293"/>
      <c r="G356" s="91"/>
      <c r="H356" s="272"/>
      <c r="I356" s="93"/>
    </row>
    <row r="357" spans="1:13" x14ac:dyDescent="0.6">
      <c r="A357" s="6"/>
    </row>
    <row r="358" spans="1:13" x14ac:dyDescent="0.6">
      <c r="A358" s="6"/>
      <c r="C358" s="293"/>
      <c r="E358" s="293"/>
    </row>
    <row r="359" spans="1:13" x14ac:dyDescent="0.6">
      <c r="A359" s="15" t="s">
        <v>171</v>
      </c>
      <c r="B359" s="11" t="s">
        <v>172</v>
      </c>
    </row>
    <row r="360" spans="1:13" x14ac:dyDescent="0.6">
      <c r="A360" s="6"/>
      <c r="B360" s="11"/>
    </row>
    <row r="361" spans="1:13" x14ac:dyDescent="0.6">
      <c r="A361" s="6"/>
      <c r="C361" s="12" t="str">
        <f t="shared" ref="C361:H361" si="55">C6</f>
        <v>SC1</v>
      </c>
      <c r="D361" s="12" t="str">
        <f t="shared" si="55"/>
        <v>SC3</v>
      </c>
      <c r="E361" s="12" t="str">
        <f t="shared" si="55"/>
        <v>SC2 ND</v>
      </c>
      <c r="F361" s="12" t="str">
        <f t="shared" si="55"/>
        <v>SC4</v>
      </c>
      <c r="G361" s="12" t="str">
        <f t="shared" si="55"/>
        <v>SC6</v>
      </c>
      <c r="H361" s="12" t="str">
        <f t="shared" si="55"/>
        <v>SC2 Dem</v>
      </c>
      <c r="I361" s="12" t="str">
        <f>$I$24</f>
        <v>SC1 TOD</v>
      </c>
      <c r="J361" s="8"/>
    </row>
    <row r="362" spans="1:13" x14ac:dyDescent="0.6">
      <c r="A362" s="6"/>
      <c r="B362" t="s">
        <v>173</v>
      </c>
      <c r="L362" s="90"/>
      <c r="M362" s="90"/>
    </row>
    <row r="363" spans="1:13" x14ac:dyDescent="0.6">
      <c r="A363" s="6"/>
      <c r="B363" s="105" t="s">
        <v>69</v>
      </c>
      <c r="C363" s="290">
        <f>(C184*SUM(C49:C52)*E156+C185*SUM(C49:C52)*E157)/1000</f>
        <v>32310.271856216885</v>
      </c>
      <c r="D363" s="106">
        <f>+D181*SUM(D49:D52)/1000</f>
        <v>24.476683772639831</v>
      </c>
      <c r="E363" s="106">
        <f>+E181*SUM(E49:E52)/1000</f>
        <v>365.90337964169095</v>
      </c>
      <c r="F363" s="106">
        <f>+F181*SUM(F49:F52)/1000</f>
        <v>124.69008312580969</v>
      </c>
      <c r="G363" s="106">
        <f>+G181*SUM(G49:G52)/1000</f>
        <v>97.888191171554311</v>
      </c>
      <c r="H363" s="290">
        <v>11326.62350554717</v>
      </c>
      <c r="I363" s="290">
        <f>+H181*SUM(C49:C52)/1000</f>
        <v>32310.271856216881</v>
      </c>
      <c r="J363" s="106"/>
      <c r="L363" s="90"/>
      <c r="M363" s="90"/>
    </row>
    <row r="364" spans="1:13" x14ac:dyDescent="0.6">
      <c r="A364" s="6"/>
      <c r="B364" s="105" t="s">
        <v>62</v>
      </c>
      <c r="C364" s="290">
        <f t="shared" ref="C364" si="56">+C188*SUM(C44:C48,C53:C55)/1000</f>
        <v>43334.017340200335</v>
      </c>
      <c r="D364" s="106">
        <f>+D188*SUM(D44:D48,D53:D55)/1000</f>
        <v>51.105104628299756</v>
      </c>
      <c r="E364" s="106">
        <f>+E188*SUM(E44:E48,E53:E55)/1000</f>
        <v>967.77979687756647</v>
      </c>
      <c r="F364" s="106">
        <f>+F188*SUM(F44:F48,F53:F55)/1000</f>
        <v>352.9132358765691</v>
      </c>
      <c r="G364" s="106">
        <f>+G188*SUM(G44:G48,G53:G55)/1000</f>
        <v>269.80266526710176</v>
      </c>
      <c r="H364" s="290">
        <v>19657.801249681848</v>
      </c>
      <c r="I364" s="290">
        <f>+H188*SUM(C44:C48,C53:C55)/1000</f>
        <v>43334.017340200335</v>
      </c>
      <c r="J364" s="106"/>
    </row>
    <row r="365" spans="1:13" x14ac:dyDescent="0.6">
      <c r="A365" s="6"/>
      <c r="B365" s="105" t="s">
        <v>36</v>
      </c>
      <c r="C365" s="111">
        <f>+C364+C363</f>
        <v>75644.289196417216</v>
      </c>
      <c r="D365" s="108">
        <f t="shared" ref="D365:I365" si="57">+D364+D363</f>
        <v>75.581788400939587</v>
      </c>
      <c r="E365" s="108">
        <f t="shared" si="57"/>
        <v>1333.6831765192574</v>
      </c>
      <c r="F365" s="108">
        <f t="shared" si="57"/>
        <v>477.60331900237878</v>
      </c>
      <c r="G365" s="106">
        <f t="shared" si="57"/>
        <v>367.69085643865606</v>
      </c>
      <c r="H365" s="106">
        <f t="shared" si="57"/>
        <v>30984.424755229018</v>
      </c>
      <c r="I365" s="108">
        <f t="shared" si="57"/>
        <v>75644.289196417216</v>
      </c>
      <c r="J365" s="106"/>
    </row>
    <row r="366" spans="1:13" x14ac:dyDescent="0.6">
      <c r="A366" s="6"/>
      <c r="B366" s="105"/>
    </row>
    <row r="367" spans="1:13" x14ac:dyDescent="0.6">
      <c r="A367" s="6"/>
      <c r="B367" t="s">
        <v>174</v>
      </c>
    </row>
    <row r="368" spans="1:13" x14ac:dyDescent="0.6">
      <c r="A368" s="6"/>
      <c r="B368" s="105" t="s">
        <v>69</v>
      </c>
      <c r="C368" s="258">
        <f t="shared" ref="C368:I368" si="58">+C363/C365</f>
        <v>0.42713431773177685</v>
      </c>
      <c r="D368" s="258">
        <f t="shared" si="58"/>
        <v>0.32384367041962653</v>
      </c>
      <c r="E368" s="258">
        <f t="shared" si="58"/>
        <v>0.27435554866685208</v>
      </c>
      <c r="F368" s="258">
        <f t="shared" si="58"/>
        <v>0.26107457415970897</v>
      </c>
      <c r="G368" s="258">
        <f t="shared" si="58"/>
        <v>0.26622416483148403</v>
      </c>
      <c r="H368" s="258">
        <f t="shared" si="58"/>
        <v>0.36555861840344983</v>
      </c>
      <c r="I368" s="258">
        <f t="shared" si="58"/>
        <v>0.42713431773177679</v>
      </c>
      <c r="J368" s="258"/>
    </row>
    <row r="369" spans="1:14" x14ac:dyDescent="0.6">
      <c r="A369" s="6"/>
      <c r="B369" s="105" t="s">
        <v>62</v>
      </c>
      <c r="C369" s="258">
        <f t="shared" ref="C369:I369" si="59">+C364/C365</f>
        <v>0.57286568226822321</v>
      </c>
      <c r="D369" s="258">
        <f t="shared" si="59"/>
        <v>0.67615632958037342</v>
      </c>
      <c r="E369" s="258">
        <f t="shared" si="59"/>
        <v>0.72564445133314803</v>
      </c>
      <c r="F369" s="258">
        <f t="shared" si="59"/>
        <v>0.73892542584029108</v>
      </c>
      <c r="G369" s="258">
        <f t="shared" si="59"/>
        <v>0.73377583516851597</v>
      </c>
      <c r="H369" s="258">
        <f t="shared" si="59"/>
        <v>0.63444138159655017</v>
      </c>
      <c r="I369" s="258">
        <f t="shared" si="59"/>
        <v>0.57286568226822321</v>
      </c>
      <c r="J369" s="258"/>
    </row>
    <row r="370" spans="1:14" x14ac:dyDescent="0.6">
      <c r="A370" s="6"/>
    </row>
    <row r="371" spans="1:14" x14ac:dyDescent="0.6">
      <c r="A371" s="6"/>
      <c r="B371" t="s">
        <v>175</v>
      </c>
    </row>
    <row r="372" spans="1:14" x14ac:dyDescent="0.6">
      <c r="A372" s="6"/>
      <c r="B372" s="105" t="s">
        <v>69</v>
      </c>
      <c r="C372" s="297">
        <f>+SUM(C363:H363)</f>
        <v>44249.853699475745</v>
      </c>
    </row>
    <row r="373" spans="1:14" x14ac:dyDescent="0.6">
      <c r="A373" s="6"/>
      <c r="B373" s="105" t="s">
        <v>62</v>
      </c>
      <c r="C373" s="297">
        <f>+SUM(C364:H364)</f>
        <v>64633.419392531723</v>
      </c>
    </row>
    <row r="374" spans="1:14" x14ac:dyDescent="0.6">
      <c r="A374" s="6"/>
      <c r="B374" s="105" t="s">
        <v>36</v>
      </c>
      <c r="C374" s="108">
        <f>+C373+C372</f>
        <v>108883.27309200747</v>
      </c>
    </row>
    <row r="375" spans="1:14" x14ac:dyDescent="0.6">
      <c r="A375" s="6"/>
    </row>
    <row r="376" spans="1:14" x14ac:dyDescent="0.6">
      <c r="A376" s="6"/>
      <c r="B376" t="s">
        <v>176</v>
      </c>
      <c r="D376" t="s">
        <v>177</v>
      </c>
      <c r="I376" s="313" t="s">
        <v>178</v>
      </c>
      <c r="J376" s="313"/>
    </row>
    <row r="377" spans="1:14" x14ac:dyDescent="0.6">
      <c r="A377" s="6"/>
      <c r="B377" s="105" t="s">
        <v>69</v>
      </c>
      <c r="C377" s="258">
        <f>+C372/C374</f>
        <v>0.40639716682730664</v>
      </c>
      <c r="E377" s="287">
        <f>+C372/SUMPRODUCT(L48:Q48,C81:H81)*1000</f>
        <v>95.359688896807029</v>
      </c>
      <c r="F377" t="s">
        <v>179</v>
      </c>
      <c r="I377" s="105" t="s">
        <v>69</v>
      </c>
      <c r="J377" s="47">
        <f>ROUND(E377/$D$223,4)</f>
        <v>0.96799999999999997</v>
      </c>
      <c r="K377" s="47"/>
    </row>
    <row r="378" spans="1:14" x14ac:dyDescent="0.6">
      <c r="A378" s="6"/>
      <c r="B378" s="105" t="s">
        <v>62</v>
      </c>
      <c r="C378" s="258">
        <f>+C373/C374</f>
        <v>0.59360283317269336</v>
      </c>
      <c r="E378" s="287">
        <f>+C373/SUMPRODUCT(L44:Q44,C81:H81)*1000</f>
        <v>100.79200298093394</v>
      </c>
      <c r="F378" t="s">
        <v>179</v>
      </c>
      <c r="I378" s="105" t="s">
        <v>62</v>
      </c>
      <c r="J378" s="47">
        <f>ROUND(E378/$D$223,4)</f>
        <v>1.0232000000000001</v>
      </c>
      <c r="K378" s="47"/>
    </row>
    <row r="379" spans="1:14" x14ac:dyDescent="0.6">
      <c r="A379" s="6"/>
    </row>
    <row r="380" spans="1:14" x14ac:dyDescent="0.6">
      <c r="A380" s="6"/>
      <c r="C380" s="293"/>
      <c r="E380" s="293"/>
    </row>
    <row r="381" spans="1:14" x14ac:dyDescent="0.6">
      <c r="A381" s="15" t="s">
        <v>180</v>
      </c>
      <c r="B381" s="5" t="s">
        <v>181</v>
      </c>
    </row>
    <row r="382" spans="1:14" x14ac:dyDescent="0.6">
      <c r="A382" s="6"/>
      <c r="B382" s="11"/>
    </row>
    <row r="383" spans="1:14" x14ac:dyDescent="0.6">
      <c r="A383" s="6"/>
      <c r="C383" s="12" t="str">
        <f t="shared" ref="C383:H383" si="60">C6</f>
        <v>SC1</v>
      </c>
      <c r="D383" s="12" t="str">
        <f t="shared" si="60"/>
        <v>SC3</v>
      </c>
      <c r="E383" s="12" t="str">
        <f t="shared" si="60"/>
        <v>SC2 ND</v>
      </c>
      <c r="F383" s="12" t="str">
        <f t="shared" si="60"/>
        <v>SC4</v>
      </c>
      <c r="G383" s="12" t="str">
        <f t="shared" si="60"/>
        <v>SC6</v>
      </c>
      <c r="H383" s="12" t="str">
        <f t="shared" si="60"/>
        <v>SC2 Dem</v>
      </c>
      <c r="I383" s="12" t="str">
        <f>I24</f>
        <v>SC1 TOD</v>
      </c>
      <c r="J383" s="8"/>
    </row>
    <row r="384" spans="1:14" x14ac:dyDescent="0.6">
      <c r="A384" s="6"/>
      <c r="B384" t="s">
        <v>173</v>
      </c>
      <c r="L384" s="290"/>
      <c r="N384" s="290"/>
    </row>
    <row r="385" spans="1:14" x14ac:dyDescent="0.6">
      <c r="A385" s="6"/>
      <c r="B385" s="105" t="s">
        <v>69</v>
      </c>
      <c r="C385" s="290">
        <f>(C276*SUM(C49:C52)*E156+C277*SUM(C49:C52)*E157)/1000</f>
        <v>26265.933087088637</v>
      </c>
      <c r="D385" s="290">
        <f>+D273*SUM(D49:D52)/1000</f>
        <v>23.429948496272807</v>
      </c>
      <c r="E385" s="290">
        <f>+E273*SUM(E49:E52)/1000</f>
        <v>326.67282022778181</v>
      </c>
      <c r="F385" s="290">
        <f>+F273*SUM(F49:F52)/1000</f>
        <v>124.69008312580969</v>
      </c>
      <c r="G385" s="290">
        <f>+G273*SUM(G49:G52)/1000</f>
        <v>97.888191171554311</v>
      </c>
      <c r="H385" s="290">
        <f>(C294*SUM(H49:H52)/1000)+($I298*($M$223/4*H144)/1000)</f>
        <v>9754.7886255471694</v>
      </c>
      <c r="I385" s="290">
        <f>H273*SUM(C49:C52)/1000</f>
        <v>26265.933087088633</v>
      </c>
      <c r="J385" s="290"/>
      <c r="L385" s="290"/>
      <c r="N385" s="290"/>
    </row>
    <row r="386" spans="1:14" x14ac:dyDescent="0.6">
      <c r="A386" s="6"/>
      <c r="B386" s="105" t="s">
        <v>62</v>
      </c>
      <c r="C386" s="290">
        <f t="shared" ref="C386" si="61">+C280*SUM(C44:C48,C53:C55)/1000</f>
        <v>35691.360553328581</v>
      </c>
      <c r="D386" s="290">
        <f>+D280*SUM(D44:D48,D53:D55)/1000</f>
        <v>48.979645904666782</v>
      </c>
      <c r="E386" s="290">
        <f>+E280*SUM(E44:E48,E53:E55)/1000</f>
        <v>867.81018229147571</v>
      </c>
      <c r="F386" s="290">
        <f>+F280*SUM(F44:F48,F53:F55)/1000</f>
        <v>352.9132358765691</v>
      </c>
      <c r="G386" s="290">
        <f>+G280*SUM(G44:G48,G53:G55)/1000</f>
        <v>269.80266526710176</v>
      </c>
      <c r="H386" s="290">
        <f>(C298*SUM(H44:H48,H53:H55)/1000)+($I299*($L$385/8*H145)/1000)+($J299*($L$390/8*H145)/1000)</f>
        <v>15002.060005681848</v>
      </c>
      <c r="I386" s="290">
        <f>+H280*SUM(C44:C48,C53:C55)/1000</f>
        <v>35691.360553328581</v>
      </c>
      <c r="J386" s="290"/>
      <c r="L386" s="290"/>
      <c r="N386" s="290"/>
    </row>
    <row r="387" spans="1:14" x14ac:dyDescent="0.6">
      <c r="A387" s="6"/>
      <c r="B387" s="105" t="s">
        <v>36</v>
      </c>
      <c r="C387" s="108">
        <f t="shared" ref="C387:I387" si="62">+C386+C385</f>
        <v>61957.293640417221</v>
      </c>
      <c r="D387" s="108">
        <f t="shared" si="62"/>
        <v>72.409594400939596</v>
      </c>
      <c r="E387" s="108">
        <f t="shared" si="62"/>
        <v>1194.4830025192575</v>
      </c>
      <c r="F387" s="108">
        <f t="shared" si="62"/>
        <v>477.60331900237878</v>
      </c>
      <c r="G387" s="106">
        <f t="shared" si="62"/>
        <v>367.69085643865606</v>
      </c>
      <c r="H387" s="106">
        <f t="shared" si="62"/>
        <v>24756.848631229019</v>
      </c>
      <c r="I387" s="106">
        <f t="shared" si="62"/>
        <v>61957.293640417214</v>
      </c>
      <c r="J387" s="106"/>
    </row>
    <row r="388" spans="1:14" x14ac:dyDescent="0.6">
      <c r="A388" s="6"/>
      <c r="B388" s="105"/>
    </row>
    <row r="389" spans="1:14" x14ac:dyDescent="0.6">
      <c r="A389" s="6"/>
      <c r="B389" t="s">
        <v>174</v>
      </c>
    </row>
    <row r="390" spans="1:14" x14ac:dyDescent="0.6">
      <c r="A390" s="6"/>
      <c r="B390" s="105" t="s">
        <v>69</v>
      </c>
      <c r="C390" s="258">
        <f t="shared" ref="C390:I390" si="63">+C385/C387</f>
        <v>0.42393609442544011</v>
      </c>
      <c r="D390" s="258">
        <f t="shared" si="63"/>
        <v>0.32357519317866495</v>
      </c>
      <c r="E390" s="258">
        <f t="shared" si="63"/>
        <v>0.27348469550324572</v>
      </c>
      <c r="F390" s="258">
        <f t="shared" si="63"/>
        <v>0.26107457415970897</v>
      </c>
      <c r="G390" s="258">
        <f t="shared" si="63"/>
        <v>0.26622416483148403</v>
      </c>
      <c r="H390" s="258">
        <f t="shared" si="63"/>
        <v>0.39402384248705191</v>
      </c>
      <c r="I390" s="258">
        <f t="shared" si="63"/>
        <v>0.42393609442544011</v>
      </c>
      <c r="J390" s="258"/>
    </row>
    <row r="391" spans="1:14" x14ac:dyDescent="0.6">
      <c r="A391" s="6"/>
      <c r="B391" s="105" t="s">
        <v>62</v>
      </c>
      <c r="C391" s="258">
        <f t="shared" ref="C391:I391" si="64">+C386/C387</f>
        <v>0.57606390557455978</v>
      </c>
      <c r="D391" s="258">
        <f t="shared" si="64"/>
        <v>0.67642480682133488</v>
      </c>
      <c r="E391" s="258">
        <f t="shared" si="64"/>
        <v>0.72651530449675428</v>
      </c>
      <c r="F391" s="258">
        <f t="shared" si="64"/>
        <v>0.73892542584029108</v>
      </c>
      <c r="G391" s="258">
        <f t="shared" si="64"/>
        <v>0.73377583516851597</v>
      </c>
      <c r="H391" s="258">
        <f t="shared" si="64"/>
        <v>0.60597615751294798</v>
      </c>
      <c r="I391" s="258">
        <f t="shared" si="64"/>
        <v>0.57606390557455989</v>
      </c>
      <c r="J391" s="258"/>
    </row>
    <row r="392" spans="1:14" x14ac:dyDescent="0.6">
      <c r="A392" s="6"/>
    </row>
    <row r="393" spans="1:14" x14ac:dyDescent="0.6">
      <c r="A393" s="6"/>
      <c r="B393" t="s">
        <v>175</v>
      </c>
    </row>
    <row r="394" spans="1:14" x14ac:dyDescent="0.6">
      <c r="A394" s="6"/>
      <c r="B394" s="105" t="s">
        <v>69</v>
      </c>
      <c r="C394" s="297">
        <f>+SUM(C385:H385)</f>
        <v>36593.402755657225</v>
      </c>
    </row>
    <row r="395" spans="1:14" x14ac:dyDescent="0.6">
      <c r="A395" s="6"/>
      <c r="B395" s="105" t="s">
        <v>62</v>
      </c>
      <c r="C395" s="297">
        <f>+SUM(C386:H386)</f>
        <v>52232.926288350252</v>
      </c>
    </row>
    <row r="396" spans="1:14" x14ac:dyDescent="0.6">
      <c r="A396" s="6"/>
      <c r="B396" s="105" t="s">
        <v>36</v>
      </c>
      <c r="C396" s="108">
        <f>+C395+C394</f>
        <v>88826.329044007478</v>
      </c>
    </row>
    <row r="397" spans="1:14" x14ac:dyDescent="0.6">
      <c r="A397" s="6"/>
    </row>
    <row r="398" spans="1:14" x14ac:dyDescent="0.6">
      <c r="A398" s="6"/>
      <c r="B398" t="s">
        <v>176</v>
      </c>
      <c r="D398" t="s">
        <v>177</v>
      </c>
      <c r="I398" s="313" t="s">
        <v>178</v>
      </c>
      <c r="J398" s="313"/>
    </row>
    <row r="399" spans="1:14" x14ac:dyDescent="0.6">
      <c r="A399" s="6"/>
      <c r="B399" s="105" t="s">
        <v>69</v>
      </c>
      <c r="C399" s="258">
        <f>+C394/C396</f>
        <v>0.41196572175720164</v>
      </c>
      <c r="E399" s="287">
        <f>+C394/SUMPRODUCT(L48:Q48,C81:H81)*1000</f>
        <v>78.85982010594482</v>
      </c>
      <c r="F399" t="s">
        <v>179</v>
      </c>
      <c r="I399" s="105" t="s">
        <v>69</v>
      </c>
      <c r="J399" s="47">
        <f>ROUND(E399/$D$318,4)</f>
        <v>0.96479999999999999</v>
      </c>
      <c r="K399" s="48"/>
    </row>
    <row r="400" spans="1:14" x14ac:dyDescent="0.6">
      <c r="A400" s="6"/>
      <c r="B400" s="105" t="s">
        <v>62</v>
      </c>
      <c r="C400" s="258">
        <f>+C395/C396</f>
        <v>0.5880342782427983</v>
      </c>
      <c r="E400" s="287">
        <f>+C395/SUMPRODUCT(L44:Q44,C81:H81)*1000</f>
        <v>81.454165842363338</v>
      </c>
      <c r="F400" t="s">
        <v>179</v>
      </c>
      <c r="I400" s="105" t="s">
        <v>62</v>
      </c>
      <c r="J400" s="47">
        <f>ROUND(E400/$D$318,4)</f>
        <v>0.99660000000000004</v>
      </c>
      <c r="K400" s="48"/>
    </row>
    <row r="401" spans="1:10" x14ac:dyDescent="0.6">
      <c r="A401" s="6"/>
    </row>
    <row r="402" spans="1:10" x14ac:dyDescent="0.6">
      <c r="C402" s="108"/>
      <c r="D402" s="108"/>
      <c r="E402" s="108"/>
      <c r="F402" s="108"/>
      <c r="G402" s="108"/>
      <c r="H402" s="108"/>
      <c r="I402" s="108"/>
      <c r="J402" s="108"/>
    </row>
    <row r="403" spans="1:10" x14ac:dyDescent="0.6">
      <c r="A403" s="15" t="s">
        <v>182</v>
      </c>
      <c r="B403" s="11" t="s">
        <v>183</v>
      </c>
    </row>
    <row r="404" spans="1:10" x14ac:dyDescent="0.6">
      <c r="A404" s="15"/>
    </row>
    <row r="405" spans="1:10" x14ac:dyDescent="0.6">
      <c r="A405" s="15"/>
      <c r="E405" s="266"/>
      <c r="F405" s="11" t="s">
        <v>184</v>
      </c>
      <c r="I405" s="5" t="s">
        <v>185</v>
      </c>
    </row>
    <row r="406" spans="1:10" x14ac:dyDescent="0.6">
      <c r="B406" s="5" t="s">
        <v>186</v>
      </c>
      <c r="E406" s="266"/>
      <c r="F406" s="11" t="s">
        <v>187</v>
      </c>
      <c r="I406" s="5" t="s">
        <v>188</v>
      </c>
    </row>
    <row r="407" spans="1:10" x14ac:dyDescent="0.6">
      <c r="A407" s="6"/>
      <c r="B407" s="4" t="s">
        <v>61</v>
      </c>
      <c r="C407" s="103"/>
      <c r="D407" s="25" t="s">
        <v>189</v>
      </c>
      <c r="E407" s="298"/>
      <c r="F407" s="4" t="s">
        <v>61</v>
      </c>
      <c r="I407" s="49" t="s">
        <v>190</v>
      </c>
    </row>
    <row r="408" spans="1:10" x14ac:dyDescent="0.6">
      <c r="A408" s="6"/>
      <c r="C408" s="12" t="s">
        <v>49</v>
      </c>
      <c r="D408" s="12" t="s">
        <v>191</v>
      </c>
      <c r="E408" s="242" t="s">
        <v>50</v>
      </c>
      <c r="F408" s="12" t="s">
        <v>49</v>
      </c>
      <c r="G408" s="12" t="s">
        <v>50</v>
      </c>
      <c r="I408" s="12" t="s">
        <v>49</v>
      </c>
      <c r="J408" s="12" t="s">
        <v>50</v>
      </c>
    </row>
    <row r="409" spans="1:10" x14ac:dyDescent="0.6">
      <c r="A409" s="6"/>
      <c r="B409" s="87" t="s">
        <v>13</v>
      </c>
      <c r="C409" s="268">
        <v>81.7</v>
      </c>
      <c r="D409" s="190">
        <v>0.82199999999999995</v>
      </c>
      <c r="E409" s="299">
        <f>ROUND(C409*D409,2)</f>
        <v>67.16</v>
      </c>
      <c r="F409" s="258">
        <v>0.88</v>
      </c>
      <c r="G409" s="258">
        <v>0.92</v>
      </c>
      <c r="I409" s="268">
        <f t="shared" ref="I409:I420" si="65">ROUND(C409*F409,2)</f>
        <v>71.900000000000006</v>
      </c>
      <c r="J409" s="268">
        <f t="shared" ref="J409:J420" si="66">ROUND(E409*G409,2)</f>
        <v>61.79</v>
      </c>
    </row>
    <row r="410" spans="1:10" x14ac:dyDescent="0.6">
      <c r="A410" s="6"/>
      <c r="B410" s="87" t="s">
        <v>14</v>
      </c>
      <c r="C410" s="268">
        <v>70.349999999999994</v>
      </c>
      <c r="D410" s="190">
        <f>D409</f>
        <v>0.82199999999999995</v>
      </c>
      <c r="E410" s="299">
        <f>ROUND(C410*D410,2)</f>
        <v>57.83</v>
      </c>
      <c r="F410" s="258">
        <v>0.88</v>
      </c>
      <c r="G410" s="258">
        <v>0.92</v>
      </c>
      <c r="I410" s="268">
        <f t="shared" si="65"/>
        <v>61.91</v>
      </c>
      <c r="J410" s="268">
        <f t="shared" si="66"/>
        <v>53.2</v>
      </c>
    </row>
    <row r="411" spans="1:10" x14ac:dyDescent="0.6">
      <c r="A411" s="6"/>
      <c r="B411" s="87" t="s">
        <v>15</v>
      </c>
      <c r="C411" s="268">
        <v>54</v>
      </c>
      <c r="D411" s="190">
        <f>D409</f>
        <v>0.82199999999999995</v>
      </c>
      <c r="E411" s="299">
        <f t="shared" ref="E411:E420" si="67">ROUND(C411*D411,2)</f>
        <v>44.39</v>
      </c>
      <c r="F411" s="258">
        <v>0.88</v>
      </c>
      <c r="G411" s="258">
        <v>0.92</v>
      </c>
      <c r="I411" s="268">
        <f t="shared" si="65"/>
        <v>47.52</v>
      </c>
      <c r="J411" s="268">
        <f t="shared" si="66"/>
        <v>40.840000000000003</v>
      </c>
    </row>
    <row r="412" spans="1:10" x14ac:dyDescent="0.6">
      <c r="A412" s="6"/>
      <c r="B412" s="87" t="s">
        <v>16</v>
      </c>
      <c r="C412" s="268">
        <v>49.65</v>
      </c>
      <c r="D412" s="190">
        <f>D409</f>
        <v>0.82199999999999995</v>
      </c>
      <c r="E412" s="299">
        <f t="shared" si="67"/>
        <v>40.81</v>
      </c>
      <c r="F412" s="258">
        <v>0.88</v>
      </c>
      <c r="G412" s="258">
        <v>0.92</v>
      </c>
      <c r="I412" s="268">
        <f t="shared" si="65"/>
        <v>43.69</v>
      </c>
      <c r="J412" s="268">
        <f t="shared" si="66"/>
        <v>37.549999999999997</v>
      </c>
    </row>
    <row r="413" spans="1:10" x14ac:dyDescent="0.6">
      <c r="A413" s="6"/>
      <c r="B413" s="87" t="s">
        <v>17</v>
      </c>
      <c r="C413" s="268">
        <v>53.15</v>
      </c>
      <c r="D413" s="190">
        <f>D409</f>
        <v>0.82199999999999995</v>
      </c>
      <c r="E413" s="299">
        <f t="shared" si="67"/>
        <v>43.69</v>
      </c>
      <c r="F413" s="258">
        <v>0.88</v>
      </c>
      <c r="G413" s="258">
        <v>0.92</v>
      </c>
      <c r="I413" s="268">
        <f t="shared" si="65"/>
        <v>46.77</v>
      </c>
      <c r="J413" s="268">
        <f t="shared" si="66"/>
        <v>40.19</v>
      </c>
    </row>
    <row r="414" spans="1:10" x14ac:dyDescent="0.6">
      <c r="A414" s="6"/>
      <c r="B414" s="87" t="s">
        <v>18</v>
      </c>
      <c r="C414" s="268">
        <v>52.7</v>
      </c>
      <c r="D414" s="190">
        <v>0.62749999999999995</v>
      </c>
      <c r="E414" s="299">
        <f t="shared" si="67"/>
        <v>33.07</v>
      </c>
      <c r="F414" s="258">
        <v>0.87</v>
      </c>
      <c r="G414" s="258">
        <v>0.91</v>
      </c>
      <c r="I414" s="268">
        <f t="shared" si="65"/>
        <v>45.85</v>
      </c>
      <c r="J414" s="268">
        <f t="shared" si="66"/>
        <v>30.09</v>
      </c>
    </row>
    <row r="415" spans="1:10" x14ac:dyDescent="0.6">
      <c r="A415" s="6"/>
      <c r="B415" s="87" t="s">
        <v>19</v>
      </c>
      <c r="C415" s="268">
        <v>77.45</v>
      </c>
      <c r="D415" s="190">
        <f>D414</f>
        <v>0.62749999999999995</v>
      </c>
      <c r="E415" s="299">
        <f t="shared" si="67"/>
        <v>48.6</v>
      </c>
      <c r="F415" s="300">
        <v>0.87</v>
      </c>
      <c r="G415" s="258">
        <v>0.91</v>
      </c>
      <c r="I415" s="268">
        <f t="shared" si="65"/>
        <v>67.38</v>
      </c>
      <c r="J415" s="268">
        <f t="shared" si="66"/>
        <v>44.23</v>
      </c>
    </row>
    <row r="416" spans="1:10" x14ac:dyDescent="0.6">
      <c r="A416" s="6"/>
      <c r="B416" s="87" t="s">
        <v>20</v>
      </c>
      <c r="C416" s="268">
        <v>69.25</v>
      </c>
      <c r="D416" s="190">
        <f>D414</f>
        <v>0.62749999999999995</v>
      </c>
      <c r="E416" s="299">
        <f t="shared" si="67"/>
        <v>43.45</v>
      </c>
      <c r="F416" s="300">
        <v>0.87</v>
      </c>
      <c r="G416" s="258">
        <v>0.91</v>
      </c>
      <c r="I416" s="268">
        <f t="shared" si="65"/>
        <v>60.25</v>
      </c>
      <c r="J416" s="268">
        <f t="shared" si="66"/>
        <v>39.54</v>
      </c>
    </row>
    <row r="417" spans="1:19" x14ac:dyDescent="0.6">
      <c r="A417" s="6"/>
      <c r="B417" s="87" t="s">
        <v>21</v>
      </c>
      <c r="C417" s="268">
        <v>55.4</v>
      </c>
      <c r="D417" s="190">
        <f>D414</f>
        <v>0.62749999999999995</v>
      </c>
      <c r="E417" s="299">
        <f t="shared" si="67"/>
        <v>34.76</v>
      </c>
      <c r="F417" s="300">
        <v>0.87</v>
      </c>
      <c r="G417" s="258">
        <v>0.91</v>
      </c>
      <c r="I417" s="268">
        <f t="shared" si="65"/>
        <v>48.2</v>
      </c>
      <c r="J417" s="268">
        <f t="shared" si="66"/>
        <v>31.63</v>
      </c>
    </row>
    <row r="418" spans="1:19" x14ac:dyDescent="0.6">
      <c r="A418" s="6"/>
      <c r="B418" s="87" t="s">
        <v>22</v>
      </c>
      <c r="C418" s="268">
        <v>49.8</v>
      </c>
      <c r="D418" s="190">
        <f>D409</f>
        <v>0.82199999999999995</v>
      </c>
      <c r="E418" s="299">
        <f t="shared" si="67"/>
        <v>40.94</v>
      </c>
      <c r="F418" s="300">
        <v>0.88</v>
      </c>
      <c r="G418" s="258">
        <v>0.92</v>
      </c>
      <c r="I418" s="268">
        <f t="shared" si="65"/>
        <v>43.82</v>
      </c>
      <c r="J418" s="268">
        <f t="shared" si="66"/>
        <v>37.659999999999997</v>
      </c>
    </row>
    <row r="419" spans="1:19" x14ac:dyDescent="0.6">
      <c r="A419" s="6"/>
      <c r="B419" s="87" t="s">
        <v>23</v>
      </c>
      <c r="C419" s="268">
        <v>50.45</v>
      </c>
      <c r="D419" s="190">
        <f>D409</f>
        <v>0.82199999999999995</v>
      </c>
      <c r="E419" s="299">
        <f t="shared" si="67"/>
        <v>41.47</v>
      </c>
      <c r="F419" s="300">
        <f t="shared" ref="F419:F420" si="68">F410</f>
        <v>0.88</v>
      </c>
      <c r="G419" s="258">
        <v>0.92</v>
      </c>
      <c r="I419" s="268">
        <f t="shared" si="65"/>
        <v>44.4</v>
      </c>
      <c r="J419" s="268">
        <f t="shared" si="66"/>
        <v>38.15</v>
      </c>
    </row>
    <row r="420" spans="1:19" x14ac:dyDescent="0.6">
      <c r="A420" s="6"/>
      <c r="B420" s="87" t="s">
        <v>24</v>
      </c>
      <c r="C420" s="268">
        <v>58.35</v>
      </c>
      <c r="D420" s="190">
        <f>D409</f>
        <v>0.82199999999999995</v>
      </c>
      <c r="E420" s="299">
        <f t="shared" si="67"/>
        <v>47.96</v>
      </c>
      <c r="F420" s="300">
        <f t="shared" si="68"/>
        <v>0.88</v>
      </c>
      <c r="G420" s="258">
        <v>0.92</v>
      </c>
      <c r="I420" s="268">
        <f t="shared" si="65"/>
        <v>51.35</v>
      </c>
      <c r="J420" s="268">
        <f t="shared" si="66"/>
        <v>44.12</v>
      </c>
    </row>
    <row r="421" spans="1:19" x14ac:dyDescent="0.6">
      <c r="A421" s="6"/>
      <c r="B421" s="87"/>
      <c r="C421" s="268"/>
      <c r="D421" s="268"/>
      <c r="E421" s="266"/>
      <c r="K421" s="258"/>
    </row>
    <row r="422" spans="1:19" x14ac:dyDescent="0.6">
      <c r="A422" s="6"/>
      <c r="B422" s="87"/>
      <c r="C422" s="268"/>
      <c r="D422" s="268"/>
      <c r="K422" s="258"/>
    </row>
    <row r="423" spans="1:19" x14ac:dyDescent="0.6">
      <c r="A423" s="6"/>
      <c r="B423" s="87"/>
      <c r="C423" s="268"/>
      <c r="D423" s="268"/>
      <c r="K423" s="258"/>
    </row>
    <row r="424" spans="1:19" x14ac:dyDescent="0.6">
      <c r="B424" s="11" t="s">
        <v>192</v>
      </c>
      <c r="F424" s="49" t="s">
        <v>193</v>
      </c>
    </row>
    <row r="425" spans="1:19" x14ac:dyDescent="0.6">
      <c r="B425" s="4" t="s">
        <v>61</v>
      </c>
      <c r="F425" s="5" t="str">
        <f>"system ("&amp;TEXT(D447*100,"0.0")&amp;"% PJM - "&amp;TEXT(E447*100,"0.0")&amp;"% NYISO)"</f>
        <v>system (88.7% PJM - 11.3% NYISO)</v>
      </c>
    </row>
    <row r="426" spans="1:19" x14ac:dyDescent="0.6">
      <c r="B426" s="4"/>
      <c r="F426" s="4" t="s">
        <v>61</v>
      </c>
    </row>
    <row r="427" spans="1:19" x14ac:dyDescent="0.6">
      <c r="C427" s="12" t="s">
        <v>49</v>
      </c>
      <c r="D427" s="12" t="s">
        <v>50</v>
      </c>
      <c r="G427" s="12" t="s">
        <v>49</v>
      </c>
      <c r="H427" s="12" t="s">
        <v>50</v>
      </c>
    </row>
    <row r="428" spans="1:19" x14ac:dyDescent="0.6">
      <c r="B428" s="87" t="s">
        <v>13</v>
      </c>
      <c r="C428" s="268">
        <v>106.25</v>
      </c>
      <c r="D428" s="268">
        <v>90.6</v>
      </c>
      <c r="F428" s="87" t="s">
        <v>13</v>
      </c>
      <c r="G428" s="268">
        <f t="shared" ref="G428:H439" si="69">ROUND($K$428*I409+$K$429*C428,2)</f>
        <v>75.8</v>
      </c>
      <c r="H428" s="268">
        <f t="shared" si="69"/>
        <v>65.06</v>
      </c>
      <c r="K428" s="301">
        <f>D447</f>
        <v>0.88652482269503541</v>
      </c>
      <c r="L428" t="s">
        <v>194</v>
      </c>
      <c r="Q428" s="268">
        <f>AVERAGE(G433:G436)</f>
        <v>56.447500000000005</v>
      </c>
      <c r="R428" s="268">
        <f>AVERAGE(H433:H436)</f>
        <v>37.307500000000005</v>
      </c>
    </row>
    <row r="429" spans="1:19" x14ac:dyDescent="0.6">
      <c r="B429" s="87" t="s">
        <v>14</v>
      </c>
      <c r="C429" s="268">
        <v>93.25</v>
      </c>
      <c r="D429" s="268">
        <v>85.65</v>
      </c>
      <c r="F429" s="87" t="s">
        <v>14</v>
      </c>
      <c r="G429" s="268">
        <f t="shared" si="69"/>
        <v>65.47</v>
      </c>
      <c r="H429" s="268">
        <f t="shared" si="69"/>
        <v>56.88</v>
      </c>
      <c r="K429" s="301">
        <f>E447</f>
        <v>0.11347517730496454</v>
      </c>
      <c r="L429" t="s">
        <v>195</v>
      </c>
      <c r="Q429" s="268">
        <f>AVERAGE(G428:G432,G437:G439)</f>
        <v>53.253749999999989</v>
      </c>
      <c r="R429" s="268">
        <f>AVERAGE(H428:H432,H437:H439)</f>
        <v>45.561249999999994</v>
      </c>
    </row>
    <row r="430" spans="1:19" x14ac:dyDescent="0.6">
      <c r="B430" s="87" t="s">
        <v>15</v>
      </c>
      <c r="C430" s="268">
        <v>58.95</v>
      </c>
      <c r="D430" s="268">
        <v>48.05</v>
      </c>
      <c r="F430" s="87" t="s">
        <v>15</v>
      </c>
      <c r="G430" s="268">
        <f t="shared" si="69"/>
        <v>48.82</v>
      </c>
      <c r="H430" s="268">
        <f t="shared" si="69"/>
        <v>41.66</v>
      </c>
      <c r="Q430">
        <f>Q428/Q429</f>
        <v>1.0599723024200176</v>
      </c>
      <c r="R430">
        <f>R428/R429</f>
        <v>0.81884276660539401</v>
      </c>
    </row>
    <row r="431" spans="1:19" x14ac:dyDescent="0.6">
      <c r="B431" s="87" t="s">
        <v>16</v>
      </c>
      <c r="C431" s="268">
        <v>46.75</v>
      </c>
      <c r="D431" s="268">
        <v>37.85</v>
      </c>
      <c r="F431" s="87" t="s">
        <v>16</v>
      </c>
      <c r="G431" s="268">
        <f t="shared" si="69"/>
        <v>44.04</v>
      </c>
      <c r="H431" s="268">
        <f t="shared" si="69"/>
        <v>37.58</v>
      </c>
    </row>
    <row r="432" spans="1:19" x14ac:dyDescent="0.6">
      <c r="B432" s="87" t="s">
        <v>17</v>
      </c>
      <c r="C432" s="268">
        <v>46</v>
      </c>
      <c r="D432" s="268">
        <v>35.9</v>
      </c>
      <c r="F432" s="87" t="s">
        <v>17</v>
      </c>
      <c r="G432" s="268">
        <f t="shared" si="69"/>
        <v>46.68</v>
      </c>
      <c r="H432" s="268">
        <f t="shared" si="69"/>
        <v>39.700000000000003</v>
      </c>
      <c r="Q432" s="268">
        <f>AVERAGE(G428:G439)</f>
        <v>54.318333333333328</v>
      </c>
      <c r="R432" s="268">
        <f>AVERAGE(H428:H439)</f>
        <v>42.81</v>
      </c>
      <c r="S432">
        <f>Q432/R432</f>
        <v>1.2688234836097483</v>
      </c>
    </row>
    <row r="433" spans="1:19" x14ac:dyDescent="0.6">
      <c r="B433" s="87" t="s">
        <v>18</v>
      </c>
      <c r="C433" s="268">
        <v>52.7</v>
      </c>
      <c r="D433" s="268">
        <v>39.25</v>
      </c>
      <c r="F433" s="87" t="s">
        <v>18</v>
      </c>
      <c r="G433" s="268">
        <f t="shared" si="69"/>
        <v>46.63</v>
      </c>
      <c r="H433" s="268">
        <f t="shared" si="69"/>
        <v>31.13</v>
      </c>
    </row>
    <row r="434" spans="1:19" x14ac:dyDescent="0.6">
      <c r="B434" s="87" t="s">
        <v>19</v>
      </c>
      <c r="C434" s="268">
        <v>78.150000000000006</v>
      </c>
      <c r="D434" s="268">
        <v>52.05</v>
      </c>
      <c r="F434" s="87" t="s">
        <v>19</v>
      </c>
      <c r="G434" s="268">
        <f t="shared" si="69"/>
        <v>68.599999999999994</v>
      </c>
      <c r="H434" s="268">
        <f t="shared" si="69"/>
        <v>45.12</v>
      </c>
    </row>
    <row r="435" spans="1:19" x14ac:dyDescent="0.6">
      <c r="B435" s="87" t="s">
        <v>20</v>
      </c>
      <c r="C435" s="268">
        <v>72.5</v>
      </c>
      <c r="D435" s="268">
        <v>49.25</v>
      </c>
      <c r="F435" s="87" t="s">
        <v>20</v>
      </c>
      <c r="G435" s="268">
        <f t="shared" si="69"/>
        <v>61.64</v>
      </c>
      <c r="H435" s="268">
        <f t="shared" si="69"/>
        <v>40.64</v>
      </c>
    </row>
    <row r="436" spans="1:19" x14ac:dyDescent="0.6">
      <c r="B436" s="87" t="s">
        <v>21</v>
      </c>
      <c r="C436" s="268">
        <v>54.55</v>
      </c>
      <c r="D436" s="268">
        <v>37.85</v>
      </c>
      <c r="F436" s="87" t="s">
        <v>21</v>
      </c>
      <c r="G436" s="268">
        <f t="shared" si="69"/>
        <v>48.92</v>
      </c>
      <c r="H436" s="268">
        <f t="shared" si="69"/>
        <v>32.340000000000003</v>
      </c>
    </row>
    <row r="437" spans="1:19" x14ac:dyDescent="0.6">
      <c r="B437" s="87" t="s">
        <v>22</v>
      </c>
      <c r="C437" s="268">
        <v>44.45</v>
      </c>
      <c r="D437" s="268">
        <v>36.950000000000003</v>
      </c>
      <c r="F437" s="87" t="s">
        <v>22</v>
      </c>
      <c r="G437" s="268">
        <f t="shared" si="69"/>
        <v>43.89</v>
      </c>
      <c r="H437" s="268">
        <f t="shared" si="69"/>
        <v>37.58</v>
      </c>
    </row>
    <row r="438" spans="1:19" x14ac:dyDescent="0.6">
      <c r="B438" s="87" t="s">
        <v>23</v>
      </c>
      <c r="C438" s="268">
        <v>59.95</v>
      </c>
      <c r="D438" s="268">
        <v>47.5</v>
      </c>
      <c r="F438" s="87" t="s">
        <v>23</v>
      </c>
      <c r="G438" s="268">
        <f t="shared" si="69"/>
        <v>46.16</v>
      </c>
      <c r="H438" s="268">
        <f t="shared" si="69"/>
        <v>39.21</v>
      </c>
    </row>
    <row r="439" spans="1:19" x14ac:dyDescent="0.6">
      <c r="B439" s="87" t="s">
        <v>24</v>
      </c>
      <c r="C439" s="268">
        <v>85.05</v>
      </c>
      <c r="D439" s="268">
        <v>67.95</v>
      </c>
      <c r="F439" s="87" t="s">
        <v>24</v>
      </c>
      <c r="G439" s="268">
        <f t="shared" si="69"/>
        <v>55.17</v>
      </c>
      <c r="H439" s="268">
        <f t="shared" si="69"/>
        <v>46.82</v>
      </c>
    </row>
    <row r="443" spans="1:19" x14ac:dyDescent="0.6">
      <c r="A443" s="15" t="s">
        <v>196</v>
      </c>
      <c r="B443" s="5" t="s">
        <v>197</v>
      </c>
    </row>
    <row r="446" spans="1:19" x14ac:dyDescent="0.6">
      <c r="C446" s="105" t="s">
        <v>198</v>
      </c>
      <c r="D446" s="103" t="s">
        <v>194</v>
      </c>
      <c r="E446" s="103" t="s">
        <v>195</v>
      </c>
      <c r="F446" s="103" t="s">
        <v>199</v>
      </c>
    </row>
    <row r="447" spans="1:19" x14ac:dyDescent="0.6">
      <c r="C447" s="243" t="s">
        <v>200</v>
      </c>
      <c r="D447" s="50">
        <f>4/(4+M466)</f>
        <v>0.88652482269503541</v>
      </c>
      <c r="E447" s="50">
        <f>M466/(4+M466)</f>
        <v>0.11347517730496454</v>
      </c>
      <c r="F447" s="51" t="s">
        <v>201</v>
      </c>
    </row>
    <row r="448" spans="1:19" x14ac:dyDescent="0.6">
      <c r="Q448" s="96" t="s">
        <v>202</v>
      </c>
      <c r="R448" t="s">
        <v>203</v>
      </c>
      <c r="S448" t="s">
        <v>204</v>
      </c>
    </row>
    <row r="449" spans="1:19" x14ac:dyDescent="0.6">
      <c r="B449" s="103" t="s">
        <v>69</v>
      </c>
      <c r="C449" s="302">
        <v>51.85</v>
      </c>
      <c r="D449" s="283">
        <f>C449</f>
        <v>51.85</v>
      </c>
      <c r="E449" s="283">
        <v>230.35133345829064</v>
      </c>
      <c r="F449" s="285">
        <f>ROUND(D449*D$447+E449*E$447,2)</f>
        <v>72.11</v>
      </c>
      <c r="H449" s="285"/>
      <c r="P449" t="s">
        <v>205</v>
      </c>
      <c r="Q449">
        <v>2.25</v>
      </c>
      <c r="R449">
        <f>Q449*1000</f>
        <v>2250</v>
      </c>
      <c r="S449">
        <v>31</v>
      </c>
    </row>
    <row r="450" spans="1:19" x14ac:dyDescent="0.6">
      <c r="B450" s="103"/>
      <c r="C450" s="103"/>
      <c r="D450" s="283"/>
      <c r="E450" s="283"/>
      <c r="F450" s="285"/>
      <c r="P450" t="s">
        <v>206</v>
      </c>
      <c r="Q450">
        <v>1.25</v>
      </c>
      <c r="R450">
        <f>Q450*1000</f>
        <v>1250</v>
      </c>
      <c r="S450">
        <v>30</v>
      </c>
    </row>
    <row r="451" spans="1:19" x14ac:dyDescent="0.6">
      <c r="B451" s="103" t="s">
        <v>62</v>
      </c>
      <c r="C451" s="283">
        <f>C449</f>
        <v>51.85</v>
      </c>
      <c r="D451" s="283">
        <f>C451</f>
        <v>51.85</v>
      </c>
      <c r="E451" s="303">
        <v>201.88755763159654</v>
      </c>
      <c r="F451" s="285">
        <f>ROUND(D451*D$447+E451*E$447,2)</f>
        <v>68.88</v>
      </c>
      <c r="I451" s="96"/>
      <c r="P451" t="s">
        <v>207</v>
      </c>
      <c r="Q451">
        <v>1.25</v>
      </c>
      <c r="R451">
        <f t="shared" ref="Q451:R456" si="70">Q451*1000</f>
        <v>1250</v>
      </c>
      <c r="S451">
        <v>31</v>
      </c>
    </row>
    <row r="452" spans="1:19" x14ac:dyDescent="0.6">
      <c r="O452" t="s">
        <v>208</v>
      </c>
      <c r="P452">
        <v>1.25</v>
      </c>
      <c r="Q452">
        <f t="shared" si="70"/>
        <v>1250</v>
      </c>
      <c r="R452">
        <v>30</v>
      </c>
    </row>
    <row r="453" spans="1:19" x14ac:dyDescent="0.6">
      <c r="O453" t="s">
        <v>209</v>
      </c>
      <c r="P453">
        <v>1.25</v>
      </c>
      <c r="Q453">
        <f t="shared" si="70"/>
        <v>1250</v>
      </c>
      <c r="R453">
        <v>28</v>
      </c>
    </row>
    <row r="454" spans="1:19" x14ac:dyDescent="0.6">
      <c r="O454" t="s">
        <v>210</v>
      </c>
      <c r="P454">
        <v>1.25</v>
      </c>
      <c r="Q454">
        <f t="shared" si="70"/>
        <v>1250</v>
      </c>
      <c r="R454">
        <v>31</v>
      </c>
    </row>
    <row r="455" spans="1:19" x14ac:dyDescent="0.6">
      <c r="A455" s="15" t="s">
        <v>211</v>
      </c>
      <c r="B455" s="5" t="s">
        <v>115</v>
      </c>
      <c r="O455" t="s">
        <v>212</v>
      </c>
      <c r="P455">
        <v>1.25</v>
      </c>
      <c r="Q455">
        <f t="shared" si="70"/>
        <v>1250</v>
      </c>
      <c r="R455">
        <v>30</v>
      </c>
    </row>
    <row r="456" spans="1:19" x14ac:dyDescent="0.6">
      <c r="O456" t="s">
        <v>17</v>
      </c>
      <c r="P456">
        <v>2</v>
      </c>
      <c r="Q456">
        <f t="shared" si="70"/>
        <v>2000</v>
      </c>
      <c r="R456">
        <v>31</v>
      </c>
    </row>
    <row r="457" spans="1:19" x14ac:dyDescent="0.6">
      <c r="P457">
        <f>SUM(P449:P456)</f>
        <v>7</v>
      </c>
      <c r="Q457">
        <f>SUM(Q449:Q456)</f>
        <v>7004.75</v>
      </c>
      <c r="R457">
        <f>SUM(R449:R456)</f>
        <v>4900</v>
      </c>
      <c r="S457">
        <f>Q457/R457</f>
        <v>1.4295408163265306</v>
      </c>
    </row>
    <row r="458" spans="1:19" x14ac:dyDescent="0.6">
      <c r="C458" s="103" t="s">
        <v>213</v>
      </c>
      <c r="D458" s="103" t="s">
        <v>214</v>
      </c>
      <c r="E458" s="103" t="s">
        <v>215</v>
      </c>
      <c r="F458" s="103" t="s">
        <v>194</v>
      </c>
      <c r="G458" s="103" t="s">
        <v>195</v>
      </c>
      <c r="H458" s="103" t="s">
        <v>199</v>
      </c>
    </row>
    <row r="459" spans="1:19" x14ac:dyDescent="0.6">
      <c r="C459" s="51" t="s">
        <v>216</v>
      </c>
      <c r="D459" s="51" t="s">
        <v>216</v>
      </c>
      <c r="E459" s="51" t="s">
        <v>217</v>
      </c>
      <c r="F459" s="50">
        <f>D447</f>
        <v>0.88652482269503541</v>
      </c>
      <c r="G459" s="50">
        <f>E447</f>
        <v>0.11347517730496454</v>
      </c>
      <c r="H459" s="51" t="s">
        <v>201</v>
      </c>
    </row>
    <row r="461" spans="1:19" x14ac:dyDescent="0.6">
      <c r="B461" s="103"/>
      <c r="C461" s="304">
        <v>2</v>
      </c>
      <c r="D461" s="304">
        <v>2.66</v>
      </c>
      <c r="E461" s="304">
        <v>22.64</v>
      </c>
      <c r="F461" s="304">
        <f>C461+E461</f>
        <v>24.64</v>
      </c>
      <c r="G461" s="304">
        <f>E461+D461</f>
        <v>25.3</v>
      </c>
      <c r="H461" s="304">
        <f>ROUND(F461*F$459+G461*G$459,2)</f>
        <v>24.71</v>
      </c>
    </row>
    <row r="462" spans="1:19" x14ac:dyDescent="0.6">
      <c r="B462" s="103"/>
      <c r="C462" s="304"/>
      <c r="D462" s="304"/>
      <c r="E462" s="304"/>
    </row>
    <row r="463" spans="1:19" ht="13.75" thickBot="1" x14ac:dyDescent="0.75">
      <c r="A463" s="11" t="s">
        <v>218</v>
      </c>
      <c r="E463" s="274"/>
    </row>
    <row r="464" spans="1:19" x14ac:dyDescent="0.6">
      <c r="A464" s="6"/>
      <c r="B464" s="103" t="s">
        <v>219</v>
      </c>
      <c r="C464" s="285">
        <f>F449</f>
        <v>72.11</v>
      </c>
      <c r="D464" s="93" t="s">
        <v>220</v>
      </c>
      <c r="L464" s="244" t="s">
        <v>221</v>
      </c>
      <c r="M464" s="305">
        <v>49.9</v>
      </c>
      <c r="N464" s="121"/>
    </row>
    <row r="465" spans="1:19" x14ac:dyDescent="0.6">
      <c r="A465" s="6"/>
      <c r="B465" s="103"/>
      <c r="C465" s="285">
        <f>+F451</f>
        <v>68.88</v>
      </c>
      <c r="D465" s="93" t="s">
        <v>222</v>
      </c>
      <c r="L465" s="245" t="s">
        <v>223</v>
      </c>
      <c r="M465" s="98">
        <v>97.5</v>
      </c>
      <c r="N465" s="123"/>
      <c r="S465" s="98">
        <v>0</v>
      </c>
    </row>
    <row r="466" spans="1:19" x14ac:dyDescent="0.6">
      <c r="A466" s="6"/>
      <c r="B466" s="103" t="s">
        <v>224</v>
      </c>
      <c r="C466" s="108">
        <f>+C147</f>
        <v>53766</v>
      </c>
      <c r="D466" s="93" t="s">
        <v>96</v>
      </c>
      <c r="E466" s="106"/>
      <c r="L466" s="245" t="s">
        <v>225</v>
      </c>
      <c r="M466">
        <f>ROUND(M464/M465,3)</f>
        <v>0.51200000000000001</v>
      </c>
      <c r="N466" s="123"/>
    </row>
    <row r="467" spans="1:19" x14ac:dyDescent="0.6">
      <c r="A467" s="6"/>
      <c r="B467" s="103" t="s">
        <v>226</v>
      </c>
      <c r="C467" s="306">
        <f>+H144</f>
        <v>4</v>
      </c>
      <c r="D467" t="s">
        <v>227</v>
      </c>
      <c r="E467" s="106"/>
      <c r="L467" s="122"/>
      <c r="N467" s="123"/>
      <c r="S467">
        <v>330.7</v>
      </c>
    </row>
    <row r="468" spans="1:19" x14ac:dyDescent="0.6">
      <c r="A468" s="6"/>
      <c r="B468" s="103"/>
      <c r="C468" s="306">
        <f>+H145</f>
        <v>8</v>
      </c>
      <c r="D468" t="s">
        <v>228</v>
      </c>
      <c r="E468" s="106"/>
      <c r="L468" s="245" t="s">
        <v>229</v>
      </c>
      <c r="M468" s="90">
        <f>D223-D318</f>
        <v>16.778340614827883</v>
      </c>
      <c r="N468" s="123" t="s">
        <v>230</v>
      </c>
    </row>
    <row r="469" spans="1:19" x14ac:dyDescent="0.6">
      <c r="A469" s="6"/>
      <c r="B469" s="103" t="s">
        <v>231</v>
      </c>
      <c r="C469" s="90">
        <f>+D161</f>
        <v>24.71</v>
      </c>
      <c r="D469" s="96" t="s">
        <v>117</v>
      </c>
      <c r="L469" s="245" t="s">
        <v>232</v>
      </c>
      <c r="M469" s="97">
        <f>ROUND(M466/(4+M466)*M468,2)</f>
        <v>1.9</v>
      </c>
      <c r="N469" s="123" t="s">
        <v>230</v>
      </c>
    </row>
    <row r="470" spans="1:19" ht="13.75" thickBot="1" x14ac:dyDescent="0.75">
      <c r="A470" s="6"/>
      <c r="B470" s="103" t="s">
        <v>233</v>
      </c>
      <c r="C470" s="96" t="s">
        <v>394</v>
      </c>
      <c r="L470" s="246" t="s">
        <v>234</v>
      </c>
      <c r="M470" s="307">
        <f>M468-M469</f>
        <v>14.878340614827883</v>
      </c>
      <c r="N470" s="147" t="s">
        <v>230</v>
      </c>
    </row>
    <row r="471" spans="1:19" x14ac:dyDescent="0.6">
      <c r="A471" s="6"/>
      <c r="B471" s="103"/>
      <c r="C471" s="96" t="s">
        <v>395</v>
      </c>
      <c r="L471" s="53"/>
      <c r="M471" s="98"/>
    </row>
    <row r="472" spans="1:19" x14ac:dyDescent="0.6">
      <c r="A472" s="6"/>
      <c r="B472" s="103" t="s">
        <v>235</v>
      </c>
      <c r="C472" s="96" t="str">
        <f>"Forecasted " &amp;M1-1 &amp;" energy use by class, PJM on/off % from " &amp;M1-2 &amp;" class load profiles,"</f>
        <v>Forecasted 2024 energy use by class, PJM on/off % from 2023 class load profiles,</v>
      </c>
    </row>
    <row r="473" spans="1:19" x14ac:dyDescent="0.6">
      <c r="A473" s="6"/>
      <c r="B473" s="103"/>
      <c r="C473" s="96" t="str">
        <f>"RECO billing on/off % from " &amp;TEXT(DATE(M1-2,6,1),"m/yy") &amp;" to 5/" &amp;TEXT(DATE(M1-1,5,1),"yy") &amp;" actual data"</f>
        <v>RECO billing on/off % from 6/23 to 5/24 actual data</v>
      </c>
    </row>
    <row r="474" spans="1:19" x14ac:dyDescent="0.6">
      <c r="A474" s="6"/>
      <c r="B474" s="103" t="s">
        <v>236</v>
      </c>
      <c r="C474" s="96" t="str">
        <f>"Class totals for " &amp;M1-1</f>
        <v>Class totals for 2024</v>
      </c>
    </row>
    <row r="475" spans="1:19" x14ac:dyDescent="0.6">
      <c r="A475" s="6"/>
      <c r="B475" s="103" t="s">
        <v>237</v>
      </c>
      <c r="C475" t="s">
        <v>238</v>
      </c>
    </row>
    <row r="476" spans="1:19" x14ac:dyDescent="0.6">
      <c r="A476" s="6"/>
      <c r="B476" s="103" t="s">
        <v>239</v>
      </c>
      <c r="C476" t="s">
        <v>240</v>
      </c>
      <c r="L476" s="258"/>
    </row>
    <row r="477" spans="1:19" x14ac:dyDescent="0.6">
      <c r="C477" t="s">
        <v>241</v>
      </c>
    </row>
    <row r="478" spans="1:19" x14ac:dyDescent="0.6">
      <c r="B478" s="100" t="s">
        <v>242</v>
      </c>
      <c r="C478" t="s">
        <v>243</v>
      </c>
    </row>
    <row r="479" spans="1:19" x14ac:dyDescent="0.6">
      <c r="A479" s="6"/>
      <c r="C479" s="293"/>
      <c r="E479" s="293"/>
    </row>
    <row r="481" spans="1:9" x14ac:dyDescent="0.6">
      <c r="A481" s="247" t="s">
        <v>244</v>
      </c>
      <c r="B481" s="308"/>
      <c r="C481" s="308"/>
      <c r="D481" s="308"/>
    </row>
    <row r="482" spans="1:9" x14ac:dyDescent="0.6">
      <c r="A482" s="15" t="s">
        <v>245</v>
      </c>
      <c r="B482" s="5" t="s">
        <v>246</v>
      </c>
    </row>
    <row r="483" spans="1:9" x14ac:dyDescent="0.6">
      <c r="D483" s="248"/>
    </row>
    <row r="484" spans="1:9" x14ac:dyDescent="0.6">
      <c r="B484" s="94" t="s">
        <v>247</v>
      </c>
      <c r="D484" s="248">
        <f>D223</f>
        <v>98.511361396003196</v>
      </c>
      <c r="E484" s="96" t="s">
        <v>117</v>
      </c>
      <c r="F484" s="96" t="s">
        <v>248</v>
      </c>
    </row>
    <row r="485" spans="1:9" x14ac:dyDescent="0.6">
      <c r="B485" s="94" t="s">
        <v>249</v>
      </c>
      <c r="D485" s="54">
        <f>-M470</f>
        <v>-14.878340614827883</v>
      </c>
      <c r="E485" s="96" t="s">
        <v>117</v>
      </c>
      <c r="F485" t="s">
        <v>250</v>
      </c>
    </row>
    <row r="486" spans="1:9" x14ac:dyDescent="0.6">
      <c r="B486" s="94" t="s">
        <v>251</v>
      </c>
      <c r="D486" s="90">
        <f>D484+D485</f>
        <v>83.633020781175318</v>
      </c>
      <c r="E486" s="96" t="s">
        <v>117</v>
      </c>
      <c r="F486" t="str">
        <f>"** RECO average transmission rate of "&amp;TEXT(D223-D318,"0.00")&amp;" minus"</f>
        <v>** RECO average transmission rate of 16.78 minus</v>
      </c>
    </row>
    <row r="487" spans="1:9" x14ac:dyDescent="0.6">
      <c r="F487" t="s">
        <v>252</v>
      </c>
    </row>
    <row r="488" spans="1:9" x14ac:dyDescent="0.6">
      <c r="D488" s="55"/>
      <c r="F488" t="str">
        <f>"average rate "&amp;TEXT(M466,"0.000")&amp;"/"&amp;TEXT(4+M466,"0.000")&amp;" *$"&amp;TEXT(M468,"0.00")&amp;" per MWh)."</f>
        <v>average rate 0.512/4.512 *$16.78 per MWh).</v>
      </c>
      <c r="I488" s="99"/>
    </row>
    <row r="489" spans="1:9" x14ac:dyDescent="0.6">
      <c r="B489" s="24" t="s">
        <v>253</v>
      </c>
    </row>
    <row r="491" spans="1:9" x14ac:dyDescent="0.6">
      <c r="C491" s="8" t="str">
        <f t="shared" ref="C491" si="71">C6</f>
        <v>SC1</v>
      </c>
      <c r="D491" s="8" t="str">
        <f>D6</f>
        <v>SC3</v>
      </c>
      <c r="E491" s="8" t="str">
        <f>E6</f>
        <v>SC2 ND</v>
      </c>
      <c r="F491" s="8" t="str">
        <f>F6</f>
        <v>SC4</v>
      </c>
      <c r="G491" s="8" t="str">
        <f>G6</f>
        <v>SC6</v>
      </c>
      <c r="H491" s="8" t="str">
        <f>H6</f>
        <v>SC2 Dem</v>
      </c>
      <c r="I491" s="8" t="str">
        <f>I24</f>
        <v>SC1 TOD</v>
      </c>
    </row>
    <row r="492" spans="1:9" x14ac:dyDescent="0.6">
      <c r="B492" s="56" t="s">
        <v>69</v>
      </c>
    </row>
    <row r="493" spans="1:9" x14ac:dyDescent="0.6">
      <c r="B493" s="100" t="s">
        <v>254</v>
      </c>
      <c r="C493" s="100">
        <f>ROUND(($D$486*C327)/10,3)</f>
        <v>8.7560000000000002</v>
      </c>
      <c r="E493" s="102">
        <f>ROUND(E327*$D$486/10,3)</f>
        <v>8.3130000000000006</v>
      </c>
      <c r="F493" s="102">
        <f>ROUND(F327*$D$486/10,3)</f>
        <v>7.1260000000000003</v>
      </c>
      <c r="G493" s="102">
        <f>ROUND(G327*$D$486/10,3)</f>
        <v>7.1</v>
      </c>
      <c r="H493" s="102">
        <f>ROUND((C348*$D$486+D348)/10,3)</f>
        <v>7.883</v>
      </c>
      <c r="I493" s="102"/>
    </row>
    <row r="494" spans="1:9" x14ac:dyDescent="0.6">
      <c r="B494" s="100" t="s">
        <v>255</v>
      </c>
      <c r="D494" s="102">
        <f>ROUND(D328*$D$486/10,3)</f>
        <v>9.6850000000000005</v>
      </c>
      <c r="I494" s="102">
        <f>ROUND(H328*$D$486/10,3)</f>
        <v>12.244</v>
      </c>
    </row>
    <row r="495" spans="1:9" x14ac:dyDescent="0.6">
      <c r="B495" s="100" t="s">
        <v>256</v>
      </c>
      <c r="D495" s="102">
        <f>ROUND(D329*$D$486/10,3)</f>
        <v>6.883</v>
      </c>
      <c r="I495" s="102">
        <f>ROUND(H329*$D$486/10,3)</f>
        <v>7.2009999999999996</v>
      </c>
    </row>
    <row r="496" spans="1:9" x14ac:dyDescent="0.6">
      <c r="B496" s="103" t="s">
        <v>41</v>
      </c>
      <c r="C496" s="100">
        <f>ROUND(($D$486*C327+C332)/10,3)</f>
        <v>4.76</v>
      </c>
      <c r="D496" s="102"/>
      <c r="I496" s="102"/>
    </row>
    <row r="497" spans="2:10" x14ac:dyDescent="0.6">
      <c r="B497" s="100" t="s">
        <v>42</v>
      </c>
      <c r="C497">
        <f>ROUND(($D$486*C327+C333)/10,3)</f>
        <v>11.766999999999999</v>
      </c>
      <c r="D497" s="102"/>
      <c r="I497" s="102"/>
    </row>
    <row r="498" spans="2:10" x14ac:dyDescent="0.6">
      <c r="D498" s="102"/>
      <c r="I498" s="102"/>
    </row>
    <row r="500" spans="2:10" x14ac:dyDescent="0.6">
      <c r="B500" s="103" t="s">
        <v>257</v>
      </c>
      <c r="H500" s="104">
        <f>ROUND(I352,2)</f>
        <v>1.95</v>
      </c>
      <c r="I500" s="104"/>
    </row>
    <row r="501" spans="2:10" x14ac:dyDescent="0.6">
      <c r="B501" s="103"/>
      <c r="H501" s="104"/>
      <c r="I501" s="104"/>
    </row>
    <row r="503" spans="2:10" x14ac:dyDescent="0.6">
      <c r="B503" s="56" t="s">
        <v>62</v>
      </c>
    </row>
    <row r="504" spans="2:10" x14ac:dyDescent="0.6">
      <c r="B504" s="100" t="s">
        <v>254</v>
      </c>
      <c r="C504" s="102">
        <f>ROUND(C336*$D$486/10,3)</f>
        <v>9.4090000000000007</v>
      </c>
      <c r="E504" s="102">
        <f>ROUND(E336*$D$486/10,3)</f>
        <v>8.6639999999999997</v>
      </c>
      <c r="F504" s="102">
        <f>ROUND(F336*$D$486/10,3)</f>
        <v>7.8949999999999996</v>
      </c>
      <c r="G504" s="102">
        <f>ROUND(G336*$D$486/10,3)</f>
        <v>7.8620000000000001</v>
      </c>
      <c r="H504" s="102">
        <f>ROUND((C352*$D$486+D352)/10,3)</f>
        <v>8.1549999999999994</v>
      </c>
    </row>
    <row r="505" spans="2:10" x14ac:dyDescent="0.6">
      <c r="B505" s="100" t="s">
        <v>255</v>
      </c>
      <c r="D505" s="102">
        <f>ROUND(D337*$D$486/10,3)</f>
        <v>9.25</v>
      </c>
      <c r="I505" s="102">
        <f>ROUND(H337*$D$486/10,3)</f>
        <v>14.101000000000001</v>
      </c>
    </row>
    <row r="506" spans="2:10" x14ac:dyDescent="0.6">
      <c r="B506" s="100" t="s">
        <v>256</v>
      </c>
      <c r="D506" s="102">
        <f>ROUND(D338*$D$486/10,3)</f>
        <v>7.7530000000000001</v>
      </c>
      <c r="I506" s="102">
        <f>ROUND(H338*$D$486/10,3)</f>
        <v>7.9029999999999996</v>
      </c>
    </row>
    <row r="508" spans="2:10" x14ac:dyDescent="0.6">
      <c r="B508" s="103" t="s">
        <v>257</v>
      </c>
      <c r="H508" s="104">
        <f>ROUND(I353,2)</f>
        <v>2.19</v>
      </c>
      <c r="I508" s="104"/>
    </row>
    <row r="509" spans="2:10" x14ac:dyDescent="0.6">
      <c r="B509" s="103"/>
      <c r="H509" s="104"/>
      <c r="I509" s="104"/>
    </row>
    <row r="510" spans="2:10" x14ac:dyDescent="0.6">
      <c r="B510" s="103"/>
      <c r="I510" s="104"/>
      <c r="J510" s="104"/>
    </row>
    <row r="511" spans="2:10" x14ac:dyDescent="0.6">
      <c r="B511" s="24" t="s">
        <v>258</v>
      </c>
      <c r="D511" t="s">
        <v>259</v>
      </c>
      <c r="E511" s="309">
        <v>6.6250000000000003E-2</v>
      </c>
      <c r="J511" s="104"/>
    </row>
    <row r="512" spans="2:10" x14ac:dyDescent="0.6">
      <c r="J512" s="104"/>
    </row>
    <row r="513" spans="2:9" x14ac:dyDescent="0.6">
      <c r="C513" s="8" t="s">
        <v>7</v>
      </c>
      <c r="D513" s="8" t="s">
        <v>8</v>
      </c>
      <c r="E513" s="8" t="s">
        <v>9</v>
      </c>
      <c r="F513" s="8" t="s">
        <v>10</v>
      </c>
      <c r="G513" s="8" t="s">
        <v>11</v>
      </c>
      <c r="H513" s="8" t="s">
        <v>12</v>
      </c>
      <c r="I513" s="8" t="str">
        <f>I24</f>
        <v>SC1 TOD</v>
      </c>
    </row>
    <row r="514" spans="2:9" x14ac:dyDescent="0.6">
      <c r="B514" s="56" t="s">
        <v>69</v>
      </c>
      <c r="I514" s="104"/>
    </row>
    <row r="515" spans="2:9" x14ac:dyDescent="0.6">
      <c r="B515" s="100" t="s">
        <v>254</v>
      </c>
      <c r="C515" s="100"/>
      <c r="E515" s="100">
        <f>ROUND(E493*(1+$E$511),3)</f>
        <v>8.8640000000000008</v>
      </c>
      <c r="F515" s="100">
        <f>ROUND(F493*(1+$E$511),3)</f>
        <v>7.5979999999999999</v>
      </c>
      <c r="G515" s="100">
        <f>ROUND(G493*(1+$E$511),3)</f>
        <v>7.57</v>
      </c>
      <c r="H515" s="100">
        <f>ROUND(H493*(1+$E$511),3)</f>
        <v>8.4049999999999994</v>
      </c>
      <c r="I515" s="104"/>
    </row>
    <row r="516" spans="2:9" x14ac:dyDescent="0.6">
      <c r="B516" s="100" t="s">
        <v>255</v>
      </c>
      <c r="D516" s="100">
        <f>ROUND(D494*(1+$E$511),3)</f>
        <v>10.327</v>
      </c>
      <c r="I516" s="115">
        <f>ROUND(I494*(1+$E$511),3)</f>
        <v>13.055</v>
      </c>
    </row>
    <row r="517" spans="2:9" x14ac:dyDescent="0.6">
      <c r="B517" s="100" t="s">
        <v>256</v>
      </c>
      <c r="D517" s="100">
        <f>ROUND(D495*(1+$E$511),3)</f>
        <v>7.3390000000000004</v>
      </c>
      <c r="I517" s="115">
        <f>ROUND(I495*(1+$E$511),3)</f>
        <v>7.6779999999999999</v>
      </c>
    </row>
    <row r="518" spans="2:9" x14ac:dyDescent="0.6">
      <c r="B518" s="103" t="s">
        <v>41</v>
      </c>
      <c r="C518" s="101">
        <f>ROUND(C496*(1+$E$511),3)</f>
        <v>5.0750000000000002</v>
      </c>
      <c r="D518" s="102"/>
      <c r="I518" s="104"/>
    </row>
    <row r="519" spans="2:9" x14ac:dyDescent="0.6">
      <c r="B519" s="100" t="s">
        <v>42</v>
      </c>
      <c r="C519" s="101">
        <f>ROUND(C497*(1+$E$511),3)</f>
        <v>12.547000000000001</v>
      </c>
      <c r="D519" s="102"/>
      <c r="I519" s="104"/>
    </row>
    <row r="520" spans="2:9" x14ac:dyDescent="0.6">
      <c r="D520" s="102"/>
      <c r="I520" s="104"/>
    </row>
    <row r="521" spans="2:9" x14ac:dyDescent="0.6">
      <c r="I521" s="104"/>
    </row>
    <row r="522" spans="2:9" x14ac:dyDescent="0.6">
      <c r="B522" s="103" t="s">
        <v>257</v>
      </c>
      <c r="H522" s="119">
        <f>ROUND(H500*(1+$E$511),2)</f>
        <v>2.08</v>
      </c>
      <c r="I522" s="104"/>
    </row>
    <row r="523" spans="2:9" x14ac:dyDescent="0.6">
      <c r="B523" s="103"/>
      <c r="H523" s="119"/>
      <c r="I523" s="104"/>
    </row>
    <row r="524" spans="2:9" x14ac:dyDescent="0.6">
      <c r="B524" s="103"/>
      <c r="H524" s="119"/>
      <c r="I524" s="104"/>
    </row>
    <row r="525" spans="2:9" x14ac:dyDescent="0.6">
      <c r="B525" s="56" t="s">
        <v>62</v>
      </c>
      <c r="I525" s="104"/>
    </row>
    <row r="526" spans="2:9" x14ac:dyDescent="0.6">
      <c r="B526" s="100" t="s">
        <v>254</v>
      </c>
      <c r="C526" s="100">
        <f>ROUND(C504*(1+$E$511),3)</f>
        <v>10.032</v>
      </c>
      <c r="E526" s="100">
        <f>ROUND(E504*(1+$E$511),3)</f>
        <v>9.2379999999999995</v>
      </c>
      <c r="F526" s="100">
        <f>ROUND(F504*(1+$E$511),3)</f>
        <v>8.4179999999999993</v>
      </c>
      <c r="G526" s="100">
        <f>ROUND(G504*(1+$E$511),3)</f>
        <v>8.3829999999999991</v>
      </c>
      <c r="H526" s="100">
        <f>ROUND(H504*(1+$E$511),3)</f>
        <v>8.6950000000000003</v>
      </c>
      <c r="I526" s="104"/>
    </row>
    <row r="527" spans="2:9" x14ac:dyDescent="0.6">
      <c r="B527" s="100" t="s">
        <v>255</v>
      </c>
      <c r="D527" s="100">
        <f>ROUND(D505*(1+$E$511),3)</f>
        <v>9.8629999999999995</v>
      </c>
      <c r="I527" s="115">
        <f>ROUND(I505*(1+$E$511),3)</f>
        <v>15.035</v>
      </c>
    </row>
    <row r="528" spans="2:9" x14ac:dyDescent="0.6">
      <c r="B528" s="100" t="s">
        <v>256</v>
      </c>
      <c r="D528" s="100">
        <f>ROUND(D506*(1+$E$511),3)</f>
        <v>8.2669999999999995</v>
      </c>
      <c r="I528" s="104">
        <f>ROUND(I506*(1+$E$511),3)</f>
        <v>8.4269999999999996</v>
      </c>
    </row>
    <row r="529" spans="1:10" x14ac:dyDescent="0.6">
      <c r="I529" s="104"/>
    </row>
    <row r="530" spans="1:10" x14ac:dyDescent="0.6">
      <c r="B530" s="103" t="s">
        <v>257</v>
      </c>
      <c r="H530" s="119">
        <f>ROUND(H508*(1+$E$511),2)</f>
        <v>2.34</v>
      </c>
      <c r="I530" s="104"/>
    </row>
    <row r="531" spans="1:10" x14ac:dyDescent="0.6">
      <c r="B531" s="103"/>
      <c r="H531" s="119"/>
      <c r="I531" s="104"/>
    </row>
    <row r="532" spans="1:10" x14ac:dyDescent="0.6">
      <c r="B532" s="103"/>
      <c r="I532" s="104"/>
      <c r="J532" s="104"/>
    </row>
    <row r="533" spans="1:10" x14ac:dyDescent="0.6">
      <c r="B533" s="103"/>
      <c r="I533" s="104"/>
      <c r="J533" s="104"/>
    </row>
    <row r="534" spans="1:10" x14ac:dyDescent="0.6">
      <c r="A534" s="15" t="s">
        <v>260</v>
      </c>
      <c r="B534" s="5" t="s">
        <v>261</v>
      </c>
      <c r="J534" s="104"/>
    </row>
    <row r="535" spans="1:10" x14ac:dyDescent="0.6">
      <c r="A535" s="15"/>
      <c r="B535" s="5"/>
      <c r="J535" s="104"/>
    </row>
    <row r="536" spans="1:10" x14ac:dyDescent="0.6">
      <c r="A536" s="15"/>
      <c r="B536" s="24" t="s">
        <v>262</v>
      </c>
      <c r="J536" s="104"/>
    </row>
    <row r="537" spans="1:10" x14ac:dyDescent="0.6">
      <c r="A537" s="15"/>
      <c r="B537" s="94"/>
      <c r="C537" s="8" t="str">
        <f t="shared" ref="C537" si="72">C491</f>
        <v>SC1</v>
      </c>
      <c r="D537" s="8" t="str">
        <f>D491</f>
        <v>SC3</v>
      </c>
      <c r="E537" s="8" t="str">
        <f>E491</f>
        <v>SC2 ND</v>
      </c>
      <c r="F537" s="8" t="str">
        <f>F491</f>
        <v>SC4</v>
      </c>
      <c r="G537" s="8" t="str">
        <f>G491</f>
        <v>SC6</v>
      </c>
      <c r="H537" s="8" t="str">
        <f>H491</f>
        <v>SC2 Dem</v>
      </c>
      <c r="I537" s="8" t="str">
        <f>I24</f>
        <v>SC1 TOD</v>
      </c>
    </row>
    <row r="538" spans="1:10" x14ac:dyDescent="0.6">
      <c r="A538" s="15"/>
      <c r="B538" s="94" t="s">
        <v>263</v>
      </c>
      <c r="C538" s="276">
        <v>1.6970000000000001</v>
      </c>
      <c r="D538" s="276">
        <v>1.6970000000000001</v>
      </c>
      <c r="E538" s="276">
        <v>0.54300000000000004</v>
      </c>
      <c r="F538" s="276">
        <v>1.365</v>
      </c>
      <c r="G538" s="276">
        <v>1.365</v>
      </c>
      <c r="H538" s="276">
        <v>0.54300000000000004</v>
      </c>
      <c r="I538" s="115">
        <f>C538</f>
        <v>1.6970000000000001</v>
      </c>
    </row>
    <row r="539" spans="1:10" x14ac:dyDescent="0.6">
      <c r="A539" s="15"/>
      <c r="B539" s="94" t="s">
        <v>264</v>
      </c>
      <c r="H539" s="97">
        <v>2.62</v>
      </c>
      <c r="I539" s="115"/>
    </row>
    <row r="540" spans="1:10" x14ac:dyDescent="0.6">
      <c r="B540" s="94" t="s">
        <v>265</v>
      </c>
      <c r="H540" s="97">
        <v>2.62</v>
      </c>
      <c r="I540" s="104"/>
    </row>
    <row r="541" spans="1:10" x14ac:dyDescent="0.6">
      <c r="I541" s="104"/>
    </row>
    <row r="542" spans="1:10" x14ac:dyDescent="0.6">
      <c r="I542" s="104"/>
    </row>
    <row r="543" spans="1:10" x14ac:dyDescent="0.6">
      <c r="B543" s="24" t="s">
        <v>266</v>
      </c>
      <c r="I543" s="104"/>
    </row>
    <row r="544" spans="1:10" x14ac:dyDescent="0.6">
      <c r="I544" s="104"/>
    </row>
    <row r="545" spans="2:9" x14ac:dyDescent="0.6">
      <c r="I545" s="104"/>
    </row>
    <row r="546" spans="2:9" x14ac:dyDescent="0.6">
      <c r="B546" s="56" t="s">
        <v>69</v>
      </c>
      <c r="I546" s="104"/>
    </row>
    <row r="547" spans="2:9" x14ac:dyDescent="0.6">
      <c r="B547" s="100" t="s">
        <v>254</v>
      </c>
      <c r="C547" s="102">
        <f t="shared" ref="C547:H554" si="73">IF(C493&gt;0,C493+C$538,"")</f>
        <v>10.452999999999999</v>
      </c>
      <c r="D547" s="102" t="str">
        <f t="shared" si="73"/>
        <v/>
      </c>
      <c r="E547" s="102">
        <f t="shared" si="73"/>
        <v>8.8559999999999999</v>
      </c>
      <c r="F547" s="102">
        <f t="shared" si="73"/>
        <v>8.4909999999999997</v>
      </c>
      <c r="G547" s="102">
        <f t="shared" si="73"/>
        <v>8.4649999999999999</v>
      </c>
      <c r="H547" s="102">
        <f t="shared" si="73"/>
        <v>8.4260000000000002</v>
      </c>
      <c r="I547" s="104"/>
    </row>
    <row r="548" spans="2:9" x14ac:dyDescent="0.6">
      <c r="B548" s="100" t="s">
        <v>255</v>
      </c>
      <c r="C548" s="102" t="str">
        <f t="shared" si="73"/>
        <v/>
      </c>
      <c r="D548" s="102">
        <f>IF(D494&gt;0,D494+D$538,"")</f>
        <v>11.382000000000001</v>
      </c>
      <c r="E548" s="102" t="str">
        <f t="shared" si="73"/>
        <v/>
      </c>
      <c r="F548" s="102" t="str">
        <f t="shared" si="73"/>
        <v/>
      </c>
      <c r="G548" s="102" t="str">
        <f t="shared" si="73"/>
        <v/>
      </c>
      <c r="H548" s="102" t="str">
        <f t="shared" si="73"/>
        <v/>
      </c>
      <c r="I548" s="115">
        <f>IF(I494&gt;0,I494+I$538,"")</f>
        <v>13.940999999999999</v>
      </c>
    </row>
    <row r="549" spans="2:9" x14ac:dyDescent="0.6">
      <c r="B549" s="100" t="s">
        <v>256</v>
      </c>
      <c r="C549" s="102" t="str">
        <f t="shared" si="73"/>
        <v/>
      </c>
      <c r="D549" s="102">
        <f>IF(D495&gt;0,D495+D$538,"")</f>
        <v>8.58</v>
      </c>
      <c r="E549" s="102" t="str">
        <f t="shared" si="73"/>
        <v/>
      </c>
      <c r="F549" s="102" t="str">
        <f t="shared" si="73"/>
        <v/>
      </c>
      <c r="G549" s="102" t="str">
        <f t="shared" si="73"/>
        <v/>
      </c>
      <c r="H549" s="102" t="str">
        <f t="shared" si="73"/>
        <v/>
      </c>
      <c r="I549" s="115">
        <f>IF(I495&gt;0,I495+I$538,"")</f>
        <v>8.8979999999999997</v>
      </c>
    </row>
    <row r="550" spans="2:9" x14ac:dyDescent="0.6">
      <c r="B550" s="103" t="s">
        <v>41</v>
      </c>
      <c r="C550" s="102">
        <f t="shared" si="73"/>
        <v>6.4569999999999999</v>
      </c>
      <c r="D550" s="102" t="str">
        <f t="shared" si="73"/>
        <v/>
      </c>
      <c r="E550" s="102" t="str">
        <f t="shared" si="73"/>
        <v/>
      </c>
      <c r="F550" s="102" t="str">
        <f t="shared" si="73"/>
        <v/>
      </c>
      <c r="G550" s="102" t="str">
        <f t="shared" si="73"/>
        <v/>
      </c>
      <c r="H550" s="102" t="str">
        <f t="shared" si="73"/>
        <v/>
      </c>
      <c r="I550" s="104"/>
    </row>
    <row r="551" spans="2:9" x14ac:dyDescent="0.6">
      <c r="B551" s="100" t="s">
        <v>42</v>
      </c>
      <c r="C551" s="102">
        <f t="shared" si="73"/>
        <v>13.463999999999999</v>
      </c>
      <c r="D551" s="102" t="str">
        <f t="shared" si="73"/>
        <v/>
      </c>
      <c r="E551" s="102" t="str">
        <f t="shared" si="73"/>
        <v/>
      </c>
      <c r="F551" s="102" t="str">
        <f t="shared" si="73"/>
        <v/>
      </c>
      <c r="G551" s="102" t="str">
        <f t="shared" si="73"/>
        <v/>
      </c>
      <c r="H551" s="102" t="str">
        <f t="shared" si="73"/>
        <v/>
      </c>
      <c r="I551" s="104"/>
    </row>
    <row r="552" spans="2:9" x14ac:dyDescent="0.6">
      <c r="B552" s="102"/>
      <c r="C552" s="102"/>
      <c r="D552" s="102" t="str">
        <f t="shared" si="73"/>
        <v/>
      </c>
      <c r="E552" s="102" t="str">
        <f t="shared" si="73"/>
        <v/>
      </c>
      <c r="F552" s="102" t="str">
        <f t="shared" si="73"/>
        <v/>
      </c>
      <c r="G552" s="102" t="str">
        <f t="shared" si="73"/>
        <v/>
      </c>
      <c r="H552" s="102" t="str">
        <f t="shared" si="73"/>
        <v/>
      </c>
      <c r="I552" s="104"/>
    </row>
    <row r="553" spans="2:9" x14ac:dyDescent="0.6">
      <c r="C553" s="102" t="str">
        <f t="shared" si="73"/>
        <v/>
      </c>
      <c r="D553" s="102" t="str">
        <f t="shared" si="73"/>
        <v/>
      </c>
      <c r="E553" s="102" t="str">
        <f t="shared" si="73"/>
        <v/>
      </c>
      <c r="F553" s="102" t="str">
        <f t="shared" si="73"/>
        <v/>
      </c>
      <c r="G553" s="102" t="str">
        <f t="shared" si="73"/>
        <v/>
      </c>
      <c r="H553" s="102" t="str">
        <f t="shared" si="73"/>
        <v/>
      </c>
      <c r="I553" s="104"/>
    </row>
    <row r="554" spans="2:9" x14ac:dyDescent="0.6">
      <c r="B554" s="103" t="s">
        <v>267</v>
      </c>
      <c r="C554" s="102" t="str">
        <f t="shared" si="73"/>
        <v/>
      </c>
      <c r="D554" s="102" t="str">
        <f>IF(D500&gt;0,D500+D$538,"")</f>
        <v/>
      </c>
      <c r="E554" s="102" t="str">
        <f>IF(E500&gt;0,E500+E$538,"")</f>
        <v/>
      </c>
      <c r="F554" s="102" t="str">
        <f>IF(F500&gt;0,F500+F$538,"")</f>
        <v/>
      </c>
      <c r="G554" s="102" t="str">
        <f>IF(G500&gt;0,G500+G$538,"")</f>
        <v/>
      </c>
      <c r="H554" s="102">
        <f>IF(H500&gt;0,H500+H$539,"")</f>
        <v>4.57</v>
      </c>
      <c r="I554" s="104"/>
    </row>
    <row r="555" spans="2:9" x14ac:dyDescent="0.6">
      <c r="I555" s="104"/>
    </row>
    <row r="556" spans="2:9" x14ac:dyDescent="0.6">
      <c r="B556" s="56" t="s">
        <v>62</v>
      </c>
      <c r="I556" s="104"/>
    </row>
    <row r="557" spans="2:9" x14ac:dyDescent="0.6">
      <c r="B557" s="100" t="s">
        <v>254</v>
      </c>
      <c r="C557" s="102">
        <f t="shared" ref="C557:H561" si="74">IF(C504&gt;0,C504+C$538,"")</f>
        <v>11.106000000000002</v>
      </c>
      <c r="D557" s="102" t="str">
        <f t="shared" si="74"/>
        <v/>
      </c>
      <c r="E557" s="102">
        <f t="shared" si="74"/>
        <v>9.206999999999999</v>
      </c>
      <c r="F557" s="102">
        <f t="shared" si="74"/>
        <v>9.26</v>
      </c>
      <c r="G557" s="102">
        <f t="shared" si="74"/>
        <v>9.2270000000000003</v>
      </c>
      <c r="H557" s="102">
        <f t="shared" si="74"/>
        <v>8.6979999999999986</v>
      </c>
      <c r="I557" s="104"/>
    </row>
    <row r="558" spans="2:9" x14ac:dyDescent="0.6">
      <c r="B558" s="100" t="s">
        <v>255</v>
      </c>
      <c r="C558" s="102" t="str">
        <f t="shared" si="74"/>
        <v/>
      </c>
      <c r="D558" s="102">
        <f>IF(D505&gt;0,D505+D$538,"")</f>
        <v>10.946999999999999</v>
      </c>
      <c r="E558" s="102" t="str">
        <f t="shared" si="74"/>
        <v/>
      </c>
      <c r="F558" s="102" t="str">
        <f t="shared" si="74"/>
        <v/>
      </c>
      <c r="G558" s="102" t="str">
        <f t="shared" si="74"/>
        <v/>
      </c>
      <c r="H558" s="102" t="str">
        <f t="shared" si="74"/>
        <v/>
      </c>
      <c r="I558" s="115">
        <f>IF(I505&gt;0,I505+I$538,"")</f>
        <v>15.798000000000002</v>
      </c>
    </row>
    <row r="559" spans="2:9" x14ac:dyDescent="0.6">
      <c r="B559" s="100" t="s">
        <v>256</v>
      </c>
      <c r="C559" s="102" t="str">
        <f t="shared" si="74"/>
        <v/>
      </c>
      <c r="D559" s="102">
        <f>IF(D506&gt;0,D506+D$538,"")</f>
        <v>9.4499999999999993</v>
      </c>
      <c r="E559" s="102" t="str">
        <f t="shared" si="74"/>
        <v/>
      </c>
      <c r="F559" s="102" t="str">
        <f t="shared" si="74"/>
        <v/>
      </c>
      <c r="G559" s="102" t="str">
        <f t="shared" si="74"/>
        <v/>
      </c>
      <c r="H559" s="102" t="str">
        <f t="shared" si="74"/>
        <v/>
      </c>
      <c r="I559" s="115">
        <f>IF(I506&gt;0,I506+I$538,"")</f>
        <v>9.6</v>
      </c>
    </row>
    <row r="560" spans="2:9" x14ac:dyDescent="0.6">
      <c r="C560" s="102" t="str">
        <f t="shared" si="74"/>
        <v/>
      </c>
      <c r="D560" s="102" t="str">
        <f>IF(E507&gt;0,E507+D$538,"")</f>
        <v/>
      </c>
      <c r="E560" s="102" t="str">
        <f>IF(F507&gt;0,F507+E$538,"")</f>
        <v/>
      </c>
      <c r="F560" s="102" t="str">
        <f>IF(G507&gt;0,G507+F$538,"")</f>
        <v/>
      </c>
      <c r="G560" s="102" t="str">
        <f>IF(H507&gt;0,H507+G$538,"")</f>
        <v/>
      </c>
      <c r="H560" s="102" t="str">
        <f>IF(I507&gt;0,I507+H$538,"")</f>
        <v/>
      </c>
      <c r="I560" s="104"/>
    </row>
    <row r="561" spans="1:10" x14ac:dyDescent="0.6">
      <c r="B561" s="103" t="s">
        <v>267</v>
      </c>
      <c r="C561" s="102" t="str">
        <f t="shared" si="74"/>
        <v/>
      </c>
      <c r="D561" s="102" t="str">
        <f>IF(D508&gt;0,D508+D$538,"")</f>
        <v/>
      </c>
      <c r="E561" s="102" t="str">
        <f>IF(E508&gt;0,E508+E$538,"")</f>
        <v/>
      </c>
      <c r="F561" s="102" t="str">
        <f>IF(F508&gt;0,F508+F$538,"")</f>
        <v/>
      </c>
      <c r="G561" s="102" t="str">
        <f>IF(G508&gt;0,G508+G$538,"")</f>
        <v/>
      </c>
      <c r="H561" s="102">
        <f>IF(H508&gt;0,H508+H$540,"")</f>
        <v>4.8100000000000005</v>
      </c>
      <c r="I561" s="104"/>
    </row>
    <row r="562" spans="1:10" x14ac:dyDescent="0.6">
      <c r="B562" s="103"/>
      <c r="I562" s="104"/>
      <c r="J562" s="104"/>
    </row>
    <row r="563" spans="1:10" x14ac:dyDescent="0.6">
      <c r="B563" s="103"/>
      <c r="I563" s="104"/>
      <c r="J563" s="104"/>
    </row>
    <row r="565" spans="1:10" x14ac:dyDescent="0.6">
      <c r="A565" s="6"/>
      <c r="C565" s="293"/>
      <c r="E565" s="293"/>
    </row>
    <row r="566" spans="1:10" x14ac:dyDescent="0.6">
      <c r="A566" s="15" t="s">
        <v>268</v>
      </c>
      <c r="B566" s="11" t="s">
        <v>269</v>
      </c>
      <c r="C566" s="293"/>
      <c r="E566" s="293"/>
    </row>
    <row r="567" spans="1:10" x14ac:dyDescent="0.6">
      <c r="A567" s="6"/>
      <c r="C567" s="293"/>
      <c r="E567" s="293"/>
    </row>
    <row r="568" spans="1:10" x14ac:dyDescent="0.6">
      <c r="A568" s="6"/>
      <c r="B568" s="103" t="s">
        <v>270</v>
      </c>
      <c r="C568" s="272">
        <f>+D223</f>
        <v>98.511361396003196</v>
      </c>
      <c r="E568" s="293"/>
    </row>
    <row r="569" spans="1:10" x14ac:dyDescent="0.6">
      <c r="A569" s="6"/>
      <c r="B569" s="103" t="s">
        <v>271</v>
      </c>
      <c r="C569" s="310">
        <f>+J377</f>
        <v>0.96799999999999997</v>
      </c>
      <c r="E569" s="293"/>
    </row>
    <row r="570" spans="1:10" x14ac:dyDescent="0.6">
      <c r="A570" s="6"/>
      <c r="B570" s="103" t="s">
        <v>272</v>
      </c>
      <c r="C570" s="310">
        <f>+J378</f>
        <v>1.0232000000000001</v>
      </c>
      <c r="E570" s="293"/>
    </row>
    <row r="571" spans="1:10" x14ac:dyDescent="0.6">
      <c r="A571" s="6"/>
      <c r="B571" s="100" t="s">
        <v>273</v>
      </c>
      <c r="C571" s="311">
        <f>ROUND(C568*C569,4)</f>
        <v>95.358999999999995</v>
      </c>
      <c r="E571" s="293"/>
    </row>
    <row r="572" spans="1:10" x14ac:dyDescent="0.6">
      <c r="A572" s="6"/>
      <c r="B572" s="100" t="s">
        <v>274</v>
      </c>
      <c r="C572" s="311">
        <f>ROUND(C568*C570,4)</f>
        <v>100.7968</v>
      </c>
      <c r="E572" s="293"/>
    </row>
    <row r="573" spans="1:10" x14ac:dyDescent="0.6">
      <c r="A573" s="6"/>
      <c r="B573" s="103"/>
      <c r="C573" s="293"/>
      <c r="E573" s="293"/>
    </row>
    <row r="574" spans="1:10" x14ac:dyDescent="0.6">
      <c r="A574" s="6"/>
      <c r="C574" s="293"/>
      <c r="E574" s="293"/>
    </row>
    <row r="575" spans="1:10" x14ac:dyDescent="0.6">
      <c r="A575" s="6"/>
      <c r="C575" s="8" t="str">
        <f t="shared" ref="C575" si="75">C6</f>
        <v>SC1</v>
      </c>
      <c r="D575" s="8" t="str">
        <f>D6</f>
        <v>SC3</v>
      </c>
      <c r="E575" s="8" t="str">
        <f>E6</f>
        <v>SC2 ND</v>
      </c>
      <c r="F575" s="8" t="str">
        <f>F6</f>
        <v>SC4</v>
      </c>
      <c r="G575" s="8" t="str">
        <f>G6</f>
        <v>SC6</v>
      </c>
      <c r="H575" s="8" t="str">
        <f>H6</f>
        <v>SC2 Dem</v>
      </c>
      <c r="I575" s="8" t="str">
        <f>$I$24</f>
        <v>SC1 TOD</v>
      </c>
    </row>
    <row r="576" spans="1:10" x14ac:dyDescent="0.6">
      <c r="A576" s="6"/>
      <c r="B576" s="96" t="s">
        <v>275</v>
      </c>
    </row>
    <row r="577" spans="1:11" x14ac:dyDescent="0.6">
      <c r="A577" s="6"/>
      <c r="B577" s="105" t="s">
        <v>69</v>
      </c>
      <c r="C577" s="106">
        <f>ROUND((C493*L48)/100,0)</f>
        <v>26880</v>
      </c>
      <c r="D577" s="107">
        <f>ROUND((D494*M49+D495*M50)/100,0)</f>
        <v>24</v>
      </c>
      <c r="E577" s="106">
        <f>ROUND(E493*N48/100,0)</f>
        <v>334</v>
      </c>
      <c r="F577" s="106">
        <f>ROUND(F493*O48/100,0)</f>
        <v>128</v>
      </c>
      <c r="G577" s="106">
        <f>ROUND(G493*P48/100,0)</f>
        <v>100</v>
      </c>
      <c r="H577" s="107">
        <v>9838</v>
      </c>
      <c r="I577" s="107">
        <f>ROUND((I494*R49+I495*R50)/100,0)</f>
        <v>26883</v>
      </c>
    </row>
    <row r="578" spans="1:11" x14ac:dyDescent="0.6">
      <c r="A578" s="6"/>
      <c r="B578" s="105" t="s">
        <v>62</v>
      </c>
      <c r="C578" s="60">
        <f>ROUND(C504*L44/100,0)</f>
        <v>36523</v>
      </c>
      <c r="D578" s="61">
        <f>ROUND((D505*M45+D506*M46)/100,0)</f>
        <v>50</v>
      </c>
      <c r="E578" s="60">
        <f>ROUND(E504*N44/100,0)</f>
        <v>888</v>
      </c>
      <c r="F578" s="60">
        <f>ROUND(F504*O44/100,0)</f>
        <v>361</v>
      </c>
      <c r="G578" s="60">
        <f>ROUND(G504*P44/100,0)</f>
        <v>276</v>
      </c>
      <c r="H578" s="61">
        <v>16570</v>
      </c>
      <c r="I578" s="61">
        <f>ROUND((I505*R45+I506*R46)/100,0)</f>
        <v>36525</v>
      </c>
    </row>
    <row r="579" spans="1:11" x14ac:dyDescent="0.6">
      <c r="A579" s="6"/>
      <c r="B579" s="105" t="s">
        <v>36</v>
      </c>
      <c r="C579" s="108">
        <f>+C578+C577</f>
        <v>63403</v>
      </c>
      <c r="D579" s="108">
        <f t="shared" ref="D579:I579" si="76">+D578+D577</f>
        <v>74</v>
      </c>
      <c r="E579" s="108">
        <f t="shared" si="76"/>
        <v>1222</v>
      </c>
      <c r="F579" s="108">
        <f t="shared" si="76"/>
        <v>489</v>
      </c>
      <c r="G579" s="108">
        <f t="shared" si="76"/>
        <v>376</v>
      </c>
      <c r="H579" s="108">
        <f t="shared" si="76"/>
        <v>26408</v>
      </c>
      <c r="I579" s="108">
        <f t="shared" si="76"/>
        <v>63408</v>
      </c>
    </row>
    <row r="580" spans="1:11" x14ac:dyDescent="0.6">
      <c r="A580" s="6"/>
      <c r="B580" s="105"/>
      <c r="C580" s="108"/>
      <c r="D580" s="108"/>
      <c r="E580" s="108"/>
      <c r="F580" s="108"/>
      <c r="G580" s="108"/>
      <c r="H580" s="108"/>
      <c r="I580" s="108"/>
    </row>
    <row r="581" spans="1:11" x14ac:dyDescent="0.6">
      <c r="A581" s="6"/>
      <c r="B581" s="105" t="s">
        <v>36</v>
      </c>
      <c r="C581" s="108"/>
      <c r="D581" s="108"/>
      <c r="E581" s="108"/>
      <c r="F581" s="108"/>
      <c r="G581" s="108"/>
      <c r="H581" s="108"/>
      <c r="I581" s="108"/>
    </row>
    <row r="582" spans="1:11" x14ac:dyDescent="0.6">
      <c r="A582" s="6"/>
      <c r="B582" s="105" t="s">
        <v>69</v>
      </c>
      <c r="C582" s="108">
        <f>SUM(C577:H577)</f>
        <v>37304</v>
      </c>
      <c r="D582" s="108"/>
      <c r="E582" s="108"/>
      <c r="F582" s="108"/>
      <c r="G582" s="108"/>
      <c r="H582" s="108"/>
      <c r="I582" s="108"/>
      <c r="K582" s="282"/>
    </row>
    <row r="583" spans="1:11" x14ac:dyDescent="0.6">
      <c r="A583" s="6"/>
      <c r="B583" s="105" t="s">
        <v>62</v>
      </c>
      <c r="C583" s="62">
        <f>SUM(C578:H578)</f>
        <v>54668</v>
      </c>
      <c r="D583" s="293"/>
      <c r="E583" s="108"/>
      <c r="F583" s="108"/>
    </row>
    <row r="584" spans="1:11" x14ac:dyDescent="0.6">
      <c r="A584" s="6"/>
      <c r="B584" s="105" t="s">
        <v>36</v>
      </c>
      <c r="C584" s="249">
        <f>+C583+C582</f>
        <v>91972</v>
      </c>
      <c r="D584" s="293"/>
      <c r="E584" s="249"/>
      <c r="F584" s="249"/>
    </row>
    <row r="585" spans="1:11" x14ac:dyDescent="0.6">
      <c r="A585" s="6"/>
      <c r="B585" s="105"/>
      <c r="C585" s="108"/>
      <c r="D585" s="293"/>
    </row>
    <row r="586" spans="1:11" x14ac:dyDescent="0.6">
      <c r="A586" s="6"/>
      <c r="C586" s="8" t="str">
        <f t="shared" ref="C586" si="77">C6</f>
        <v>SC1</v>
      </c>
      <c r="D586" s="8" t="str">
        <f>D6</f>
        <v>SC3</v>
      </c>
      <c r="E586" s="8" t="str">
        <f>E6</f>
        <v>SC2 ND</v>
      </c>
      <c r="F586" s="8" t="str">
        <f>F6</f>
        <v>SC4</v>
      </c>
      <c r="G586" s="8" t="str">
        <f>G6</f>
        <v>SC6</v>
      </c>
      <c r="H586" s="8" t="str">
        <f>H6</f>
        <v>SC2 Dem</v>
      </c>
      <c r="I586" s="8" t="str">
        <f>$I$24</f>
        <v>SC1 TOD</v>
      </c>
    </row>
    <row r="587" spans="1:11" x14ac:dyDescent="0.6">
      <c r="A587" s="6"/>
      <c r="B587" t="s">
        <v>276</v>
      </c>
    </row>
    <row r="588" spans="1:11" x14ac:dyDescent="0.6">
      <c r="A588" s="6"/>
      <c r="B588" s="105" t="s">
        <v>69</v>
      </c>
      <c r="C588" s="106">
        <f t="shared" ref="C588:H588" si="78">+$C571*L48*C78/1000</f>
        <v>31814.346616705712</v>
      </c>
      <c r="D588" s="106">
        <f>+$C571*M48*D78/1000</f>
        <v>30.873602682477248</v>
      </c>
      <c r="E588" s="106">
        <f t="shared" si="78"/>
        <v>416.60600502478155</v>
      </c>
      <c r="F588" s="106">
        <f t="shared" si="78"/>
        <v>184.96103606178198</v>
      </c>
      <c r="G588" s="106">
        <f t="shared" si="78"/>
        <v>145.71748848865127</v>
      </c>
      <c r="H588" s="106">
        <f t="shared" si="78"/>
        <v>12075.688216072367</v>
      </c>
      <c r="I588" s="106">
        <f>+$C571*R48*C78/1000</f>
        <v>31814.346616705712</v>
      </c>
    </row>
    <row r="589" spans="1:11" x14ac:dyDescent="0.6">
      <c r="A589" s="6"/>
      <c r="B589" s="105" t="s">
        <v>62</v>
      </c>
      <c r="C589" s="60">
        <f t="shared" ref="C589:H589" si="79">+$C572*L44*C78/1000</f>
        <v>42521.015170171508</v>
      </c>
      <c r="D589" s="60">
        <f t="shared" si="79"/>
        <v>66.265607256057663</v>
      </c>
      <c r="E589" s="60">
        <f t="shared" si="79"/>
        <v>1122.1582301311214</v>
      </c>
      <c r="F589" s="60">
        <f t="shared" si="79"/>
        <v>499.14121795829874</v>
      </c>
      <c r="G589" s="60">
        <f t="shared" si="79"/>
        <v>383.37538709011375</v>
      </c>
      <c r="H589" s="60">
        <f t="shared" si="79"/>
        <v>20657.172361656056</v>
      </c>
      <c r="I589" s="60">
        <f>+$C572*R44*C78/1000</f>
        <v>42521.015170171508</v>
      </c>
    </row>
    <row r="590" spans="1:11" x14ac:dyDescent="0.6">
      <c r="A590" s="6"/>
      <c r="B590" s="105" t="s">
        <v>36</v>
      </c>
      <c r="C590" s="108">
        <f t="shared" ref="C590:I590" si="80">+C589+C588</f>
        <v>74335.361786877213</v>
      </c>
      <c r="D590" s="108">
        <f t="shared" si="80"/>
        <v>97.139209938534918</v>
      </c>
      <c r="E590" s="108">
        <f t="shared" si="80"/>
        <v>1538.764235155903</v>
      </c>
      <c r="F590" s="108">
        <f t="shared" si="80"/>
        <v>684.10225402008075</v>
      </c>
      <c r="G590" s="106">
        <f t="shared" si="80"/>
        <v>529.09287557876496</v>
      </c>
      <c r="H590" s="106">
        <f t="shared" si="80"/>
        <v>32732.860577728425</v>
      </c>
      <c r="I590" s="108">
        <f t="shared" si="80"/>
        <v>74335.361786877213</v>
      </c>
    </row>
    <row r="591" spans="1:11" x14ac:dyDescent="0.6">
      <c r="A591" s="6"/>
      <c r="C591" s="293"/>
      <c r="D591" s="293"/>
      <c r="E591" s="293"/>
      <c r="F591" s="293"/>
      <c r="G591" s="293"/>
      <c r="H591" s="293"/>
      <c r="I591" s="293"/>
      <c r="J591" s="293"/>
    </row>
    <row r="592" spans="1:11" x14ac:dyDescent="0.6">
      <c r="A592" s="6"/>
      <c r="B592" s="105" t="s">
        <v>36</v>
      </c>
      <c r="C592" s="281"/>
      <c r="D592" s="293"/>
      <c r="E592" s="293"/>
      <c r="F592" s="293"/>
      <c r="G592" s="293"/>
      <c r="H592" s="293"/>
      <c r="I592" s="293"/>
      <c r="J592" s="293"/>
    </row>
    <row r="593" spans="1:7" x14ac:dyDescent="0.6">
      <c r="A593" s="6"/>
      <c r="B593" s="105" t="s">
        <v>69</v>
      </c>
      <c r="C593" s="108">
        <f>SUM(C588:H588)</f>
        <v>44668.192965035771</v>
      </c>
      <c r="G593" s="108"/>
    </row>
    <row r="594" spans="1:7" x14ac:dyDescent="0.6">
      <c r="A594" s="6"/>
      <c r="B594" s="105" t="s">
        <v>62</v>
      </c>
      <c r="C594" s="62">
        <f>SUM(C589:H589)</f>
        <v>65249.127974263152</v>
      </c>
      <c r="G594" s="108"/>
    </row>
    <row r="595" spans="1:7" x14ac:dyDescent="0.6">
      <c r="A595" s="6"/>
      <c r="B595" s="105" t="s">
        <v>36</v>
      </c>
      <c r="C595" s="108">
        <f>+C594+C593</f>
        <v>109917.32093929892</v>
      </c>
      <c r="G595" s="108"/>
    </row>
    <row r="596" spans="1:7" x14ac:dyDescent="0.6">
      <c r="A596" s="6"/>
      <c r="C596" s="293"/>
      <c r="D596" s="63"/>
      <c r="E596" s="293"/>
      <c r="F596" s="55"/>
    </row>
    <row r="597" spans="1:7" x14ac:dyDescent="0.6">
      <c r="B597" s="94" t="s">
        <v>277</v>
      </c>
      <c r="C597" s="108"/>
    </row>
    <row r="598" spans="1:7" x14ac:dyDescent="0.6">
      <c r="B598" s="105" t="s">
        <v>69</v>
      </c>
      <c r="C598" s="111">
        <f>ROUND($C$147*SUM($C$141:$H$141)/12*H$144/1000*D447,0)</f>
        <v>5480</v>
      </c>
    </row>
    <row r="599" spans="1:7" x14ac:dyDescent="0.6">
      <c r="B599" s="105" t="s">
        <v>62</v>
      </c>
      <c r="C599" s="250">
        <f>ROUND($C$147*SUM($C$141:$H$141)/12*H$145/1000*D447,0)</f>
        <v>10961</v>
      </c>
    </row>
    <row r="600" spans="1:7" x14ac:dyDescent="0.6">
      <c r="B600" s="105" t="s">
        <v>36</v>
      </c>
      <c r="C600" s="108">
        <f>SUM(C598:C599)</f>
        <v>16441</v>
      </c>
    </row>
    <row r="602" spans="1:7" x14ac:dyDescent="0.6">
      <c r="B602" t="s">
        <v>278</v>
      </c>
    </row>
    <row r="603" spans="1:7" x14ac:dyDescent="0.6">
      <c r="B603" s="105" t="s">
        <v>69</v>
      </c>
      <c r="C603" s="108">
        <f>C593-C598</f>
        <v>39188.192965035771</v>
      </c>
    </row>
    <row r="604" spans="1:7" x14ac:dyDescent="0.6">
      <c r="B604" s="105" t="s">
        <v>62</v>
      </c>
      <c r="C604" s="62">
        <f>C594-C599</f>
        <v>54288.127974263152</v>
      </c>
    </row>
    <row r="605" spans="1:7" x14ac:dyDescent="0.6">
      <c r="B605" s="105" t="s">
        <v>36</v>
      </c>
      <c r="C605" s="249">
        <f>SUM(C603:C604)</f>
        <v>93476.320939298923</v>
      </c>
    </row>
    <row r="607" spans="1:7" x14ac:dyDescent="0.6">
      <c r="B607" t="s">
        <v>279</v>
      </c>
    </row>
    <row r="608" spans="1:7" x14ac:dyDescent="0.6">
      <c r="B608" s="105" t="s">
        <v>69</v>
      </c>
      <c r="C608" s="108">
        <f>C603-C582</f>
        <v>1884.1929650357706</v>
      </c>
    </row>
    <row r="609" spans="2:3" x14ac:dyDescent="0.6">
      <c r="B609" s="105" t="s">
        <v>62</v>
      </c>
      <c r="C609" s="62">
        <f>C604-C583</f>
        <v>-379.87202573684772</v>
      </c>
    </row>
    <row r="610" spans="2:3" x14ac:dyDescent="0.6">
      <c r="B610" s="105" t="s">
        <v>36</v>
      </c>
      <c r="C610" s="108">
        <f>SUM(C608:C609)</f>
        <v>1504.3209392989229</v>
      </c>
    </row>
  </sheetData>
  <mergeCells count="3">
    <mergeCell ref="T210:U210"/>
    <mergeCell ref="I376:J376"/>
    <mergeCell ref="I398:J398"/>
  </mergeCells>
  <pageMargins left="0.5" right="0.5" top="1" bottom="0.75" header="0.5" footer="0.5"/>
  <pageSetup scale="85" orientation="landscape" r:id="rId1"/>
  <headerFooter alignWithMargins="0">
    <oddHeader xml:space="preserve">&amp;L&amp;"Arial,Bold"&amp;UROCKLAND ELECTRIC COMPANY&amp;C&amp;"Arial,Bold Italic"
&amp;R&amp;"Arial,Bold"Attachment B&amp;"Arial,Regular"
Page &amp;P of &amp;N
</oddHeader>
    <oddFooter>&amp;L&amp;F&amp;R&amp;D</oddFooter>
  </headerFooter>
  <rowBreaks count="12" manualBreakCount="12">
    <brk id="39" max="9" man="1"/>
    <brk id="82" max="9" man="1"/>
    <brk id="118" max="9" man="1"/>
    <brk id="162" max="9" man="1"/>
    <brk id="206" max="9" man="1"/>
    <brk id="247" max="9" man="1"/>
    <brk id="285" max="9" man="1"/>
    <brk id="319" max="9" man="1"/>
    <brk id="358" max="9" man="1"/>
    <brk id="401" max="9" man="1"/>
    <brk id="442" max="9" man="1"/>
    <brk id="5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9E58-748D-4DF2-81A8-473E6F874D39}">
  <sheetPr codeName="Sheet5">
    <pageSetUpPr fitToPage="1"/>
  </sheetPr>
  <dimension ref="A1:N51"/>
  <sheetViews>
    <sheetView workbookViewId="0"/>
  </sheetViews>
  <sheetFormatPr defaultColWidth="9.1328125" defaultRowHeight="13" x14ac:dyDescent="0.6"/>
  <cols>
    <col min="1" max="1" width="9.1328125" style="2"/>
    <col min="2" max="2" width="4.7265625" style="2" customWidth="1"/>
    <col min="3" max="3" width="30.86328125" style="2" customWidth="1"/>
    <col min="4" max="6" width="9.54296875" style="2" customWidth="1"/>
    <col min="7" max="7" width="9.86328125" style="2" customWidth="1"/>
    <col min="8" max="8" width="2.40625" style="2" customWidth="1"/>
    <col min="9" max="13" width="9.1328125" style="2"/>
    <col min="14" max="14" width="12.86328125" style="2" customWidth="1"/>
    <col min="15" max="17" width="9.1328125" style="2"/>
    <col min="18" max="18" width="13.1328125" style="2" customWidth="1"/>
    <col min="19" max="16384" width="9.1328125" style="2"/>
  </cols>
  <sheetData>
    <row r="1" spans="1:9" x14ac:dyDescent="0.6">
      <c r="A1" s="16" t="s">
        <v>280</v>
      </c>
    </row>
    <row r="2" spans="1:9" x14ac:dyDescent="0.6">
      <c r="A2" s="11" t="str">
        <f>'BGS Cost &amp; Bid Factors'!M1&amp;" BGS Auction"</f>
        <v>2025 BGS Auction</v>
      </c>
    </row>
    <row r="4" spans="1:9" s="53" customFormat="1" x14ac:dyDescent="0.6">
      <c r="A4" s="11" t="s">
        <v>281</v>
      </c>
      <c r="B4" s="11" t="s">
        <v>282</v>
      </c>
    </row>
    <row r="5" spans="1:9" s="53" customFormat="1" ht="10.5" x14ac:dyDescent="0.5"/>
    <row r="6" spans="1:9" s="53" customFormat="1" ht="10.5" x14ac:dyDescent="0.5">
      <c r="D6" s="64">
        <f>F6-2</f>
        <v>2023</v>
      </c>
      <c r="E6" s="64">
        <f>F6-1</f>
        <v>2024</v>
      </c>
      <c r="F6" s="64">
        <v>2025</v>
      </c>
    </row>
    <row r="7" spans="1:9" s="53" customFormat="1" ht="10.5" x14ac:dyDescent="0.5">
      <c r="D7" s="64" t="s">
        <v>283</v>
      </c>
      <c r="E7" s="64" t="s">
        <v>283</v>
      </c>
      <c r="F7" s="64" t="s">
        <v>283</v>
      </c>
    </row>
    <row r="8" spans="1:9" s="53" customFormat="1" ht="10.5" x14ac:dyDescent="0.5">
      <c r="B8" s="65" t="s">
        <v>284</v>
      </c>
      <c r="C8" s="65" t="s">
        <v>285</v>
      </c>
      <c r="D8" s="66" t="s">
        <v>286</v>
      </c>
      <c r="E8" s="66" t="s">
        <v>286</v>
      </c>
      <c r="F8" s="66" t="s">
        <v>286</v>
      </c>
      <c r="G8" s="67" t="s">
        <v>36</v>
      </c>
      <c r="I8" s="65" t="s">
        <v>287</v>
      </c>
    </row>
    <row r="9" spans="1:9" s="53" customFormat="1" ht="10.5" x14ac:dyDescent="0.5">
      <c r="B9" s="64">
        <v>1</v>
      </c>
      <c r="C9" s="53" t="s">
        <v>288</v>
      </c>
      <c r="D9" s="68">
        <v>2</v>
      </c>
      <c r="E9" s="68">
        <v>1</v>
      </c>
      <c r="F9" s="68">
        <v>1</v>
      </c>
      <c r="G9" s="53">
        <f>SUM(D9:F9)</f>
        <v>4</v>
      </c>
      <c r="I9" s="53" t="s">
        <v>289</v>
      </c>
    </row>
    <row r="10" spans="1:9" s="53" customFormat="1" ht="10.5" x14ac:dyDescent="0.5">
      <c r="B10" s="64" t="s">
        <v>290</v>
      </c>
      <c r="C10" s="69" t="s">
        <v>291</v>
      </c>
      <c r="D10" s="70">
        <v>9.6479999999999997</v>
      </c>
      <c r="E10" s="70">
        <v>8.5549999999999997</v>
      </c>
      <c r="F10" s="70">
        <f>E14</f>
        <v>8.5920000000000005</v>
      </c>
      <c r="I10" s="53" t="str">
        <f>"Winning Bids.   Note: "&amp;TEXT(F10,"0.000¢")&amp;" for " &amp;TEXT(F6,0) &amp;" auction is simply illustrative"</f>
        <v>Winning Bids.   Note: 8.592¢ for 2025 auction is simply illustrative</v>
      </c>
    </row>
    <row r="11" spans="1:9" s="53" customFormat="1" ht="10.5" x14ac:dyDescent="0.5">
      <c r="B11" s="64" t="s">
        <v>292</v>
      </c>
      <c r="C11" s="69" t="s">
        <v>293</v>
      </c>
      <c r="D11" s="70">
        <v>7.8E-2</v>
      </c>
      <c r="E11" s="70">
        <v>3.6999999999999998E-2</v>
      </c>
      <c r="F11" s="70">
        <v>-5.4000000000000006E-2</v>
      </c>
      <c r="I11" s="53" t="s">
        <v>294</v>
      </c>
    </row>
    <row r="12" spans="1:9" s="53" customFormat="1" ht="10.5" hidden="1" x14ac:dyDescent="0.5">
      <c r="B12" s="64" t="s">
        <v>295</v>
      </c>
      <c r="C12" s="69" t="s">
        <v>291</v>
      </c>
      <c r="D12" s="70">
        <f>D11+D10</f>
        <v>9.7259999999999991</v>
      </c>
      <c r="E12" s="70">
        <f t="shared" ref="E12:F12" si="0">E11+E10</f>
        <v>8.5920000000000005</v>
      </c>
      <c r="F12" s="70">
        <f t="shared" si="0"/>
        <v>8.5380000000000003</v>
      </c>
      <c r="I12" s="53" t="s">
        <v>296</v>
      </c>
    </row>
    <row r="13" spans="1:9" s="53" customFormat="1" ht="10.5" hidden="1" x14ac:dyDescent="0.5">
      <c r="B13" s="64">
        <v>3</v>
      </c>
      <c r="C13" s="69" t="s">
        <v>297</v>
      </c>
      <c r="D13" s="71">
        <v>0</v>
      </c>
      <c r="E13" s="71">
        <v>0</v>
      </c>
      <c r="F13" s="71">
        <v>0</v>
      </c>
      <c r="I13" s="53" t="s">
        <v>298</v>
      </c>
    </row>
    <row r="14" spans="1:9" s="53" customFormat="1" ht="10.5" x14ac:dyDescent="0.5">
      <c r="B14" s="64">
        <v>3</v>
      </c>
      <c r="C14" s="69" t="s">
        <v>299</v>
      </c>
      <c r="D14" s="71">
        <f>D10+D11</f>
        <v>9.7259999999999991</v>
      </c>
      <c r="E14" s="71">
        <f t="shared" ref="E14:F14" si="1">E10+E11</f>
        <v>8.5920000000000005</v>
      </c>
      <c r="F14" s="71">
        <f t="shared" si="1"/>
        <v>8.5380000000000003</v>
      </c>
      <c r="G14" s="71"/>
      <c r="I14" s="69" t="s">
        <v>300</v>
      </c>
    </row>
    <row r="15" spans="1:9" s="53" customFormat="1" ht="10.5" x14ac:dyDescent="0.5">
      <c r="B15" s="64">
        <v>4</v>
      </c>
      <c r="C15" s="69" t="s">
        <v>301</v>
      </c>
      <c r="D15" s="71">
        <f>D9/$G$9*D14</f>
        <v>4.8629999999999995</v>
      </c>
      <c r="E15" s="71">
        <f>E9/$G$9*E14</f>
        <v>2.1480000000000001</v>
      </c>
      <c r="F15" s="71">
        <f>F9/$G$9*F14</f>
        <v>2.1345000000000001</v>
      </c>
      <c r="G15" s="71">
        <f>SUM(D15:F15)</f>
        <v>9.1454999999999984</v>
      </c>
      <c r="I15" s="69" t="s">
        <v>302</v>
      </c>
    </row>
    <row r="16" spans="1:9" s="53" customFormat="1" ht="10.5" hidden="1" x14ac:dyDescent="0.5">
      <c r="B16" s="64">
        <v>5</v>
      </c>
      <c r="C16" s="69" t="s">
        <v>303</v>
      </c>
      <c r="D16" s="71">
        <f>D9/$G$9*D13</f>
        <v>0</v>
      </c>
      <c r="E16" s="71">
        <f>E9/$G$9*E13</f>
        <v>0</v>
      </c>
      <c r="F16" s="71">
        <f>F9/$G$9*F13</f>
        <v>0</v>
      </c>
      <c r="G16" s="71">
        <f>SUM(D16:F16)</f>
        <v>0</v>
      </c>
      <c r="I16" s="69" t="s">
        <v>302</v>
      </c>
    </row>
    <row r="17" spans="2:14" s="53" customFormat="1" ht="10.5" x14ac:dyDescent="0.5">
      <c r="B17" s="64">
        <v>5</v>
      </c>
      <c r="C17" s="69" t="s">
        <v>304</v>
      </c>
      <c r="G17" s="72">
        <f>G15+G16</f>
        <v>9.1454999999999984</v>
      </c>
    </row>
    <row r="18" spans="2:14" s="53" customFormat="1" ht="10.5" x14ac:dyDescent="0.5">
      <c r="B18" s="64"/>
    </row>
    <row r="19" spans="2:14" s="53" customFormat="1" ht="10.5" x14ac:dyDescent="0.5">
      <c r="B19" s="64"/>
      <c r="C19" s="65" t="s">
        <v>305</v>
      </c>
    </row>
    <row r="20" spans="2:14" s="53" customFormat="1" ht="10.5" x14ac:dyDescent="0.5">
      <c r="B20" s="64">
        <v>6</v>
      </c>
      <c r="C20" s="73" t="s">
        <v>306</v>
      </c>
      <c r="D20" s="74">
        <v>1</v>
      </c>
      <c r="E20" s="74">
        <v>1</v>
      </c>
      <c r="F20" s="75">
        <f>IF('BGS Cost &amp; Bid Factors'!J377&lt;1,1,'BGS Cost &amp; Bid Factors'!J377)</f>
        <v>1</v>
      </c>
      <c r="G20" s="53" t="s">
        <v>307</v>
      </c>
      <c r="I20" s="69" t="s">
        <v>308</v>
      </c>
    </row>
    <row r="21" spans="2:14" s="53" customFormat="1" ht="10.5" x14ac:dyDescent="0.5">
      <c r="B21" s="64">
        <v>7</v>
      </c>
      <c r="C21" s="73" t="s">
        <v>309</v>
      </c>
      <c r="D21" s="74">
        <v>1</v>
      </c>
      <c r="E21" s="74">
        <v>1</v>
      </c>
      <c r="F21" s="75">
        <f>IF('BGS Cost &amp; Bid Factors'!J378&gt;1,1,'BGS Cost &amp; Bid Factors'!J378)</f>
        <v>1</v>
      </c>
      <c r="G21" s="53" t="s">
        <v>307</v>
      </c>
      <c r="I21" s="69" t="s">
        <v>308</v>
      </c>
    </row>
    <row r="22" spans="2:14" s="53" customFormat="1" ht="10.5" x14ac:dyDescent="0.5">
      <c r="B22" s="64"/>
      <c r="D22" s="75"/>
      <c r="E22" s="75"/>
      <c r="F22" s="75"/>
    </row>
    <row r="23" spans="2:14" s="53" customFormat="1" ht="10.5" x14ac:dyDescent="0.5">
      <c r="B23" s="64"/>
      <c r="C23" s="65" t="s">
        <v>310</v>
      </c>
      <c r="F23" s="64" t="s">
        <v>311</v>
      </c>
    </row>
    <row r="24" spans="2:14" s="53" customFormat="1" ht="10.5" x14ac:dyDescent="0.5">
      <c r="B24" s="64">
        <v>8</v>
      </c>
      <c r="C24" s="76" t="s">
        <v>312</v>
      </c>
      <c r="D24" s="77">
        <f>'Rate Calculations'!$D$251</f>
        <v>411375.96020131477</v>
      </c>
      <c r="I24" s="69" t="s">
        <v>308</v>
      </c>
      <c r="N24" s="77"/>
    </row>
    <row r="25" spans="2:14" s="53" customFormat="1" ht="10.5" x14ac:dyDescent="0.5">
      <c r="B25" s="64">
        <v>9</v>
      </c>
      <c r="C25" s="76" t="s">
        <v>313</v>
      </c>
      <c r="D25" s="78">
        <f>'Rate Calculations'!$D$252</f>
        <v>568488.54472187581</v>
      </c>
      <c r="I25" s="69" t="s">
        <v>308</v>
      </c>
      <c r="N25" s="77"/>
    </row>
    <row r="26" spans="2:14" s="53" customFormat="1" ht="10.5" x14ac:dyDescent="0.5">
      <c r="B26" s="64">
        <v>10</v>
      </c>
      <c r="D26" s="77">
        <f>SUM(D24:D25)</f>
        <v>979864.50492319057</v>
      </c>
      <c r="N26" s="77"/>
    </row>
    <row r="27" spans="2:14" s="53" customFormat="1" ht="10.5" x14ac:dyDescent="0.5">
      <c r="B27" s="64"/>
    </row>
    <row r="28" spans="2:14" s="53" customFormat="1" ht="10.5" x14ac:dyDescent="0.5">
      <c r="B28" s="64"/>
      <c r="C28" s="65" t="s">
        <v>314</v>
      </c>
    </row>
    <row r="29" spans="2:14" s="53" customFormat="1" ht="10.5" x14ac:dyDescent="0.5">
      <c r="B29" s="64">
        <v>11</v>
      </c>
      <c r="C29" s="76" t="s">
        <v>69</v>
      </c>
      <c r="D29" s="79">
        <f>ROUND(D$9/$G$9*(D$14)/100*D$20*$D$24*1000,0)</f>
        <v>20005213</v>
      </c>
      <c r="E29" s="79">
        <f>ROUND(E$9/$G$9*(E$14)/100*E$20*$D$24*1000,0)</f>
        <v>8836356</v>
      </c>
      <c r="F29" s="79">
        <f>ROUND(F$9/$G$9*(F$14)/100*F$20*$D$24*1000,0)</f>
        <v>8780820</v>
      </c>
      <c r="G29" s="79">
        <f>SUM(D29:F29)</f>
        <v>37622389</v>
      </c>
      <c r="I29" s="69" t="s">
        <v>315</v>
      </c>
    </row>
    <row r="30" spans="2:14" s="53" customFormat="1" ht="10.5" x14ac:dyDescent="0.5">
      <c r="B30" s="64">
        <v>12</v>
      </c>
      <c r="C30" s="76" t="s">
        <v>62</v>
      </c>
      <c r="D30" s="80">
        <f>ROUND(D$9/$G$9*(D$14)/100*D$21*$D$25*1000,0)</f>
        <v>27645598</v>
      </c>
      <c r="E30" s="80">
        <f>ROUND(E$9/$G$9*(E$14)/100*E$21*$D$25*1000,0)</f>
        <v>12211134</v>
      </c>
      <c r="F30" s="80">
        <f>ROUND(F$9/$G$9*(F$14)/100*F$21*$D$25*1000,0)</f>
        <v>12134388</v>
      </c>
      <c r="G30" s="80">
        <f>SUM(D30:F30)</f>
        <v>51991120</v>
      </c>
      <c r="I30" s="69" t="s">
        <v>316</v>
      </c>
    </row>
    <row r="31" spans="2:14" s="53" customFormat="1" ht="10.5" x14ac:dyDescent="0.5">
      <c r="B31" s="64">
        <v>13</v>
      </c>
      <c r="C31" s="76" t="s">
        <v>36</v>
      </c>
      <c r="D31" s="77">
        <f>SUM(D29:D30)</f>
        <v>47650811</v>
      </c>
      <c r="E31" s="77">
        <f>SUM(E29:E30)</f>
        <v>21047490</v>
      </c>
      <c r="F31" s="77">
        <f>SUM(F29:F30)</f>
        <v>20915208</v>
      </c>
      <c r="G31" s="77">
        <f>SUM(G29:G30)</f>
        <v>89613509</v>
      </c>
      <c r="I31" s="69" t="s">
        <v>317</v>
      </c>
    </row>
    <row r="32" spans="2:14" s="53" customFormat="1" ht="10.5" x14ac:dyDescent="0.5">
      <c r="B32" s="64"/>
    </row>
    <row r="33" spans="2:9" s="53" customFormat="1" ht="10.5" x14ac:dyDescent="0.5">
      <c r="B33" s="64"/>
      <c r="C33" s="81" t="s">
        <v>318</v>
      </c>
    </row>
    <row r="34" spans="2:9" s="53" customFormat="1" ht="10.5" x14ac:dyDescent="0.5">
      <c r="B34" s="64">
        <v>14</v>
      </c>
      <c r="C34" s="76" t="s">
        <v>69</v>
      </c>
      <c r="D34" s="71">
        <f>ROUND(G29/D24/1000*100,3)</f>
        <v>9.1460000000000008</v>
      </c>
      <c r="E34" s="53" t="s">
        <v>111</v>
      </c>
      <c r="I34" s="69" t="s">
        <v>319</v>
      </c>
    </row>
    <row r="35" spans="2:9" s="53" customFormat="1" ht="10.5" x14ac:dyDescent="0.5">
      <c r="B35" s="64">
        <v>15</v>
      </c>
      <c r="C35" s="76" t="s">
        <v>62</v>
      </c>
      <c r="D35" s="71">
        <f>ROUND(G30/D25/1000*100,3)</f>
        <v>9.1460000000000008</v>
      </c>
      <c r="E35" s="53" t="s">
        <v>111</v>
      </c>
      <c r="I35" s="69" t="s">
        <v>320</v>
      </c>
    </row>
    <row r="36" spans="2:9" s="53" customFormat="1" ht="10.5" x14ac:dyDescent="0.5">
      <c r="B36" s="64">
        <v>16</v>
      </c>
      <c r="C36" s="76" t="s">
        <v>36</v>
      </c>
      <c r="D36" s="72">
        <f>ROUND(G31/D26/1000*100,3)</f>
        <v>9.1460000000000008</v>
      </c>
      <c r="E36" s="53" t="s">
        <v>111</v>
      </c>
      <c r="I36" s="69" t="s">
        <v>321</v>
      </c>
    </row>
    <row r="37" spans="2:9" s="53" customFormat="1" ht="10.5" x14ac:dyDescent="0.5">
      <c r="B37" s="64"/>
      <c r="C37" s="77"/>
    </row>
    <row r="38" spans="2:9" s="53" customFormat="1" ht="10.5" x14ac:dyDescent="0.5">
      <c r="B38" s="64"/>
      <c r="C38" s="65" t="s">
        <v>322</v>
      </c>
    </row>
    <row r="39" spans="2:9" s="53" customFormat="1" ht="10.5" x14ac:dyDescent="0.5">
      <c r="B39" s="64"/>
      <c r="D39" s="76" t="s">
        <v>323</v>
      </c>
      <c r="E39" s="76" t="s">
        <v>324</v>
      </c>
    </row>
    <row r="40" spans="2:9" s="53" customFormat="1" ht="10.5" x14ac:dyDescent="0.5">
      <c r="B40" s="64"/>
      <c r="D40" s="67" t="s">
        <v>283</v>
      </c>
      <c r="E40" s="67" t="s">
        <v>325</v>
      </c>
      <c r="F40" s="82"/>
      <c r="G40" s="67" t="s">
        <v>36</v>
      </c>
    </row>
    <row r="41" spans="2:9" s="53" customFormat="1" ht="10.5" x14ac:dyDescent="0.5">
      <c r="B41" s="64">
        <v>17</v>
      </c>
      <c r="C41" s="53" t="s">
        <v>288</v>
      </c>
      <c r="D41" s="68">
        <f>SUM(D9:F9)</f>
        <v>4</v>
      </c>
      <c r="E41" s="53">
        <f>'BGS Cost &amp; Bid Factors'!M466</f>
        <v>0.51200000000000001</v>
      </c>
      <c r="F41" s="68"/>
      <c r="G41" s="53">
        <f>SUM(D41:E41)</f>
        <v>4.5120000000000005</v>
      </c>
      <c r="I41" s="53" t="s">
        <v>326</v>
      </c>
    </row>
    <row r="42" spans="2:9" s="53" customFormat="1" ht="10.5" x14ac:dyDescent="0.5">
      <c r="B42" s="64">
        <v>18</v>
      </c>
      <c r="C42" s="53" t="s">
        <v>327</v>
      </c>
      <c r="D42" s="71">
        <f>D36</f>
        <v>9.1460000000000008</v>
      </c>
      <c r="E42" s="70">
        <f>'Rate Calculations'!$D$286*(100/1000)</f>
        <v>8.9610000000000003</v>
      </c>
      <c r="F42" s="70"/>
      <c r="I42" s="53" t="str">
        <f>"BGS Auction from (16)"</f>
        <v>BGS Auction from (16)</v>
      </c>
    </row>
    <row r="43" spans="2:9" s="53" customFormat="1" ht="10.5" x14ac:dyDescent="0.5">
      <c r="B43" s="64"/>
      <c r="D43" s="71"/>
      <c r="E43" s="83"/>
      <c r="F43" s="70"/>
    </row>
    <row r="44" spans="2:9" s="53" customFormat="1" ht="10.5" hidden="1" x14ac:dyDescent="0.5">
      <c r="B44" s="64">
        <v>19</v>
      </c>
      <c r="C44" s="53" t="s">
        <v>328</v>
      </c>
      <c r="D44" s="71">
        <f>F13</f>
        <v>0</v>
      </c>
      <c r="E44" s="70">
        <v>0</v>
      </c>
    </row>
    <row r="45" spans="2:9" s="53" customFormat="1" ht="10.5" hidden="1" x14ac:dyDescent="0.5">
      <c r="B45" s="64">
        <v>20</v>
      </c>
      <c r="C45" s="53" t="s">
        <v>323</v>
      </c>
      <c r="D45" s="71">
        <f>D42-D44</f>
        <v>9.1460000000000008</v>
      </c>
      <c r="E45" s="53">
        <f>E42-E44</f>
        <v>8.9610000000000003</v>
      </c>
      <c r="I45" s="69" t="s">
        <v>329</v>
      </c>
    </row>
    <row r="46" spans="2:9" s="53" customFormat="1" ht="11.25" thickBot="1" x14ac:dyDescent="0.65">
      <c r="B46" s="64">
        <v>19</v>
      </c>
      <c r="C46" s="69" t="s">
        <v>301</v>
      </c>
      <c r="D46" s="71">
        <f>D41/$G$41*D42</f>
        <v>8.1081560283687946</v>
      </c>
      <c r="E46" s="71">
        <f>E41/$G$41*E42</f>
        <v>1.0168510638297872</v>
      </c>
      <c r="F46" s="71"/>
      <c r="G46" s="71">
        <f>SUM(D46:E46)</f>
        <v>9.1250070921985813</v>
      </c>
      <c r="I46" s="69" t="s">
        <v>330</v>
      </c>
    </row>
    <row r="47" spans="2:9" s="53" customFormat="1" ht="11.25" hidden="1" thickBot="1" x14ac:dyDescent="0.65">
      <c r="B47" s="64">
        <v>22</v>
      </c>
      <c r="C47" s="69" t="s">
        <v>303</v>
      </c>
      <c r="D47" s="71">
        <f>D41/$G$41*D44</f>
        <v>0</v>
      </c>
      <c r="E47" s="71">
        <f>E41/$G$41*E44</f>
        <v>0</v>
      </c>
      <c r="F47" s="71"/>
      <c r="G47" s="71">
        <f>SUM(D47:E47)</f>
        <v>0</v>
      </c>
      <c r="I47" s="69" t="s">
        <v>331</v>
      </c>
    </row>
    <row r="48" spans="2:9" s="53" customFormat="1" ht="11.25" thickBot="1" x14ac:dyDescent="0.65">
      <c r="B48" s="64">
        <v>20</v>
      </c>
      <c r="C48" s="84" t="s">
        <v>332</v>
      </c>
      <c r="G48" s="85">
        <f>ROUND(G46,3)</f>
        <v>9.125</v>
      </c>
      <c r="I48" s="69" t="s">
        <v>333</v>
      </c>
    </row>
    <row r="50" spans="3:3" x14ac:dyDescent="0.6">
      <c r="C50" s="86" t="s">
        <v>334</v>
      </c>
    </row>
    <row r="51" spans="3:3" x14ac:dyDescent="0.6">
      <c r="C51" s="86" t="s">
        <v>335</v>
      </c>
    </row>
  </sheetData>
  <printOptions horizontalCentered="1"/>
  <pageMargins left="0.5" right="0.5" top="0.5" bottom="0.5" header="0.5" footer="0.5"/>
  <pageSetup scale="89" orientation="landscape" r:id="rId1"/>
  <headerFooter alignWithMargins="0">
    <oddHeader xml:space="preserve">&amp;R&amp;"Arial,Bold"Attachment C&amp;"Arial,Regular"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F76B-7807-4A33-B242-4FBFF11D0835}">
  <sheetPr codeName="Sheet6"/>
  <dimension ref="A1:AJ286"/>
  <sheetViews>
    <sheetView workbookViewId="0"/>
  </sheetViews>
  <sheetFormatPr defaultColWidth="9.1328125" defaultRowHeight="13" x14ac:dyDescent="0.6"/>
  <cols>
    <col min="1" max="1" width="9.54296875" style="94" customWidth="1"/>
    <col min="2" max="2" width="27.86328125" customWidth="1"/>
    <col min="3" max="3" width="14.1328125" customWidth="1"/>
    <col min="4" max="4" width="14.86328125" customWidth="1"/>
    <col min="5" max="5" width="12.7265625" customWidth="1"/>
    <col min="6" max="7" width="13.40625" customWidth="1"/>
    <col min="8" max="8" width="12.7265625" customWidth="1"/>
    <col min="9" max="9" width="11.86328125" customWidth="1"/>
    <col min="10" max="10" width="12.54296875" customWidth="1"/>
    <col min="11" max="11" width="10.7265625" customWidth="1"/>
    <col min="12" max="12" width="11.7265625" customWidth="1"/>
    <col min="13" max="14" width="9.40625" customWidth="1"/>
    <col min="15" max="15" width="11.7265625" customWidth="1"/>
    <col min="16" max="17" width="9.40625" customWidth="1"/>
    <col min="18" max="18" width="11.54296875" customWidth="1"/>
    <col min="19" max="19" width="8.7265625" customWidth="1"/>
    <col min="20" max="20" width="12.7265625" customWidth="1"/>
    <col min="21" max="21" width="10.1328125" customWidth="1"/>
    <col min="22" max="26" width="8.7265625" customWidth="1"/>
    <col min="27" max="27" width="18.40625" customWidth="1"/>
    <col min="28" max="28" width="19.26953125" customWidth="1"/>
    <col min="29" max="29" width="21" customWidth="1"/>
    <col min="30" max="37" width="9.40625" customWidth="1"/>
  </cols>
  <sheetData>
    <row r="1" spans="1:10" x14ac:dyDescent="0.6">
      <c r="A1" s="16" t="s">
        <v>280</v>
      </c>
    </row>
    <row r="2" spans="1:10" x14ac:dyDescent="0.6">
      <c r="A2" s="11" t="str">
        <f>'BGS Cost &amp; Bid Factors'!M1 &amp;" BGS Auction"</f>
        <v>2025 BGS Auction</v>
      </c>
    </row>
    <row r="3" spans="1:10" x14ac:dyDescent="0.6">
      <c r="A3" s="11"/>
    </row>
    <row r="4" spans="1:10" x14ac:dyDescent="0.6">
      <c r="A4" s="11"/>
    </row>
    <row r="6" spans="1:10" x14ac:dyDescent="0.6">
      <c r="A6" s="49" t="s">
        <v>336</v>
      </c>
      <c r="B6" s="5" t="s">
        <v>169</v>
      </c>
      <c r="H6" s="2"/>
    </row>
    <row r="7" spans="1:10" x14ac:dyDescent="0.6">
      <c r="A7" s="15"/>
      <c r="B7" s="22" t="s">
        <v>337</v>
      </c>
      <c r="H7" s="2"/>
    </row>
    <row r="8" spans="1:10" x14ac:dyDescent="0.6">
      <c r="A8" s="6"/>
      <c r="B8" s="2"/>
    </row>
    <row r="9" spans="1:10" x14ac:dyDescent="0.6">
      <c r="A9" s="6"/>
      <c r="B9" s="11" t="s">
        <v>151</v>
      </c>
    </row>
    <row r="10" spans="1:10" x14ac:dyDescent="0.6">
      <c r="A10" s="6"/>
      <c r="B10" s="4" t="s">
        <v>338</v>
      </c>
    </row>
    <row r="11" spans="1:10" x14ac:dyDescent="0.6">
      <c r="A11" s="6"/>
      <c r="B11" s="11"/>
    </row>
    <row r="12" spans="1:10" x14ac:dyDescent="0.6">
      <c r="A12" s="6"/>
      <c r="C12" s="12" t="str">
        <f>'BGS Cost &amp; Bid Factors'!C$6</f>
        <v>SC1</v>
      </c>
      <c r="D12" s="12" t="str">
        <f>'BGS Cost &amp; Bid Factors'!D$6</f>
        <v>SC3</v>
      </c>
      <c r="E12" s="12" t="str">
        <f>'BGS Cost &amp; Bid Factors'!E$6</f>
        <v>SC2 ND</v>
      </c>
      <c r="F12" s="12" t="str">
        <f>'BGS Cost &amp; Bid Factors'!F$6</f>
        <v>SC4</v>
      </c>
      <c r="G12" s="12" t="str">
        <f>'BGS Cost &amp; Bid Factors'!G$6</f>
        <v>SC6</v>
      </c>
      <c r="H12" s="12" t="str">
        <f>'BGS Cost &amp; Bid Factors'!I$24</f>
        <v>SC1 TOD</v>
      </c>
    </row>
    <row r="13" spans="1:10" x14ac:dyDescent="0.6">
      <c r="A13" s="6"/>
      <c r="C13" s="8"/>
      <c r="D13" s="8"/>
      <c r="E13" s="8"/>
      <c r="H13" s="8"/>
    </row>
    <row r="14" spans="1:10" x14ac:dyDescent="0.6">
      <c r="A14" s="6"/>
      <c r="B14" s="87" t="s">
        <v>64</v>
      </c>
      <c r="C14" s="31">
        <f>'BGS Cost &amp; Bid Factors'!C327</f>
        <v>1.0469999999999999</v>
      </c>
      <c r="D14" s="32"/>
      <c r="E14" s="31">
        <f>'BGS Cost &amp; Bid Factors'!E327</f>
        <v>0.99399999999999999</v>
      </c>
      <c r="F14" s="31">
        <f>'BGS Cost &amp; Bid Factors'!F327</f>
        <v>0.85199999999999998</v>
      </c>
      <c r="G14" s="31">
        <f>'BGS Cost &amp; Bid Factors'!G327</f>
        <v>0.84899999999999998</v>
      </c>
      <c r="H14" s="32"/>
      <c r="I14" s="33"/>
      <c r="J14" s="33"/>
    </row>
    <row r="15" spans="1:10" x14ac:dyDescent="0.6">
      <c r="A15" s="6"/>
      <c r="B15" s="88" t="s">
        <v>79</v>
      </c>
      <c r="C15" s="32"/>
      <c r="D15" s="31">
        <f>'BGS Cost &amp; Bid Factors'!D328</f>
        <v>1.1579999999999999</v>
      </c>
      <c r="E15" s="32"/>
      <c r="F15" s="32"/>
      <c r="G15" s="32"/>
      <c r="H15" s="31">
        <f>'BGS Cost &amp; Bid Factors'!H328</f>
        <v>1.464</v>
      </c>
      <c r="I15" s="33"/>
      <c r="J15" s="33"/>
    </row>
    <row r="16" spans="1:10" x14ac:dyDescent="0.6">
      <c r="A16" s="6"/>
      <c r="B16" s="88" t="s">
        <v>80</v>
      </c>
      <c r="C16" s="32"/>
      <c r="D16" s="31">
        <f>'BGS Cost &amp; Bid Factors'!D329</f>
        <v>0.82299999999999995</v>
      </c>
      <c r="E16" s="32"/>
      <c r="F16" s="32"/>
      <c r="G16" s="32"/>
      <c r="H16" s="31">
        <f>'BGS Cost &amp; Bid Factors'!H329</f>
        <v>0.86099999999999999</v>
      </c>
      <c r="I16" s="33"/>
      <c r="J16" s="33"/>
    </row>
    <row r="17" spans="1:10" x14ac:dyDescent="0.6">
      <c r="A17" s="6"/>
      <c r="B17" s="2"/>
      <c r="C17" s="32"/>
      <c r="D17" s="32"/>
      <c r="E17" s="32"/>
      <c r="F17" s="32"/>
      <c r="G17" s="32"/>
      <c r="H17" s="32"/>
      <c r="I17" s="33"/>
      <c r="J17" s="33"/>
    </row>
    <row r="18" spans="1:10" x14ac:dyDescent="0.6">
      <c r="A18" s="6"/>
      <c r="B18" s="25"/>
      <c r="C18" s="2"/>
      <c r="D18" s="32"/>
      <c r="E18" s="32"/>
      <c r="F18" s="32"/>
      <c r="G18" s="32"/>
      <c r="H18" s="32"/>
      <c r="I18" s="33"/>
      <c r="J18" s="33"/>
    </row>
    <row r="19" spans="1:10" x14ac:dyDescent="0.6">
      <c r="A19" s="6"/>
      <c r="B19" s="35" t="s">
        <v>153</v>
      </c>
      <c r="C19" s="36">
        <f>'BGS Cost &amp; Bid Factors'!C332</f>
        <v>-39.960921000000013</v>
      </c>
      <c r="D19" s="32"/>
      <c r="E19" s="32"/>
      <c r="F19" s="32"/>
      <c r="G19" s="32"/>
      <c r="H19" s="32"/>
      <c r="I19" s="33"/>
      <c r="J19" s="33"/>
    </row>
    <row r="20" spans="1:10" x14ac:dyDescent="0.6">
      <c r="A20" s="6"/>
      <c r="B20" s="35" t="s">
        <v>154</v>
      </c>
      <c r="C20" s="36">
        <f>'BGS Cost &amp; Bid Factors'!C333</f>
        <v>30.109079000000008</v>
      </c>
      <c r="D20" s="32"/>
      <c r="E20" s="32"/>
      <c r="F20" s="32"/>
      <c r="G20" s="32"/>
      <c r="H20" s="32"/>
      <c r="I20" s="33"/>
      <c r="J20" s="33"/>
    </row>
    <row r="21" spans="1:10" x14ac:dyDescent="0.6">
      <c r="A21" s="6"/>
      <c r="B21" s="32"/>
      <c r="C21" s="32"/>
      <c r="D21" s="32"/>
      <c r="E21" s="32"/>
      <c r="F21" s="32"/>
      <c r="G21" s="32"/>
      <c r="H21" s="32"/>
      <c r="I21" s="33"/>
      <c r="J21" s="33"/>
    </row>
    <row r="22" spans="1:10" x14ac:dyDescent="0.6">
      <c r="A22" s="6"/>
      <c r="B22" s="2"/>
      <c r="C22" s="32"/>
      <c r="D22" s="32"/>
      <c r="E22" s="32"/>
      <c r="F22" s="32"/>
      <c r="G22" s="32"/>
      <c r="H22" s="32"/>
      <c r="I22" s="33"/>
      <c r="J22" s="33"/>
    </row>
    <row r="23" spans="1:10" x14ac:dyDescent="0.6">
      <c r="A23" s="6"/>
      <c r="B23" s="87" t="s">
        <v>70</v>
      </c>
      <c r="C23" s="31">
        <f>'BGS Cost &amp; Bid Factors'!C336</f>
        <v>1.125</v>
      </c>
      <c r="D23" s="32"/>
      <c r="E23" s="31">
        <f>'BGS Cost &amp; Bid Factors'!E336</f>
        <v>1.036</v>
      </c>
      <c r="F23" s="31">
        <f>'BGS Cost &amp; Bid Factors'!F336</f>
        <v>0.94399999999999995</v>
      </c>
      <c r="G23" s="31">
        <f>'BGS Cost &amp; Bid Factors'!G336</f>
        <v>0.94</v>
      </c>
      <c r="H23" s="32"/>
      <c r="I23" s="33"/>
      <c r="J23" s="33"/>
    </row>
    <row r="24" spans="1:10" x14ac:dyDescent="0.6">
      <c r="A24" s="6"/>
      <c r="B24" s="88" t="s">
        <v>79</v>
      </c>
      <c r="C24" s="32"/>
      <c r="D24" s="31">
        <f>'BGS Cost &amp; Bid Factors'!D337</f>
        <v>1.1060000000000001</v>
      </c>
      <c r="E24" s="32"/>
      <c r="F24" s="32"/>
      <c r="G24" s="32"/>
      <c r="H24" s="31">
        <f>'BGS Cost &amp; Bid Factors'!H337</f>
        <v>1.6859999999999999</v>
      </c>
      <c r="I24" s="33"/>
      <c r="J24" s="33"/>
    </row>
    <row r="25" spans="1:10" x14ac:dyDescent="0.6">
      <c r="A25" s="6"/>
      <c r="B25" s="88" t="s">
        <v>80</v>
      </c>
      <c r="C25" s="32"/>
      <c r="D25" s="31">
        <f>'BGS Cost &amp; Bid Factors'!D338</f>
        <v>0.92700000000000005</v>
      </c>
      <c r="E25" s="32"/>
      <c r="F25" s="32"/>
      <c r="G25" s="32"/>
      <c r="H25" s="31">
        <f>'BGS Cost &amp; Bid Factors'!H338</f>
        <v>0.94499999999999995</v>
      </c>
      <c r="I25" s="33"/>
      <c r="J25" s="33"/>
    </row>
    <row r="26" spans="1:10" x14ac:dyDescent="0.6">
      <c r="A26" s="6"/>
      <c r="C26" s="33"/>
      <c r="D26" s="33"/>
      <c r="E26" s="33"/>
      <c r="F26" s="33"/>
      <c r="G26" s="33"/>
      <c r="H26" s="33"/>
      <c r="I26" s="33"/>
      <c r="J26" s="33"/>
    </row>
    <row r="27" spans="1:10" x14ac:dyDescent="0.6">
      <c r="A27" s="6"/>
      <c r="B27" t="s">
        <v>155</v>
      </c>
      <c r="C27" s="37">
        <f>'BGS Cost &amp; Bid Factors'!C340</f>
        <v>1.0900000000000001</v>
      </c>
      <c r="D27" s="37">
        <f>'BGS Cost &amp; Bid Factors'!D340</f>
        <v>0.98099999999999998</v>
      </c>
      <c r="E27" s="37">
        <f>'BGS Cost &amp; Bid Factors'!E340</f>
        <v>1.0245687219544559</v>
      </c>
      <c r="F27" s="37">
        <f>'BGS Cost &amp; Bid Factors'!F340</f>
        <v>0.91800000000000004</v>
      </c>
      <c r="G27" s="37">
        <f>'BGS Cost &amp; Bid Factors'!G340</f>
        <v>0.91400000000000003</v>
      </c>
      <c r="H27" s="37">
        <f>'BGS Cost &amp; Bid Factors'!H340</f>
        <v>1.0900000000000001</v>
      </c>
      <c r="I27" s="33"/>
      <c r="J27" s="33"/>
    </row>
    <row r="28" spans="1:10" x14ac:dyDescent="0.6">
      <c r="A28" s="6"/>
    </row>
    <row r="29" spans="1:10" x14ac:dyDescent="0.6">
      <c r="A29" s="6"/>
    </row>
    <row r="30" spans="1:10" x14ac:dyDescent="0.6">
      <c r="A30" s="6"/>
      <c r="B30" s="11" t="s">
        <v>156</v>
      </c>
    </row>
    <row r="31" spans="1:10" x14ac:dyDescent="0.6">
      <c r="A31" s="6"/>
      <c r="B31" s="4" t="s">
        <v>170</v>
      </c>
    </row>
    <row r="32" spans="1:10" x14ac:dyDescent="0.6">
      <c r="A32" s="6"/>
      <c r="B32" s="2"/>
    </row>
    <row r="33" spans="1:12" x14ac:dyDescent="0.6">
      <c r="A33" s="6"/>
      <c r="C33" s="25" t="str">
        <f>'BGS Cost &amp; Bid Factors'!H6</f>
        <v>SC2 Dem</v>
      </c>
      <c r="D33" s="25" t="str">
        <f>+C33</f>
        <v>SC2 Dem</v>
      </c>
      <c r="E33" s="8"/>
      <c r="F33" s="8"/>
      <c r="G33" s="40" t="s">
        <v>132</v>
      </c>
    </row>
    <row r="34" spans="1:12" x14ac:dyDescent="0.6">
      <c r="A34" s="6"/>
      <c r="C34" s="12" t="s">
        <v>158</v>
      </c>
      <c r="D34" s="45" t="s">
        <v>159</v>
      </c>
      <c r="E34" s="8"/>
      <c r="F34" s="8"/>
      <c r="G34" s="89"/>
    </row>
    <row r="35" spans="1:12" x14ac:dyDescent="0.6">
      <c r="A35" s="6"/>
      <c r="B35" s="87" t="s">
        <v>64</v>
      </c>
      <c r="C35" s="31">
        <f>'BGS Cost &amp; Bid Factors'!C348</f>
        <v>1.024</v>
      </c>
      <c r="D35" s="31">
        <f>'BGS Cost &amp; Bid Factors'!D348</f>
        <v>-6.8086715421929824</v>
      </c>
      <c r="F35" s="90"/>
      <c r="G35" s="28" t="s">
        <v>133</v>
      </c>
    </row>
    <row r="36" spans="1:12" x14ac:dyDescent="0.6">
      <c r="A36" s="6"/>
      <c r="B36" s="88"/>
      <c r="C36" s="37"/>
      <c r="D36" s="46"/>
      <c r="E36" s="34"/>
      <c r="F36" s="41"/>
      <c r="G36" s="89"/>
    </row>
    <row r="37" spans="1:12" x14ac:dyDescent="0.6">
      <c r="A37" s="6"/>
      <c r="B37" s="88"/>
      <c r="C37" s="37"/>
      <c r="D37" s="46"/>
      <c r="E37" s="34"/>
      <c r="F37" s="41"/>
      <c r="G37" s="89"/>
      <c r="H37" s="12" t="s">
        <v>12</v>
      </c>
      <c r="J37" s="12"/>
      <c r="K37" s="12"/>
    </row>
    <row r="38" spans="1:12" x14ac:dyDescent="0.6">
      <c r="A38" s="6"/>
      <c r="C38" s="37"/>
      <c r="D38" s="46"/>
      <c r="E38" s="32"/>
      <c r="F38" s="41"/>
      <c r="G38" s="89"/>
    </row>
    <row r="39" spans="1:12" x14ac:dyDescent="0.6">
      <c r="A39" s="6"/>
      <c r="B39" s="87" t="s">
        <v>70</v>
      </c>
      <c r="C39" s="31">
        <f>'BGS Cost &amp; Bid Factors'!C352</f>
        <v>1.071</v>
      </c>
      <c r="D39" s="31">
        <f>'BGS Cost &amp; Bid Factors'!D352</f>
        <v>-8.0183679072147385</v>
      </c>
      <c r="E39" s="34"/>
      <c r="F39" s="41"/>
      <c r="G39" s="91" t="s">
        <v>98</v>
      </c>
      <c r="H39" s="17">
        <f>'BGS Cost &amp; Bid Factors'!I352</f>
        <v>1.95</v>
      </c>
      <c r="J39" s="26"/>
    </row>
    <row r="40" spans="1:12" x14ac:dyDescent="0.6">
      <c r="A40" s="6"/>
      <c r="B40" s="88"/>
      <c r="C40" s="37"/>
      <c r="D40" s="92"/>
      <c r="E40" s="34"/>
      <c r="F40" s="41"/>
      <c r="G40" s="91" t="s">
        <v>104</v>
      </c>
      <c r="H40" s="17">
        <f>'BGS Cost &amp; Bid Factors'!I353</f>
        <v>2.19</v>
      </c>
      <c r="J40" s="26"/>
    </row>
    <row r="41" spans="1:12" x14ac:dyDescent="0.6">
      <c r="A41" s="6"/>
      <c r="B41" s="88"/>
      <c r="C41" s="37"/>
      <c r="D41" s="92"/>
      <c r="E41" s="34"/>
      <c r="F41" s="41"/>
      <c r="G41" s="91"/>
      <c r="H41" s="17"/>
      <c r="I41" s="93"/>
    </row>
    <row r="42" spans="1:12" x14ac:dyDescent="0.6">
      <c r="A42" s="6"/>
      <c r="C42" s="39"/>
      <c r="D42" s="92"/>
      <c r="E42" s="33"/>
      <c r="G42" s="42"/>
    </row>
    <row r="43" spans="1:12" x14ac:dyDescent="0.6">
      <c r="A43" s="6"/>
      <c r="B43" t="s">
        <v>140</v>
      </c>
      <c r="C43" s="31">
        <f>'BGS Cost &amp; Bid Factors'!C356</f>
        <v>1.0529999999999999</v>
      </c>
      <c r="D43" s="92"/>
      <c r="E43" s="33"/>
      <c r="G43" s="91"/>
      <c r="H43" s="17"/>
      <c r="I43" s="93"/>
    </row>
    <row r="44" spans="1:12" x14ac:dyDescent="0.6">
      <c r="A44" s="6"/>
    </row>
    <row r="46" spans="1:12" x14ac:dyDescent="0.6">
      <c r="A46" s="49" t="s">
        <v>339</v>
      </c>
      <c r="B46" s="5" t="s">
        <v>340</v>
      </c>
    </row>
    <row r="48" spans="1:12" x14ac:dyDescent="0.6">
      <c r="B48" s="94" t="s">
        <v>341</v>
      </c>
      <c r="D48" s="95">
        <f>'Weighted Avg Price Calc'!G48*10</f>
        <v>91.25</v>
      </c>
      <c r="E48" s="96" t="s">
        <v>342</v>
      </c>
      <c r="F48" s="96" t="s">
        <v>248</v>
      </c>
      <c r="K48" s="53" t="s">
        <v>221</v>
      </c>
      <c r="L48" s="52">
        <f>'BGS Cost &amp; Bid Factors'!M464</f>
        <v>49.9</v>
      </c>
    </row>
    <row r="49" spans="2:13" x14ac:dyDescent="0.6">
      <c r="B49" s="94" t="s">
        <v>249</v>
      </c>
      <c r="D49" s="54">
        <v>0</v>
      </c>
      <c r="E49" s="96" t="s">
        <v>343</v>
      </c>
      <c r="F49" t="s">
        <v>250</v>
      </c>
      <c r="K49" s="53" t="s">
        <v>223</v>
      </c>
      <c r="L49" s="52">
        <f>'BGS Cost &amp; Bid Factors'!M465</f>
        <v>97.5</v>
      </c>
    </row>
    <row r="50" spans="2:13" x14ac:dyDescent="0.6">
      <c r="B50" s="94" t="s">
        <v>251</v>
      </c>
      <c r="D50" s="90">
        <f>D48+D49</f>
        <v>91.25</v>
      </c>
      <c r="E50" s="96" t="s">
        <v>117</v>
      </c>
      <c r="K50" s="53" t="s">
        <v>225</v>
      </c>
      <c r="L50">
        <f>ROUND(L48/L49,3)</f>
        <v>0.51200000000000001</v>
      </c>
    </row>
    <row r="51" spans="2:13" x14ac:dyDescent="0.6">
      <c r="L51" s="97"/>
    </row>
    <row r="52" spans="2:13" x14ac:dyDescent="0.6">
      <c r="D52" s="55"/>
      <c r="K52" s="53" t="s">
        <v>229</v>
      </c>
      <c r="L52" s="97">
        <f>'BGS Cost &amp; Bid Factors'!D223-'BGS Cost &amp; Bid Factors'!D318</f>
        <v>16.778340614827883</v>
      </c>
      <c r="M52" t="s">
        <v>230</v>
      </c>
    </row>
    <row r="53" spans="2:13" x14ac:dyDescent="0.6">
      <c r="B53" s="24" t="s">
        <v>253</v>
      </c>
      <c r="K53" s="53" t="s">
        <v>232</v>
      </c>
      <c r="L53" s="97">
        <f>L55</f>
        <v>1.9</v>
      </c>
      <c r="M53" t="s">
        <v>230</v>
      </c>
    </row>
    <row r="54" spans="2:13" x14ac:dyDescent="0.6">
      <c r="K54" s="53" t="s">
        <v>234</v>
      </c>
      <c r="L54" s="98">
        <f>L52-L53</f>
        <v>14.878340614827883</v>
      </c>
      <c r="M54" t="s">
        <v>230</v>
      </c>
    </row>
    <row r="55" spans="2:13" x14ac:dyDescent="0.6">
      <c r="C55" s="12" t="str">
        <f>'BGS Cost &amp; Bid Factors'!C$6</f>
        <v>SC1</v>
      </c>
      <c r="D55" s="12" t="str">
        <f>'BGS Cost &amp; Bid Factors'!D$6</f>
        <v>SC3</v>
      </c>
      <c r="E55" s="12" t="str">
        <f>'BGS Cost &amp; Bid Factors'!E$6</f>
        <v>SC2 ND</v>
      </c>
      <c r="F55" s="12" t="str">
        <f>'BGS Cost &amp; Bid Factors'!F$6</f>
        <v>SC4</v>
      </c>
      <c r="G55" s="12" t="str">
        <f>'BGS Cost &amp; Bid Factors'!G$6</f>
        <v>SC6</v>
      </c>
      <c r="H55" s="12" t="str">
        <f>'BGS Cost &amp; Bid Factors'!H$6</f>
        <v>SC2 Dem</v>
      </c>
      <c r="I55" s="12" t="str">
        <f>'BGS Cost &amp; Bid Factors'!I$24</f>
        <v>SC1 TOD</v>
      </c>
      <c r="L55" s="99">
        <f>ROUND(L50/(4+L50)*L52,2)</f>
        <v>1.9</v>
      </c>
    </row>
    <row r="56" spans="2:13" x14ac:dyDescent="0.6">
      <c r="B56" s="56" t="s">
        <v>69</v>
      </c>
    </row>
    <row r="57" spans="2:13" x14ac:dyDescent="0.6">
      <c r="B57" s="100" t="s">
        <v>254</v>
      </c>
      <c r="C57" s="101">
        <f>ROUND(($D$50*C14)/10,3)</f>
        <v>9.5540000000000003</v>
      </c>
      <c r="D57" s="102"/>
      <c r="E57" s="102">
        <f>ROUND(E14*$D$50/10,3)</f>
        <v>9.07</v>
      </c>
      <c r="F57" s="102">
        <f>ROUND(F14*$D$50/10,3)</f>
        <v>7.7750000000000004</v>
      </c>
      <c r="G57" s="102">
        <f>ROUND(G14*$D$50/10,3)</f>
        <v>7.7469999999999999</v>
      </c>
      <c r="H57" s="102">
        <f>ROUND((C35*$D$50+D35)/10,3)</f>
        <v>8.6630000000000003</v>
      </c>
      <c r="I57" s="102"/>
    </row>
    <row r="58" spans="2:13" x14ac:dyDescent="0.6">
      <c r="B58" s="100" t="s">
        <v>255</v>
      </c>
      <c r="C58" s="102"/>
      <c r="D58" s="102">
        <f>ROUND(D15*$D$50/10,3)</f>
        <v>10.567</v>
      </c>
      <c r="E58" s="102"/>
      <c r="F58" s="102"/>
      <c r="G58" s="102"/>
      <c r="H58" s="102"/>
      <c r="I58" s="102">
        <f>ROUND(H15*$D$50/10,3)</f>
        <v>13.359</v>
      </c>
    </row>
    <row r="59" spans="2:13" x14ac:dyDescent="0.6">
      <c r="B59" s="100" t="s">
        <v>256</v>
      </c>
      <c r="C59" s="102"/>
      <c r="D59" s="102">
        <f>ROUND(D16*$D$50/10,3)</f>
        <v>7.51</v>
      </c>
      <c r="E59" s="102"/>
      <c r="F59" s="102"/>
      <c r="G59" s="102"/>
      <c r="H59" s="102"/>
      <c r="I59" s="102">
        <f>ROUND(H16*$D$50/10,3)</f>
        <v>7.8570000000000002</v>
      </c>
    </row>
    <row r="60" spans="2:13" x14ac:dyDescent="0.6">
      <c r="B60" s="13" t="s">
        <v>41</v>
      </c>
      <c r="C60" s="59">
        <f>ROUND(($D$50*C14+C19)/10,3)</f>
        <v>5.5579999999999998</v>
      </c>
      <c r="D60" s="23"/>
      <c r="E60" s="102"/>
      <c r="F60" s="102"/>
      <c r="G60" s="102"/>
      <c r="H60" s="102"/>
      <c r="I60" s="102"/>
    </row>
    <row r="61" spans="2:13" x14ac:dyDescent="0.6">
      <c r="B61" s="14" t="s">
        <v>42</v>
      </c>
      <c r="C61" s="23">
        <f>ROUND(($D$50*C14+C20)/10,3)</f>
        <v>12.565</v>
      </c>
      <c r="D61" s="23"/>
      <c r="E61" s="102"/>
      <c r="F61" s="102"/>
      <c r="G61" s="102"/>
      <c r="H61" s="102"/>
      <c r="I61" s="102"/>
    </row>
    <row r="62" spans="2:13" x14ac:dyDescent="0.6">
      <c r="B62" s="102"/>
      <c r="C62" s="102"/>
      <c r="D62" s="23"/>
      <c r="E62" s="102"/>
      <c r="F62" s="102"/>
      <c r="G62" s="102"/>
      <c r="H62" s="102"/>
      <c r="I62" s="102"/>
    </row>
    <row r="63" spans="2:13" x14ac:dyDescent="0.6">
      <c r="C63" s="102"/>
      <c r="D63" s="102"/>
      <c r="E63" s="102"/>
      <c r="F63" s="102"/>
      <c r="G63" s="102"/>
      <c r="H63" s="102"/>
      <c r="I63" s="102"/>
    </row>
    <row r="64" spans="2:13" x14ac:dyDescent="0.6">
      <c r="B64" s="103" t="s">
        <v>257</v>
      </c>
      <c r="C64" s="102"/>
      <c r="D64" s="102"/>
      <c r="E64" s="102"/>
      <c r="F64" s="102"/>
      <c r="G64" s="102"/>
      <c r="H64" s="98">
        <f>'BGS Cost &amp; Bid Factors'!H213</f>
        <v>1.95</v>
      </c>
      <c r="I64" s="102"/>
    </row>
    <row r="65" spans="1:10" x14ac:dyDescent="0.6">
      <c r="B65" s="103"/>
      <c r="C65" s="102"/>
      <c r="D65" s="102"/>
      <c r="E65" s="102"/>
      <c r="F65" s="102"/>
      <c r="G65" s="102"/>
      <c r="H65" s="102"/>
      <c r="I65" s="102"/>
    </row>
    <row r="66" spans="1:10" x14ac:dyDescent="0.6">
      <c r="C66" s="102"/>
      <c r="D66" s="102"/>
      <c r="E66" s="102"/>
      <c r="F66" s="102"/>
      <c r="G66" s="102"/>
      <c r="H66" s="102"/>
      <c r="I66" s="102"/>
    </row>
    <row r="67" spans="1:10" x14ac:dyDescent="0.6">
      <c r="B67" s="56" t="s">
        <v>62</v>
      </c>
      <c r="C67" s="102"/>
      <c r="D67" s="102"/>
      <c r="E67" s="102"/>
      <c r="F67" s="102"/>
      <c r="G67" s="102"/>
      <c r="H67" s="102"/>
      <c r="I67" s="102"/>
    </row>
    <row r="68" spans="1:10" x14ac:dyDescent="0.6">
      <c r="B68" s="100" t="s">
        <v>254</v>
      </c>
      <c r="C68" s="102">
        <f>ROUND(C23*$D$50/10,3)</f>
        <v>10.266</v>
      </c>
      <c r="D68" s="102"/>
      <c r="E68" s="102">
        <f>ROUND(E23*$D$50/10,3)</f>
        <v>9.4540000000000006</v>
      </c>
      <c r="F68" s="102">
        <f>ROUND(F23*$D$50/10,3)</f>
        <v>8.6140000000000008</v>
      </c>
      <c r="G68" s="102">
        <f>ROUND(G23*$D$50/10,3)</f>
        <v>8.5779999999999994</v>
      </c>
      <c r="H68" s="102">
        <f>ROUND((C39*$D$50+D39)/10,3)</f>
        <v>8.9710000000000001</v>
      </c>
      <c r="I68" s="102"/>
    </row>
    <row r="69" spans="1:10" x14ac:dyDescent="0.6">
      <c r="B69" s="100" t="s">
        <v>255</v>
      </c>
      <c r="C69" s="102"/>
      <c r="D69" s="102">
        <f>ROUND(D24*$D$50/10,3)</f>
        <v>10.092000000000001</v>
      </c>
      <c r="E69" s="102"/>
      <c r="F69" s="102"/>
      <c r="G69" s="102"/>
      <c r="H69" s="102"/>
      <c r="I69" s="102">
        <f>ROUND(H24*$D$50/10,3)</f>
        <v>15.385</v>
      </c>
    </row>
    <row r="70" spans="1:10" x14ac:dyDescent="0.6">
      <c r="B70" s="100" t="s">
        <v>256</v>
      </c>
      <c r="C70" s="102"/>
      <c r="D70" s="102">
        <f>ROUND(D25*$D$50/10,3)</f>
        <v>8.4589999999999996</v>
      </c>
      <c r="E70" s="102"/>
      <c r="F70" s="102"/>
      <c r="G70" s="102"/>
      <c r="H70" s="102"/>
      <c r="I70" s="102">
        <f>ROUND(H25*$D$50/10,3)</f>
        <v>8.6229999999999993</v>
      </c>
    </row>
    <row r="71" spans="1:10" x14ac:dyDescent="0.6">
      <c r="C71" s="102"/>
      <c r="D71" s="102"/>
      <c r="E71" s="102"/>
      <c r="F71" s="102"/>
      <c r="G71" s="102"/>
      <c r="H71" s="102"/>
      <c r="I71" s="102"/>
    </row>
    <row r="72" spans="1:10" x14ac:dyDescent="0.6">
      <c r="B72" s="103" t="s">
        <v>257</v>
      </c>
      <c r="C72" s="102"/>
      <c r="D72" s="102"/>
      <c r="E72" s="102"/>
      <c r="F72" s="102"/>
      <c r="G72" s="102"/>
      <c r="H72" s="98">
        <f>'BGS Cost &amp; Bid Factors'!H214</f>
        <v>2.19</v>
      </c>
      <c r="I72" s="102"/>
    </row>
    <row r="73" spans="1:10" x14ac:dyDescent="0.6">
      <c r="B73" s="103"/>
      <c r="C73" s="102"/>
      <c r="D73" s="102"/>
      <c r="E73" s="102"/>
      <c r="F73" s="102"/>
      <c r="G73" s="102"/>
      <c r="H73" s="102"/>
      <c r="I73" s="102"/>
    </row>
    <row r="74" spans="1:10" x14ac:dyDescent="0.6">
      <c r="B74" s="103"/>
      <c r="C74" s="102"/>
      <c r="D74" s="102"/>
      <c r="E74" s="102"/>
      <c r="F74" s="102"/>
      <c r="G74" s="102"/>
      <c r="H74" s="102"/>
      <c r="I74" s="102"/>
    </row>
    <row r="75" spans="1:10" x14ac:dyDescent="0.6">
      <c r="B75" s="103"/>
      <c r="H75" s="104"/>
      <c r="I75" s="104"/>
    </row>
    <row r="76" spans="1:10" x14ac:dyDescent="0.6">
      <c r="A76" s="49" t="s">
        <v>344</v>
      </c>
      <c r="B76" s="5" t="s">
        <v>345</v>
      </c>
      <c r="H76" s="104"/>
      <c r="I76" s="104"/>
    </row>
    <row r="77" spans="1:10" x14ac:dyDescent="0.6">
      <c r="B77" s="103"/>
      <c r="H77" s="104"/>
      <c r="I77" s="104"/>
    </row>
    <row r="78" spans="1:10" x14ac:dyDescent="0.6">
      <c r="C78" s="12" t="str">
        <f>'BGS Cost &amp; Bid Factors'!C$6</f>
        <v>SC1</v>
      </c>
      <c r="D78" s="12" t="str">
        <f>'BGS Cost &amp; Bid Factors'!D$6</f>
        <v>SC3</v>
      </c>
      <c r="E78" s="12" t="str">
        <f>'BGS Cost &amp; Bid Factors'!E$6</f>
        <v>SC2 ND</v>
      </c>
      <c r="F78" s="12" t="str">
        <f>'BGS Cost &amp; Bid Factors'!F$6</f>
        <v>SC4</v>
      </c>
      <c r="G78" s="12" t="str">
        <f>'BGS Cost &amp; Bid Factors'!G$6</f>
        <v>SC6</v>
      </c>
      <c r="H78" s="12" t="str">
        <f>'BGS Cost &amp; Bid Factors'!H$6</f>
        <v>SC2 Dem</v>
      </c>
      <c r="I78" s="12" t="str">
        <f>'BGS Cost &amp; Bid Factors'!I$24</f>
        <v>SC1 TOD</v>
      </c>
      <c r="J78" s="21"/>
    </row>
    <row r="79" spans="1:10" x14ac:dyDescent="0.6">
      <c r="B79" s="96" t="s">
        <v>275</v>
      </c>
      <c r="E79" s="2"/>
      <c r="F79" s="2"/>
      <c r="G79" s="2"/>
      <c r="H79" s="2"/>
      <c r="I79" s="2"/>
      <c r="J79" s="21"/>
    </row>
    <row r="80" spans="1:10" x14ac:dyDescent="0.6">
      <c r="B80" s="105" t="s">
        <v>69</v>
      </c>
      <c r="C80" s="106">
        <f>ROUND((C57*'BGS Cost &amp; Bid Factors'!L$48)/100,0)</f>
        <v>29330</v>
      </c>
      <c r="D80" s="107">
        <f>ROUND((D58*'BGS Cost &amp; Bid Factors'!M$49+D59*'BGS Cost &amp; Bid Factors'!M$50)/100,0)</f>
        <v>26</v>
      </c>
      <c r="E80" s="20">
        <f>ROUND((E57*'BGS Cost &amp; Bid Factors'!N$48)/100,0)</f>
        <v>365</v>
      </c>
      <c r="F80" s="20">
        <f>ROUND((F57*'BGS Cost &amp; Bid Factors'!O$48)/100,0)</f>
        <v>139</v>
      </c>
      <c r="G80" s="20">
        <f>ROUND((G57*'BGS Cost &amp; Bid Factors'!P$48)/100,0)</f>
        <v>109</v>
      </c>
      <c r="H80" s="19">
        <v>10888</v>
      </c>
      <c r="I80" s="19">
        <f>ROUND((I58*'BGS Cost &amp; Bid Factors'!R$49+I59*'BGS Cost &amp; Bid Factors'!R$50)/100,0)</f>
        <v>29331</v>
      </c>
      <c r="J80" s="21"/>
    </row>
    <row r="81" spans="2:10" x14ac:dyDescent="0.6">
      <c r="B81" s="105" t="s">
        <v>62</v>
      </c>
      <c r="C81" s="60">
        <f>ROUND(C68*'BGS Cost &amp; Bid Factors'!L$44/100,0)</f>
        <v>39849</v>
      </c>
      <c r="D81" s="61">
        <f>ROUND((D69*'BGS Cost &amp; Bid Factors'!M$45+D70*'BGS Cost &amp; Bid Factors'!M$46)/100,0)</f>
        <v>55</v>
      </c>
      <c r="E81" s="60">
        <f>ROUND(E68*'BGS Cost &amp; Bid Factors'!N$44/100,0)</f>
        <v>968</v>
      </c>
      <c r="F81" s="60">
        <f>ROUND(F68*'BGS Cost &amp; Bid Factors'!O$44/100,0)</f>
        <v>394</v>
      </c>
      <c r="G81" s="60">
        <f>ROUND(G68*'BGS Cost &amp; Bid Factors'!P$44/100,0)</f>
        <v>301</v>
      </c>
      <c r="H81" s="61">
        <v>18429</v>
      </c>
      <c r="I81" s="61">
        <f>ROUND((I69*'BGS Cost &amp; Bid Factors'!R$45+I70*'BGS Cost &amp; Bid Factors'!R$46)/100,0)</f>
        <v>39852</v>
      </c>
      <c r="J81" s="21"/>
    </row>
    <row r="82" spans="2:10" x14ac:dyDescent="0.6">
      <c r="B82" s="105" t="s">
        <v>36</v>
      </c>
      <c r="C82" s="108">
        <f t="shared" ref="C82:I82" si="0">+C81+C80</f>
        <v>69179</v>
      </c>
      <c r="D82" s="108">
        <f t="shared" si="0"/>
        <v>81</v>
      </c>
      <c r="E82" s="18">
        <f t="shared" si="0"/>
        <v>1333</v>
      </c>
      <c r="F82" s="18">
        <f t="shared" si="0"/>
        <v>533</v>
      </c>
      <c r="G82" s="18">
        <f t="shared" si="0"/>
        <v>410</v>
      </c>
      <c r="H82" s="18">
        <f t="shared" si="0"/>
        <v>29317</v>
      </c>
      <c r="I82" s="18">
        <f t="shared" si="0"/>
        <v>69183</v>
      </c>
      <c r="J82" s="21"/>
    </row>
    <row r="83" spans="2:10" x14ac:dyDescent="0.6">
      <c r="B83" s="105"/>
      <c r="C83" s="108"/>
      <c r="D83" s="108"/>
      <c r="E83" s="18"/>
      <c r="F83" s="18"/>
      <c r="G83" s="18"/>
      <c r="H83" s="18"/>
      <c r="I83" s="21"/>
      <c r="J83" s="2"/>
    </row>
    <row r="84" spans="2:10" x14ac:dyDescent="0.6">
      <c r="B84" s="105" t="s">
        <v>36</v>
      </c>
      <c r="C84" s="108"/>
      <c r="D84" s="108"/>
      <c r="E84" s="18"/>
      <c r="F84" s="18"/>
      <c r="G84" s="18"/>
      <c r="H84" s="18"/>
      <c r="I84" s="21"/>
      <c r="J84" s="2"/>
    </row>
    <row r="85" spans="2:10" x14ac:dyDescent="0.6">
      <c r="B85" s="105" t="s">
        <v>69</v>
      </c>
      <c r="C85" s="108">
        <f>SUM(C80:H80)</f>
        <v>40857</v>
      </c>
      <c r="D85" s="108"/>
      <c r="E85" s="108"/>
      <c r="G85" s="108"/>
      <c r="H85" s="108"/>
      <c r="I85" s="104"/>
    </row>
    <row r="86" spans="2:10" x14ac:dyDescent="0.6">
      <c r="B86" s="105" t="s">
        <v>62</v>
      </c>
      <c r="C86" s="62">
        <f>SUM(C81:H81)</f>
        <v>59996</v>
      </c>
      <c r="D86" s="33"/>
      <c r="I86" s="104"/>
    </row>
    <row r="87" spans="2:10" x14ac:dyDescent="0.6">
      <c r="B87" s="105" t="s">
        <v>36</v>
      </c>
      <c r="C87" s="108">
        <f>+C86+C85</f>
        <v>100853</v>
      </c>
      <c r="D87" s="33"/>
      <c r="I87" s="104"/>
    </row>
    <row r="88" spans="2:10" x14ac:dyDescent="0.6">
      <c r="B88" s="105"/>
      <c r="C88" s="108"/>
      <c r="E88" s="33"/>
      <c r="J88" s="104"/>
    </row>
    <row r="89" spans="2:10" x14ac:dyDescent="0.6">
      <c r="C89" s="33"/>
      <c r="D89" s="33"/>
      <c r="E89" s="33"/>
      <c r="F89" s="33"/>
      <c r="G89" s="33"/>
      <c r="H89" s="33"/>
      <c r="I89" s="33"/>
      <c r="J89" s="104"/>
    </row>
    <row r="90" spans="2:10" x14ac:dyDescent="0.6">
      <c r="B90" s="56" t="s">
        <v>346</v>
      </c>
      <c r="C90" s="33"/>
      <c r="D90" s="33"/>
      <c r="E90" s="33"/>
      <c r="F90" s="33"/>
      <c r="G90" s="33"/>
      <c r="H90" s="33"/>
      <c r="I90" s="33"/>
      <c r="J90" s="104"/>
    </row>
    <row r="91" spans="2:10" x14ac:dyDescent="0.6">
      <c r="C91" s="33"/>
      <c r="D91" s="33"/>
      <c r="E91" s="33"/>
      <c r="F91" s="33"/>
      <c r="G91" s="33"/>
      <c r="H91" s="33"/>
      <c r="I91" s="33"/>
      <c r="J91" s="104"/>
    </row>
    <row r="92" spans="2:10" ht="15.25" x14ac:dyDescent="1.05">
      <c r="B92" t="s">
        <v>347</v>
      </c>
      <c r="C92" s="109" t="s">
        <v>36</v>
      </c>
      <c r="D92" s="109" t="s">
        <v>328</v>
      </c>
      <c r="E92" s="109" t="s">
        <v>348</v>
      </c>
      <c r="F92" s="33"/>
      <c r="G92" s="110"/>
      <c r="H92" s="33"/>
      <c r="I92" s="33"/>
      <c r="J92" s="104"/>
    </row>
    <row r="93" spans="2:10" x14ac:dyDescent="0.6">
      <c r="B93" s="105" t="s">
        <v>69</v>
      </c>
      <c r="C93" s="108">
        <f>'Weighted Avg Price Calc'!G$29/1000</f>
        <v>37622.389000000003</v>
      </c>
      <c r="D93" s="111"/>
      <c r="E93" s="108">
        <f>C93-D93</f>
        <v>37622.389000000003</v>
      </c>
      <c r="F93" s="33"/>
      <c r="G93" s="110">
        <f>ROUND('BGS Cost &amp; Bid Factors'!$C$147*SUM('BGS Cost &amp; Bid Factors'!$C$141:$H$141)/12*'BGS Cost &amp; Bid Factors'!H$144/1000*'BGS Cost &amp; Bid Factors'!D447,0)</f>
        <v>5480</v>
      </c>
      <c r="H93" s="33"/>
      <c r="I93" s="33"/>
      <c r="J93" s="104"/>
    </row>
    <row r="94" spans="2:10" ht="15.25" x14ac:dyDescent="1.05">
      <c r="B94" s="105" t="s">
        <v>62</v>
      </c>
      <c r="C94" s="112">
        <f>'Weighted Avg Price Calc'!G$30/1000</f>
        <v>51991.12</v>
      </c>
      <c r="D94" s="112"/>
      <c r="E94" s="112">
        <f>C94-D94</f>
        <v>51991.12</v>
      </c>
      <c r="F94" s="33"/>
      <c r="G94" s="110">
        <f>ROUND('BGS Cost &amp; Bid Factors'!$C$147*SUM('BGS Cost &amp; Bid Factors'!$C$141:$H$141)/12*'BGS Cost &amp; Bid Factors'!H$145/1000*'BGS Cost &amp; Bid Factors'!F459,0)</f>
        <v>10961</v>
      </c>
      <c r="H94" s="33"/>
      <c r="I94" s="33"/>
      <c r="J94" s="104"/>
    </row>
    <row r="95" spans="2:10" x14ac:dyDescent="0.6">
      <c r="B95" s="105" t="s">
        <v>36</v>
      </c>
      <c r="C95" s="18">
        <f>+C94+C93</f>
        <v>89613.509000000005</v>
      </c>
      <c r="D95" s="108">
        <f>D93+D94</f>
        <v>0</v>
      </c>
      <c r="E95" s="108">
        <f>E93+E94</f>
        <v>89613.509000000005</v>
      </c>
      <c r="F95" s="33"/>
      <c r="G95" s="110"/>
      <c r="H95" s="33"/>
      <c r="I95" s="33"/>
      <c r="J95" s="104"/>
    </row>
    <row r="96" spans="2:10" x14ac:dyDescent="0.6">
      <c r="C96" s="33"/>
      <c r="D96" s="33"/>
      <c r="E96" s="33"/>
      <c r="F96" s="33"/>
      <c r="G96" s="113"/>
      <c r="H96" s="33"/>
      <c r="I96" s="33"/>
      <c r="J96" s="104"/>
    </row>
    <row r="97" spans="2:10" ht="15.25" x14ac:dyDescent="1.05">
      <c r="B97" t="s">
        <v>349</v>
      </c>
      <c r="C97" s="109" t="s">
        <v>36</v>
      </c>
      <c r="D97" s="109" t="s">
        <v>328</v>
      </c>
      <c r="E97" s="109" t="s">
        <v>348</v>
      </c>
      <c r="F97" s="33"/>
      <c r="G97" s="33"/>
      <c r="H97" s="33"/>
      <c r="I97" s="33"/>
      <c r="J97" s="104"/>
    </row>
    <row r="98" spans="2:10" x14ac:dyDescent="0.6">
      <c r="B98" s="105" t="s">
        <v>69</v>
      </c>
      <c r="C98" s="108">
        <f>ROUND($E$251*1000*'Weighted Avg Price Calc'!E42/100/1000,0)</f>
        <v>4718</v>
      </c>
      <c r="D98" s="108">
        <v>0</v>
      </c>
      <c r="E98" s="108">
        <f>C98-D98</f>
        <v>4718</v>
      </c>
      <c r="F98" s="33"/>
      <c r="G98" s="33"/>
      <c r="H98" s="33"/>
      <c r="I98" s="33"/>
      <c r="J98" s="104"/>
    </row>
    <row r="99" spans="2:10" ht="15.25" x14ac:dyDescent="1.05">
      <c r="B99" s="105" t="s">
        <v>62</v>
      </c>
      <c r="C99" s="112">
        <f>ROUND($E$252*1000*'Weighted Avg Price Calc'!E42/100/1000,0)</f>
        <v>6521</v>
      </c>
      <c r="D99" s="112">
        <v>0</v>
      </c>
      <c r="E99" s="112">
        <f>C99-D99</f>
        <v>6521</v>
      </c>
      <c r="F99" s="33"/>
      <c r="G99" s="33"/>
      <c r="H99" s="33"/>
      <c r="I99" s="33"/>
      <c r="J99" s="104"/>
    </row>
    <row r="100" spans="2:10" x14ac:dyDescent="0.6">
      <c r="B100" s="105" t="s">
        <v>36</v>
      </c>
      <c r="C100" s="18">
        <f>+C99+C98</f>
        <v>11239</v>
      </c>
      <c r="D100" s="108">
        <f>D98+D99</f>
        <v>0</v>
      </c>
      <c r="E100" s="108">
        <f>E98+E99</f>
        <v>11239</v>
      </c>
      <c r="F100" s="33"/>
      <c r="G100" s="33"/>
      <c r="H100" s="33"/>
      <c r="I100" s="33"/>
      <c r="J100" s="104"/>
    </row>
    <row r="101" spans="2:10" x14ac:dyDescent="0.6">
      <c r="C101" s="33"/>
      <c r="D101" s="33"/>
      <c r="E101" s="33"/>
      <c r="F101" s="33"/>
      <c r="G101" s="33"/>
      <c r="H101" s="33"/>
      <c r="I101" s="33"/>
      <c r="J101" s="104"/>
    </row>
    <row r="102" spans="2:10" ht="15.25" x14ac:dyDescent="1.05">
      <c r="B102" t="s">
        <v>350</v>
      </c>
      <c r="C102" s="109" t="s">
        <v>36</v>
      </c>
      <c r="D102" s="109" t="s">
        <v>328</v>
      </c>
      <c r="E102" s="109" t="s">
        <v>348</v>
      </c>
      <c r="F102" s="33"/>
      <c r="G102" s="33"/>
      <c r="H102" s="33"/>
      <c r="I102" s="33"/>
      <c r="J102" s="104"/>
    </row>
    <row r="103" spans="2:10" x14ac:dyDescent="0.6">
      <c r="B103" s="105" t="s">
        <v>69</v>
      </c>
      <c r="C103" s="108">
        <f>C93+C98</f>
        <v>42340.389000000003</v>
      </c>
      <c r="D103" s="108">
        <f>D93+D98</f>
        <v>0</v>
      </c>
      <c r="E103" s="108">
        <f>C103-D103</f>
        <v>42340.389000000003</v>
      </c>
      <c r="J103" s="104"/>
    </row>
    <row r="104" spans="2:10" ht="15.25" x14ac:dyDescent="1.05">
      <c r="B104" s="105" t="s">
        <v>62</v>
      </c>
      <c r="C104" s="112">
        <f>C94+C99</f>
        <v>58512.12</v>
      </c>
      <c r="D104" s="112">
        <f>D94+D99</f>
        <v>0</v>
      </c>
      <c r="E104" s="112">
        <f>C104-D104</f>
        <v>58512.12</v>
      </c>
      <c r="J104" s="104"/>
    </row>
    <row r="105" spans="2:10" x14ac:dyDescent="0.6">
      <c r="B105" s="105" t="s">
        <v>36</v>
      </c>
      <c r="C105" s="18">
        <f>+C104+C103</f>
        <v>100852.50900000001</v>
      </c>
      <c r="D105" s="18">
        <f>+D104+D103</f>
        <v>0</v>
      </c>
      <c r="E105" s="108">
        <f>E103+E104</f>
        <v>100852.50900000001</v>
      </c>
      <c r="J105" s="104"/>
    </row>
    <row r="106" spans="2:10" x14ac:dyDescent="0.6">
      <c r="C106" s="33"/>
      <c r="D106" s="63"/>
      <c r="E106" s="33"/>
      <c r="F106" s="55"/>
      <c r="G106" s="103" t="s">
        <v>351</v>
      </c>
      <c r="J106" s="104"/>
    </row>
    <row r="107" spans="2:10" x14ac:dyDescent="0.6">
      <c r="B107" t="s">
        <v>279</v>
      </c>
      <c r="C107" s="103" t="s">
        <v>323</v>
      </c>
      <c r="D107" s="103" t="s">
        <v>323</v>
      </c>
      <c r="E107" s="103"/>
      <c r="G107" s="103" t="s">
        <v>352</v>
      </c>
      <c r="J107" s="104"/>
    </row>
    <row r="108" spans="2:10" x14ac:dyDescent="0.6">
      <c r="B108" s="103"/>
      <c r="C108" s="51" t="s">
        <v>353</v>
      </c>
      <c r="D108" s="51" t="s">
        <v>354</v>
      </c>
      <c r="E108" s="51" t="s">
        <v>355</v>
      </c>
      <c r="G108" s="51" t="s">
        <v>356</v>
      </c>
      <c r="I108" s="104"/>
      <c r="J108" s="104"/>
    </row>
    <row r="109" spans="2:10" x14ac:dyDescent="0.6">
      <c r="B109" s="105" t="s">
        <v>69</v>
      </c>
      <c r="C109" s="108">
        <f>C85</f>
        <v>40857</v>
      </c>
      <c r="D109" s="108">
        <f>E103</f>
        <v>42340.389000000003</v>
      </c>
      <c r="E109" s="108">
        <f>D109-C109</f>
        <v>1483.3890000000029</v>
      </c>
      <c r="G109" s="11">
        <f>ROUND(1+E109/C85,5)</f>
        <v>1.0363100000000001</v>
      </c>
      <c r="I109" s="104"/>
      <c r="J109" s="104"/>
    </row>
    <row r="110" spans="2:10" x14ac:dyDescent="0.6">
      <c r="B110" s="105" t="s">
        <v>62</v>
      </c>
      <c r="C110" s="62">
        <f>C86</f>
        <v>59996</v>
      </c>
      <c r="D110" s="62">
        <f>E104</f>
        <v>58512.12</v>
      </c>
      <c r="E110" s="62">
        <f>D110-C110</f>
        <v>-1483.8799999999974</v>
      </c>
      <c r="G110" s="11">
        <f>ROUND(1+E110/C86,5)</f>
        <v>0.97526999999999997</v>
      </c>
      <c r="I110" s="104"/>
      <c r="J110" s="104"/>
    </row>
    <row r="111" spans="2:10" x14ac:dyDescent="0.6">
      <c r="B111" s="105" t="s">
        <v>36</v>
      </c>
      <c r="C111" s="108">
        <f>+C110+C109</f>
        <v>100853</v>
      </c>
      <c r="D111" s="108">
        <f>+D110+D109</f>
        <v>100852.50900000001</v>
      </c>
      <c r="E111" s="108">
        <f>+E110+E109</f>
        <v>-0.49099999999452848</v>
      </c>
      <c r="I111" s="104"/>
      <c r="J111" s="104"/>
    </row>
    <row r="112" spans="2:10" x14ac:dyDescent="0.6">
      <c r="B112" s="103"/>
      <c r="I112" s="104"/>
      <c r="J112" s="104"/>
    </row>
    <row r="113" spans="1:36" x14ac:dyDescent="0.6">
      <c r="A113" s="49" t="s">
        <v>357</v>
      </c>
      <c r="B113" s="5" t="s">
        <v>358</v>
      </c>
    </row>
    <row r="114" spans="1:36" x14ac:dyDescent="0.6">
      <c r="A114" s="49"/>
      <c r="B114" s="5"/>
    </row>
    <row r="115" spans="1:36" x14ac:dyDescent="0.6">
      <c r="A115" s="49"/>
      <c r="B115" s="5"/>
    </row>
    <row r="116" spans="1:36" x14ac:dyDescent="0.6">
      <c r="B116" s="16" t="s">
        <v>359</v>
      </c>
      <c r="K116" s="16"/>
      <c r="T116" s="16"/>
      <c r="AC116" s="16"/>
    </row>
    <row r="117" spans="1:36" x14ac:dyDescent="0.6">
      <c r="B117" s="11"/>
      <c r="K117" s="11"/>
      <c r="T117" s="11"/>
      <c r="AC117" s="11"/>
    </row>
    <row r="118" spans="1:36" x14ac:dyDescent="0.6">
      <c r="C118" s="12" t="str">
        <f>'BGS Cost &amp; Bid Factors'!C$6</f>
        <v>SC1</v>
      </c>
      <c r="D118" s="12" t="str">
        <f>'BGS Cost &amp; Bid Factors'!D$6</f>
        <v>SC3</v>
      </c>
      <c r="E118" s="12" t="str">
        <f>'BGS Cost &amp; Bid Factors'!E$6</f>
        <v>SC2 ND</v>
      </c>
      <c r="F118" s="12" t="str">
        <f>'BGS Cost &amp; Bid Factors'!F$6</f>
        <v>SC4</v>
      </c>
      <c r="G118" s="12" t="str">
        <f>'BGS Cost &amp; Bid Factors'!G$6</f>
        <v>SC6</v>
      </c>
      <c r="H118" s="12" t="str">
        <f>'BGS Cost &amp; Bid Factors'!H$6</f>
        <v>SC2 Dem</v>
      </c>
      <c r="I118" s="12" t="str">
        <f>'BGS Cost &amp; Bid Factors'!I$24</f>
        <v>SC1 TOD</v>
      </c>
      <c r="J118" s="8"/>
      <c r="L118" s="12"/>
      <c r="M118" s="12"/>
      <c r="N118" s="12"/>
      <c r="O118" s="12"/>
      <c r="P118" s="12"/>
      <c r="Q118" s="12"/>
      <c r="T118" s="12"/>
      <c r="U118" s="12"/>
      <c r="V118" s="12"/>
      <c r="W118" s="12"/>
      <c r="X118" s="12"/>
      <c r="Y118" s="12"/>
      <c r="AB118" s="12"/>
      <c r="AC118" s="12"/>
      <c r="AD118" s="12"/>
      <c r="AE118" s="12"/>
      <c r="AF118" s="12"/>
      <c r="AG118" s="12"/>
      <c r="AH118" s="12"/>
      <c r="AI118" s="12"/>
      <c r="AJ118" s="12"/>
    </row>
    <row r="119" spans="1:36" x14ac:dyDescent="0.6">
      <c r="C119" s="8"/>
      <c r="D119" s="8"/>
      <c r="E119" s="8"/>
      <c r="F119" s="8"/>
      <c r="G119" s="8"/>
      <c r="H119" s="8"/>
      <c r="I119" s="8"/>
      <c r="J119" s="8"/>
      <c r="L119" s="8"/>
      <c r="M119" s="8"/>
      <c r="N119" s="8"/>
      <c r="O119" s="8"/>
      <c r="P119" s="8"/>
      <c r="Q119" s="8"/>
      <c r="T119" s="8"/>
      <c r="U119" s="8"/>
      <c r="V119" s="8"/>
      <c r="W119" s="8"/>
      <c r="X119" s="8"/>
      <c r="Y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6">
      <c r="B120" s="56" t="s">
        <v>69</v>
      </c>
      <c r="K120" s="56"/>
      <c r="S120" s="56"/>
      <c r="AA120" s="56"/>
    </row>
    <row r="121" spans="1:36" x14ac:dyDescent="0.6">
      <c r="B121" s="100" t="s">
        <v>254</v>
      </c>
      <c r="C121" s="114">
        <f>ROUND(C57*$G$109,3)</f>
        <v>9.9009999999999998</v>
      </c>
      <c r="D121" s="115"/>
      <c r="E121" s="114">
        <f>ROUND(E57*$G$109,3)</f>
        <v>9.3989999999999991</v>
      </c>
      <c r="F121" s="114">
        <f>ROUND(F57*$G$109,3)</f>
        <v>8.0570000000000004</v>
      </c>
      <c r="G121" s="114">
        <f>ROUND(G57*$G$109,3)</f>
        <v>8.0280000000000005</v>
      </c>
      <c r="H121" s="114">
        <f>ROUND(H57*$G$109,3)</f>
        <v>8.9779999999999998</v>
      </c>
      <c r="I121" s="114"/>
      <c r="J121" s="102"/>
      <c r="K121" s="96"/>
      <c r="L121" s="114"/>
      <c r="M121" s="115"/>
      <c r="N121" s="114"/>
      <c r="O121" s="114"/>
      <c r="P121" s="114"/>
      <c r="Q121" s="114"/>
      <c r="S121" s="96"/>
      <c r="T121" s="114"/>
      <c r="U121" s="115"/>
      <c r="V121" s="114"/>
      <c r="W121" s="114"/>
      <c r="X121" s="114"/>
      <c r="Y121" s="114"/>
      <c r="AA121" s="96"/>
      <c r="AB121" s="116"/>
      <c r="AC121" s="115"/>
      <c r="AD121" s="116"/>
      <c r="AE121" s="116"/>
      <c r="AF121" s="116"/>
      <c r="AG121" s="116"/>
      <c r="AH121" s="116"/>
      <c r="AI121" s="116"/>
      <c r="AJ121" s="116"/>
    </row>
    <row r="122" spans="1:36" x14ac:dyDescent="0.6">
      <c r="B122" s="100" t="s">
        <v>255</v>
      </c>
      <c r="C122" s="115"/>
      <c r="D122" s="114">
        <f>ROUND(D58*$G$109,3)</f>
        <v>10.951000000000001</v>
      </c>
      <c r="E122" s="115"/>
      <c r="F122" s="115"/>
      <c r="G122" s="115"/>
      <c r="H122" s="115"/>
      <c r="I122" s="114">
        <f>ROUND(I58*$G$109,3)</f>
        <v>13.843999999999999</v>
      </c>
      <c r="J122" s="102"/>
      <c r="K122" s="96"/>
      <c r="L122" s="115"/>
      <c r="M122" s="114"/>
      <c r="N122" s="115"/>
      <c r="O122" s="115"/>
      <c r="P122" s="115"/>
      <c r="Q122" s="115"/>
      <c r="S122" s="96"/>
      <c r="T122" s="115"/>
      <c r="U122" s="114"/>
      <c r="V122" s="115"/>
      <c r="W122" s="115"/>
      <c r="X122" s="115"/>
      <c r="Y122" s="115"/>
      <c r="AA122" s="96"/>
      <c r="AB122" s="115"/>
      <c r="AC122" s="116"/>
      <c r="AD122" s="115"/>
      <c r="AE122" s="115"/>
      <c r="AF122" s="115"/>
      <c r="AG122" s="115"/>
      <c r="AH122" s="115"/>
      <c r="AI122" s="115"/>
      <c r="AJ122" s="115"/>
    </row>
    <row r="123" spans="1:36" x14ac:dyDescent="0.6">
      <c r="B123" s="100" t="s">
        <v>256</v>
      </c>
      <c r="C123" s="115"/>
      <c r="D123" s="114">
        <f>ROUND(D59*$G$109,3)</f>
        <v>7.7830000000000004</v>
      </c>
      <c r="E123" s="115"/>
      <c r="F123" s="115"/>
      <c r="G123" s="115"/>
      <c r="H123" s="115"/>
      <c r="I123" s="114">
        <f>ROUND(I59*$G$109,3)</f>
        <v>8.1419999999999995</v>
      </c>
      <c r="J123" s="102"/>
      <c r="K123" s="96"/>
      <c r="L123" s="115"/>
      <c r="M123" s="114"/>
      <c r="N123" s="115"/>
      <c r="O123" s="115"/>
      <c r="P123" s="115"/>
      <c r="Q123" s="115"/>
      <c r="S123" s="96"/>
      <c r="T123" s="115"/>
      <c r="U123" s="114"/>
      <c r="V123" s="115"/>
      <c r="W123" s="115"/>
      <c r="X123" s="115"/>
      <c r="Y123" s="115"/>
      <c r="AA123" s="96"/>
      <c r="AB123" s="115"/>
      <c r="AC123" s="116"/>
      <c r="AD123" s="115"/>
      <c r="AE123" s="115"/>
      <c r="AF123" s="115"/>
      <c r="AG123" s="115"/>
      <c r="AH123" s="115"/>
      <c r="AI123" s="115"/>
      <c r="AJ123" s="115"/>
    </row>
    <row r="124" spans="1:36" x14ac:dyDescent="0.6">
      <c r="B124" s="13" t="s">
        <v>41</v>
      </c>
      <c r="C124" s="114">
        <f>ROUND(C60*$G$109,3)</f>
        <v>5.76</v>
      </c>
      <c r="D124" s="58"/>
      <c r="E124" s="115"/>
      <c r="F124" s="115"/>
      <c r="G124" s="115"/>
      <c r="H124" s="115"/>
      <c r="I124" s="115"/>
      <c r="J124" s="102"/>
      <c r="K124" s="1"/>
      <c r="L124" s="114"/>
      <c r="M124" s="58"/>
      <c r="N124" s="115"/>
      <c r="O124" s="115"/>
      <c r="P124" s="115"/>
      <c r="Q124" s="115"/>
      <c r="S124" s="1"/>
      <c r="T124" s="114"/>
      <c r="U124" s="58"/>
      <c r="V124" s="115"/>
      <c r="W124" s="115"/>
      <c r="X124" s="115"/>
      <c r="Y124" s="115"/>
      <c r="AA124" s="1"/>
      <c r="AB124" s="116"/>
      <c r="AC124" s="58"/>
      <c r="AD124" s="115"/>
      <c r="AE124" s="115"/>
      <c r="AF124" s="115"/>
      <c r="AG124" s="115"/>
      <c r="AH124" s="115"/>
      <c r="AI124" s="115"/>
      <c r="AJ124" s="115"/>
    </row>
    <row r="125" spans="1:36" x14ac:dyDescent="0.6">
      <c r="B125" s="14" t="s">
        <v>42</v>
      </c>
      <c r="C125" s="114">
        <f>ROUND(C61*$G$109,3)</f>
        <v>13.021000000000001</v>
      </c>
      <c r="D125" s="58"/>
      <c r="E125" s="115"/>
      <c r="F125" s="115"/>
      <c r="G125" s="115"/>
      <c r="H125" s="115"/>
      <c r="I125" s="115"/>
      <c r="J125" s="102"/>
      <c r="K125" s="22"/>
      <c r="L125" s="114"/>
      <c r="M125" s="58"/>
      <c r="N125" s="115"/>
      <c r="O125" s="115"/>
      <c r="P125" s="115"/>
      <c r="Q125" s="115"/>
      <c r="S125" s="22"/>
      <c r="T125" s="114"/>
      <c r="U125" s="58"/>
      <c r="V125" s="115"/>
      <c r="W125" s="115"/>
      <c r="X125" s="115"/>
      <c r="Y125" s="115"/>
      <c r="AA125" s="22"/>
      <c r="AB125" s="116"/>
      <c r="AC125" s="58"/>
      <c r="AD125" s="115"/>
      <c r="AE125" s="115"/>
      <c r="AF125" s="115"/>
      <c r="AG125" s="115"/>
      <c r="AH125" s="115"/>
      <c r="AI125" s="115"/>
      <c r="AJ125" s="115"/>
    </row>
    <row r="126" spans="1:36" x14ac:dyDescent="0.6">
      <c r="B126" s="115"/>
      <c r="C126" s="115"/>
      <c r="D126" s="58"/>
      <c r="E126" s="115"/>
      <c r="F126" s="115"/>
      <c r="G126" s="115"/>
      <c r="H126" s="115"/>
      <c r="I126" s="115"/>
      <c r="J126" s="102"/>
      <c r="K126" s="22"/>
      <c r="L126" s="117"/>
      <c r="M126" s="58"/>
      <c r="N126" s="115"/>
      <c r="O126" s="115"/>
      <c r="P126" s="115"/>
      <c r="Q126" s="115"/>
      <c r="S126" s="22"/>
      <c r="T126" s="117"/>
      <c r="U126" s="58"/>
      <c r="V126" s="115"/>
      <c r="W126" s="115"/>
      <c r="X126" s="115"/>
      <c r="Y126" s="115"/>
      <c r="AA126" s="22"/>
      <c r="AB126" s="117"/>
      <c r="AC126" s="58"/>
      <c r="AD126" s="115"/>
      <c r="AE126" s="115"/>
      <c r="AF126" s="115"/>
      <c r="AG126" s="115"/>
      <c r="AH126" s="115"/>
      <c r="AI126" s="115"/>
      <c r="AJ126" s="115"/>
    </row>
    <row r="127" spans="1:36" x14ac:dyDescent="0.6">
      <c r="C127" s="115"/>
      <c r="D127" s="115"/>
      <c r="E127" s="115"/>
      <c r="F127" s="115"/>
      <c r="G127" s="115"/>
      <c r="H127" s="115"/>
      <c r="I127" s="115"/>
      <c r="L127" s="115"/>
      <c r="M127" s="115"/>
      <c r="N127" s="115"/>
      <c r="O127" s="115"/>
      <c r="P127" s="115"/>
      <c r="Q127" s="115"/>
      <c r="T127" s="115"/>
      <c r="U127" s="115"/>
      <c r="V127" s="115"/>
      <c r="W127" s="115"/>
      <c r="X127" s="115"/>
      <c r="Y127" s="115"/>
      <c r="AA127" s="94"/>
      <c r="AB127" s="115"/>
      <c r="AC127" s="115"/>
      <c r="AD127" s="115"/>
      <c r="AE127" s="115"/>
      <c r="AF127" s="115"/>
      <c r="AG127" s="115"/>
      <c r="AH127" s="115"/>
      <c r="AI127" s="115"/>
      <c r="AJ127" s="115"/>
    </row>
    <row r="128" spans="1:36" x14ac:dyDescent="0.6">
      <c r="B128" s="103" t="s">
        <v>257</v>
      </c>
      <c r="C128" s="115"/>
      <c r="D128" s="115"/>
      <c r="E128" s="115"/>
      <c r="F128" s="115"/>
      <c r="G128" s="115"/>
      <c r="H128" s="118">
        <f>ROUND(H64*$G$109,2)</f>
        <v>2.02</v>
      </c>
      <c r="I128" s="114"/>
      <c r="J128" s="104"/>
      <c r="K128" s="94"/>
      <c r="L128" s="115"/>
      <c r="M128" s="115"/>
      <c r="N128" s="115"/>
      <c r="O128" s="115"/>
      <c r="P128" s="115"/>
      <c r="Q128" s="114"/>
      <c r="S128" s="94"/>
      <c r="T128" s="115"/>
      <c r="U128" s="115"/>
      <c r="V128" s="115"/>
      <c r="W128" s="115"/>
      <c r="X128" s="115"/>
      <c r="Y128" s="114"/>
      <c r="AA128" s="94"/>
      <c r="AB128" s="115"/>
      <c r="AC128" s="115"/>
      <c r="AD128" s="115"/>
      <c r="AE128" s="115"/>
      <c r="AF128" s="115"/>
      <c r="AG128" s="116"/>
      <c r="AH128" s="116"/>
      <c r="AI128" s="116"/>
      <c r="AJ128" s="116"/>
    </row>
    <row r="129" spans="2:36" x14ac:dyDescent="0.6">
      <c r="B129" s="103"/>
      <c r="C129" s="115"/>
      <c r="D129" s="115"/>
      <c r="E129" s="115"/>
      <c r="F129" s="115"/>
      <c r="G129" s="115"/>
      <c r="H129" s="114"/>
      <c r="I129" s="114"/>
      <c r="J129" s="104"/>
      <c r="L129" s="115"/>
      <c r="M129" s="115"/>
      <c r="N129" s="115"/>
      <c r="O129" s="115"/>
      <c r="P129" s="115"/>
      <c r="Q129" s="115"/>
      <c r="T129" s="115"/>
      <c r="U129" s="115"/>
      <c r="V129" s="115"/>
      <c r="W129" s="115"/>
      <c r="X129" s="115"/>
      <c r="Y129" s="115"/>
      <c r="AA129" s="94"/>
      <c r="AB129" s="115"/>
      <c r="AC129" s="115"/>
      <c r="AD129" s="115"/>
      <c r="AE129" s="115"/>
      <c r="AF129" s="115"/>
      <c r="AG129" s="115"/>
      <c r="AH129" s="115"/>
      <c r="AI129" s="115"/>
      <c r="AJ129" s="115"/>
    </row>
    <row r="130" spans="2:36" x14ac:dyDescent="0.6">
      <c r="C130" s="115"/>
      <c r="D130" s="115"/>
      <c r="E130" s="115"/>
      <c r="F130" s="115"/>
      <c r="G130" s="115"/>
      <c r="H130" s="115"/>
      <c r="I130" s="115"/>
      <c r="K130" s="56"/>
      <c r="L130" s="115"/>
      <c r="M130" s="115"/>
      <c r="N130" s="115"/>
      <c r="O130" s="115"/>
      <c r="P130" s="115"/>
      <c r="Q130" s="115"/>
      <c r="S130" s="56"/>
      <c r="T130" s="115"/>
      <c r="U130" s="115"/>
      <c r="V130" s="115"/>
      <c r="W130" s="115"/>
      <c r="X130" s="115"/>
      <c r="Y130" s="115"/>
      <c r="AA130" s="27"/>
      <c r="AB130" s="115"/>
      <c r="AC130" s="115"/>
      <c r="AD130" s="115"/>
      <c r="AE130" s="115"/>
      <c r="AF130" s="115"/>
      <c r="AG130" s="115"/>
      <c r="AH130" s="115"/>
      <c r="AI130" s="115"/>
      <c r="AJ130" s="115"/>
    </row>
    <row r="131" spans="2:36" x14ac:dyDescent="0.6">
      <c r="B131" s="56" t="s">
        <v>62</v>
      </c>
      <c r="C131" s="115"/>
      <c r="D131" s="115"/>
      <c r="E131" s="115"/>
      <c r="F131" s="115"/>
      <c r="G131" s="115"/>
      <c r="H131" s="115"/>
      <c r="I131" s="115"/>
      <c r="K131" s="96"/>
      <c r="L131" s="114"/>
      <c r="M131" s="115"/>
      <c r="N131" s="114"/>
      <c r="O131" s="114"/>
      <c r="P131" s="114"/>
      <c r="Q131" s="114"/>
      <c r="S131" s="96"/>
      <c r="T131" s="114"/>
      <c r="U131" s="115"/>
      <c r="V131" s="114"/>
      <c r="W131" s="114"/>
      <c r="X131" s="114"/>
      <c r="Y131" s="114"/>
      <c r="AA131" s="96"/>
      <c r="AB131" s="116"/>
      <c r="AC131" s="115"/>
      <c r="AD131" s="116"/>
      <c r="AE131" s="116"/>
      <c r="AF131" s="116"/>
      <c r="AG131" s="116"/>
      <c r="AH131" s="116"/>
      <c r="AI131" s="116"/>
      <c r="AJ131" s="116"/>
    </row>
    <row r="132" spans="2:36" x14ac:dyDescent="0.6">
      <c r="B132" s="100" t="s">
        <v>254</v>
      </c>
      <c r="C132" s="114">
        <f>ROUND(C68*$G$110,3)</f>
        <v>10.012</v>
      </c>
      <c r="D132" s="115"/>
      <c r="E132" s="114">
        <f>ROUND(E68*$G$110,3)</f>
        <v>9.2200000000000006</v>
      </c>
      <c r="F132" s="114">
        <f>ROUND(F68*$G$110,3)</f>
        <v>8.4009999999999998</v>
      </c>
      <c r="G132" s="114">
        <f>ROUND(G68*$G$110,3)</f>
        <v>8.3659999999999997</v>
      </c>
      <c r="H132" s="114">
        <f>ROUND(H68*$G$110,3)</f>
        <v>8.7490000000000006</v>
      </c>
      <c r="I132" s="114"/>
      <c r="K132" s="96"/>
      <c r="L132" s="115"/>
      <c r="M132" s="114"/>
      <c r="N132" s="115"/>
      <c r="O132" s="115"/>
      <c r="P132" s="115"/>
      <c r="Q132" s="115"/>
      <c r="S132" s="96"/>
      <c r="T132" s="115"/>
      <c r="U132" s="114"/>
      <c r="V132" s="115"/>
      <c r="W132" s="115"/>
      <c r="X132" s="115"/>
      <c r="Y132" s="115"/>
      <c r="AA132" s="96"/>
      <c r="AB132" s="115"/>
      <c r="AC132" s="116"/>
      <c r="AD132" s="115"/>
      <c r="AE132" s="115"/>
      <c r="AF132" s="115"/>
      <c r="AG132" s="115"/>
      <c r="AH132" s="115"/>
      <c r="AI132" s="115"/>
      <c r="AJ132" s="115"/>
    </row>
    <row r="133" spans="2:36" x14ac:dyDescent="0.6">
      <c r="B133" s="100" t="s">
        <v>255</v>
      </c>
      <c r="C133" s="115"/>
      <c r="D133" s="114">
        <f>ROUND(D69*$G$110,3)</f>
        <v>9.8420000000000005</v>
      </c>
      <c r="E133" s="115"/>
      <c r="F133" s="115"/>
      <c r="G133" s="115"/>
      <c r="H133" s="115"/>
      <c r="I133" s="114">
        <f>ROUND(I69*$G$110,3)</f>
        <v>15.005000000000001</v>
      </c>
      <c r="J133" s="102"/>
      <c r="K133" s="96"/>
      <c r="L133" s="115"/>
      <c r="M133" s="114"/>
      <c r="N133" s="115"/>
      <c r="O133" s="115"/>
      <c r="P133" s="115"/>
      <c r="Q133" s="115"/>
      <c r="S133" s="96"/>
      <c r="T133" s="115"/>
      <c r="U133" s="114"/>
      <c r="V133" s="115"/>
      <c r="W133" s="115"/>
      <c r="X133" s="115"/>
      <c r="Y133" s="115"/>
      <c r="AA133" s="96"/>
      <c r="AB133" s="115"/>
      <c r="AC133" s="116"/>
      <c r="AD133" s="115"/>
      <c r="AE133" s="115"/>
      <c r="AF133" s="115"/>
      <c r="AG133" s="115"/>
      <c r="AH133" s="115"/>
      <c r="AI133" s="115"/>
      <c r="AJ133" s="115"/>
    </row>
    <row r="134" spans="2:36" x14ac:dyDescent="0.6">
      <c r="B134" s="100" t="s">
        <v>256</v>
      </c>
      <c r="C134" s="115"/>
      <c r="D134" s="114">
        <f>ROUND(D70*$G$110,3)</f>
        <v>8.25</v>
      </c>
      <c r="E134" s="115"/>
      <c r="F134" s="115"/>
      <c r="G134" s="115"/>
      <c r="H134" s="115"/>
      <c r="I134" s="114">
        <f>ROUND(I70*$G$110,3)</f>
        <v>8.41</v>
      </c>
      <c r="J134" s="102"/>
      <c r="K134" s="94"/>
      <c r="L134" s="115"/>
      <c r="M134" s="115"/>
      <c r="N134" s="115"/>
      <c r="O134" s="115"/>
      <c r="P134" s="115"/>
      <c r="Q134" s="115"/>
      <c r="S134" s="94"/>
      <c r="T134" s="115"/>
      <c r="U134" s="115"/>
      <c r="V134" s="115"/>
      <c r="W134" s="115"/>
      <c r="X134" s="115"/>
      <c r="Y134" s="115"/>
      <c r="AA134" s="94"/>
      <c r="AB134" s="115"/>
      <c r="AC134" s="115"/>
      <c r="AD134" s="115"/>
      <c r="AE134" s="115"/>
      <c r="AF134" s="115"/>
      <c r="AG134" s="115"/>
      <c r="AH134" s="115"/>
      <c r="AI134" s="115"/>
      <c r="AJ134" s="115"/>
    </row>
    <row r="135" spans="2:36" x14ac:dyDescent="0.6">
      <c r="C135" s="115"/>
      <c r="D135" s="115"/>
      <c r="E135" s="115"/>
      <c r="F135" s="115"/>
      <c r="G135" s="115"/>
      <c r="H135" s="115"/>
      <c r="I135" s="115"/>
      <c r="K135" s="94"/>
      <c r="L135" s="115"/>
      <c r="M135" s="115"/>
      <c r="N135" s="115"/>
      <c r="O135" s="115"/>
      <c r="P135" s="115"/>
      <c r="Q135" s="114"/>
      <c r="S135" s="94"/>
      <c r="T135" s="115"/>
      <c r="U135" s="115"/>
      <c r="V135" s="115"/>
      <c r="W135" s="115"/>
      <c r="X135" s="115"/>
      <c r="Y135" s="114"/>
      <c r="AA135" s="94"/>
      <c r="AB135" s="115"/>
      <c r="AC135" s="115"/>
      <c r="AD135" s="115"/>
      <c r="AE135" s="115"/>
      <c r="AF135" s="115"/>
      <c r="AG135" s="116"/>
      <c r="AH135" s="116"/>
      <c r="AI135" s="116"/>
      <c r="AJ135" s="116"/>
    </row>
    <row r="136" spans="2:36" x14ac:dyDescent="0.6">
      <c r="B136" s="103" t="s">
        <v>257</v>
      </c>
      <c r="C136" s="115"/>
      <c r="D136" s="115"/>
      <c r="E136" s="115"/>
      <c r="F136" s="115"/>
      <c r="G136" s="115"/>
      <c r="H136" s="118">
        <f>ROUND(H72*$G$110,2)</f>
        <v>2.14</v>
      </c>
      <c r="I136" s="114"/>
      <c r="J136" s="104"/>
    </row>
    <row r="137" spans="2:36" x14ac:dyDescent="0.6">
      <c r="B137" s="103"/>
      <c r="C137" s="115"/>
      <c r="D137" s="115"/>
      <c r="E137" s="58"/>
      <c r="F137" s="115"/>
      <c r="G137" s="115"/>
      <c r="H137" s="114"/>
      <c r="I137" s="114"/>
      <c r="J137" s="104"/>
    </row>
    <row r="138" spans="2:36" x14ac:dyDescent="0.6">
      <c r="B138" s="103"/>
      <c r="E138" s="2"/>
      <c r="I138" s="101"/>
      <c r="J138" s="104"/>
    </row>
    <row r="139" spans="2:36" x14ac:dyDescent="0.6">
      <c r="B139" s="16" t="s">
        <v>360</v>
      </c>
      <c r="D139" t="s">
        <v>259</v>
      </c>
      <c r="E139" s="57">
        <v>6.6250000000000003E-2</v>
      </c>
      <c r="J139" s="104"/>
    </row>
    <row r="140" spans="2:36" x14ac:dyDescent="0.6">
      <c r="E140" s="2"/>
      <c r="J140" s="104"/>
    </row>
    <row r="141" spans="2:36" x14ac:dyDescent="0.6">
      <c r="C141" s="12" t="s">
        <v>7</v>
      </c>
      <c r="D141" s="12" t="s">
        <v>8</v>
      </c>
      <c r="E141" s="12" t="s">
        <v>9</v>
      </c>
      <c r="F141" s="12" t="s">
        <v>10</v>
      </c>
      <c r="G141" s="12" t="s">
        <v>11</v>
      </c>
      <c r="H141" s="12" t="s">
        <v>12</v>
      </c>
      <c r="I141" s="12" t="str">
        <f>'BGS Cost &amp; Bid Factors'!I$24</f>
        <v>SC1 TOD</v>
      </c>
    </row>
    <row r="142" spans="2:36" x14ac:dyDescent="0.6">
      <c r="B142" s="56" t="s">
        <v>69</v>
      </c>
      <c r="E142" s="2"/>
      <c r="I142" s="104"/>
    </row>
    <row r="143" spans="2:36" x14ac:dyDescent="0.6">
      <c r="B143" s="100" t="s">
        <v>254</v>
      </c>
      <c r="C143" s="100"/>
      <c r="E143" s="101">
        <f>ROUND(E121*(1+$E$139),3)</f>
        <v>10.022</v>
      </c>
      <c r="F143" s="101">
        <f>ROUND(F121*(1+$E$139),3)</f>
        <v>8.5909999999999993</v>
      </c>
      <c r="G143" s="101">
        <f>ROUND(G121*(1+$E$139),3)</f>
        <v>8.56</v>
      </c>
      <c r="H143" s="101">
        <f>ROUND(H121*(1+$E$139),3)</f>
        <v>9.5730000000000004</v>
      </c>
      <c r="I143" s="104"/>
    </row>
    <row r="144" spans="2:36" x14ac:dyDescent="0.6">
      <c r="B144" s="100" t="s">
        <v>255</v>
      </c>
      <c r="D144" s="101">
        <f>ROUND(D122*(1+$E$139),3)</f>
        <v>11.677</v>
      </c>
      <c r="I144" s="101">
        <f>ROUND(I122*(1+$E$139),3)</f>
        <v>14.760999999999999</v>
      </c>
    </row>
    <row r="145" spans="2:10" x14ac:dyDescent="0.6">
      <c r="B145" s="100" t="s">
        <v>256</v>
      </c>
      <c r="D145" s="101">
        <f>ROUND(D123*(1+$E$139),3)</f>
        <v>8.2989999999999995</v>
      </c>
      <c r="I145" s="101">
        <f>ROUND(I123*(1+$E$139),3)</f>
        <v>8.6809999999999992</v>
      </c>
    </row>
    <row r="146" spans="2:10" x14ac:dyDescent="0.6">
      <c r="B146" s="13" t="s">
        <v>41</v>
      </c>
      <c r="C146" s="101">
        <f>ROUND(C124*(1+$E$139),3)</f>
        <v>6.1420000000000003</v>
      </c>
      <c r="D146" s="23"/>
      <c r="I146" s="104"/>
    </row>
    <row r="147" spans="2:10" x14ac:dyDescent="0.6">
      <c r="B147" s="14" t="s">
        <v>42</v>
      </c>
      <c r="C147" s="101">
        <f>ROUND(C125*(1+$E$139),3)</f>
        <v>13.884</v>
      </c>
      <c r="D147" s="23"/>
      <c r="I147" s="104"/>
    </row>
    <row r="148" spans="2:10" x14ac:dyDescent="0.6">
      <c r="B148" s="23"/>
      <c r="C148" s="23"/>
      <c r="D148" s="23"/>
      <c r="I148" s="104"/>
    </row>
    <row r="149" spans="2:10" x14ac:dyDescent="0.6">
      <c r="I149" s="104"/>
    </row>
    <row r="150" spans="2:10" x14ac:dyDescent="0.6">
      <c r="B150" s="103" t="s">
        <v>257</v>
      </c>
      <c r="H150" s="119">
        <f>ROUND(H128*(1+$E$139),2)</f>
        <v>2.15</v>
      </c>
      <c r="I150" s="104"/>
    </row>
    <row r="151" spans="2:10" x14ac:dyDescent="0.6">
      <c r="B151" s="103"/>
      <c r="H151" s="119"/>
      <c r="I151" s="104"/>
      <c r="J151" s="98"/>
    </row>
    <row r="152" spans="2:10" x14ac:dyDescent="0.6">
      <c r="I152" s="104"/>
    </row>
    <row r="153" spans="2:10" x14ac:dyDescent="0.6">
      <c r="B153" s="56" t="s">
        <v>62</v>
      </c>
      <c r="I153" s="104"/>
    </row>
    <row r="154" spans="2:10" x14ac:dyDescent="0.6">
      <c r="B154" s="100" t="s">
        <v>254</v>
      </c>
      <c r="C154" s="101">
        <f>ROUND(C132*(1+$E$139),3)</f>
        <v>10.675000000000001</v>
      </c>
      <c r="E154" s="101">
        <f>ROUND(E132*(1+$E$139),3)</f>
        <v>9.8309999999999995</v>
      </c>
      <c r="F154" s="101">
        <f>ROUND(F132*(1+$E$139),3)</f>
        <v>8.9580000000000002</v>
      </c>
      <c r="G154" s="101">
        <f>ROUND(G132*(1+$E$139),3)</f>
        <v>8.92</v>
      </c>
      <c r="H154" s="101">
        <f>ROUND(H132*(1+$E$139),3)</f>
        <v>9.3290000000000006</v>
      </c>
      <c r="I154" s="104"/>
    </row>
    <row r="155" spans="2:10" x14ac:dyDescent="0.6">
      <c r="B155" s="100" t="s">
        <v>255</v>
      </c>
      <c r="D155" s="101">
        <f>ROUND(D133*(1+$E$139),3)</f>
        <v>10.494</v>
      </c>
      <c r="I155" s="101">
        <f>ROUND(I133*(1+$E$139),3)</f>
        <v>15.999000000000001</v>
      </c>
    </row>
    <row r="156" spans="2:10" x14ac:dyDescent="0.6">
      <c r="B156" s="100" t="s">
        <v>256</v>
      </c>
      <c r="D156" s="101">
        <f>ROUND(D134*(1+$E$139),3)</f>
        <v>8.7970000000000006</v>
      </c>
      <c r="I156" s="101">
        <f>ROUND(I134*(1+$E$139),3)</f>
        <v>8.9670000000000005</v>
      </c>
    </row>
    <row r="157" spans="2:10" x14ac:dyDescent="0.6">
      <c r="I157" s="104"/>
    </row>
    <row r="158" spans="2:10" x14ac:dyDescent="0.6">
      <c r="B158" s="103" t="s">
        <v>257</v>
      </c>
      <c r="H158" s="119">
        <f>ROUND(H136*(1+$E$139),2)</f>
        <v>2.2799999999999998</v>
      </c>
      <c r="I158" s="104"/>
    </row>
    <row r="159" spans="2:10" x14ac:dyDescent="0.6">
      <c r="B159" s="103"/>
      <c r="H159" s="119"/>
      <c r="I159" s="104"/>
    </row>
    <row r="160" spans="2:10" x14ac:dyDescent="0.6">
      <c r="B160" s="103"/>
      <c r="H160" s="101"/>
      <c r="I160" s="104"/>
    </row>
    <row r="161" spans="1:12" x14ac:dyDescent="0.6">
      <c r="B161" s="103"/>
      <c r="H161" s="104"/>
      <c r="I161" s="104"/>
    </row>
    <row r="162" spans="1:12" x14ac:dyDescent="0.6">
      <c r="A162" s="49" t="s">
        <v>361</v>
      </c>
      <c r="B162" s="49" t="s">
        <v>362</v>
      </c>
      <c r="H162" s="104"/>
      <c r="I162" s="104"/>
    </row>
    <row r="163" spans="1:12" x14ac:dyDescent="0.6">
      <c r="B163" s="49"/>
      <c r="H163" s="104"/>
      <c r="I163" s="104"/>
    </row>
    <row r="164" spans="1:12" x14ac:dyDescent="0.6">
      <c r="B164" s="49"/>
      <c r="H164" s="104"/>
      <c r="I164" s="104"/>
    </row>
    <row r="165" spans="1:12" x14ac:dyDescent="0.6">
      <c r="B165" s="24" t="s">
        <v>275</v>
      </c>
      <c r="H165" s="104"/>
      <c r="I165" s="104"/>
    </row>
    <row r="166" spans="1:12" ht="13.75" thickBot="1" x14ac:dyDescent="0.75">
      <c r="B166" s="24"/>
      <c r="H166" s="104"/>
      <c r="I166" s="104"/>
    </row>
    <row r="167" spans="1:12" x14ac:dyDescent="0.6">
      <c r="C167" s="12" t="str">
        <f>'BGS Cost &amp; Bid Factors'!C$6</f>
        <v>SC1</v>
      </c>
      <c r="D167" s="12" t="str">
        <f>'BGS Cost &amp; Bid Factors'!D$6</f>
        <v>SC3</v>
      </c>
      <c r="E167" s="12" t="str">
        <f>'BGS Cost &amp; Bid Factors'!E$6</f>
        <v>SC2 ND</v>
      </c>
      <c r="F167" s="12" t="str">
        <f>'BGS Cost &amp; Bid Factors'!F$6</f>
        <v>SC4</v>
      </c>
      <c r="G167" s="12" t="str">
        <f>'BGS Cost &amp; Bid Factors'!G$6</f>
        <v>SC6</v>
      </c>
      <c r="H167" s="12" t="str">
        <f>'BGS Cost &amp; Bid Factors'!H$6</f>
        <v>SC2 Dem</v>
      </c>
      <c r="I167" s="12"/>
      <c r="J167" s="104"/>
      <c r="K167" s="120" t="s">
        <v>143</v>
      </c>
      <c r="L167" s="121"/>
    </row>
    <row r="168" spans="1:12" x14ac:dyDescent="0.6">
      <c r="B168" s="24"/>
      <c r="J168" s="104"/>
      <c r="K168" s="122"/>
      <c r="L168" s="123"/>
    </row>
    <row r="169" spans="1:12" x14ac:dyDescent="0.6">
      <c r="B169" s="105" t="s">
        <v>69</v>
      </c>
      <c r="C169" s="106">
        <f>ROUND((C121*'BGS Cost &amp; Bid Factors'!L$48)/100,0)</f>
        <v>30395</v>
      </c>
      <c r="D169" s="107">
        <f>ROUND((D122*'BGS Cost &amp; Bid Factors'!M$49+D123*'BGS Cost &amp; Bid Factors'!M$50)/100,0)</f>
        <v>27</v>
      </c>
      <c r="E169" s="106">
        <f>ROUND((E121*'BGS Cost &amp; Bid Factors'!N$48)/100,0)</f>
        <v>378</v>
      </c>
      <c r="F169" s="106">
        <f>ROUND((F121*'BGS Cost &amp; Bid Factors'!O$48)/100,0)</f>
        <v>144</v>
      </c>
      <c r="G169" s="106">
        <f>ROUND((G121*'BGS Cost &amp; Bid Factors'!P$48)/100,0)</f>
        <v>113</v>
      </c>
      <c r="H169" s="107">
        <f>ROUND(H121*'BGS Cost &amp; Bid Factors'!Q$48/100+(H128*($L$169/4*'BGS Cost &amp; Bid Factors'!H$144)+H129*($L$169/4*'BGS Cost &amp; Bid Factors'!H$144))/1000,0)</f>
        <v>11283</v>
      </c>
      <c r="I169" s="107"/>
      <c r="J169" s="104"/>
      <c r="K169" s="122" t="s">
        <v>69</v>
      </c>
      <c r="L169" s="124">
        <v>406855.5</v>
      </c>
    </row>
    <row r="170" spans="1:12" ht="13.75" thickBot="1" x14ac:dyDescent="0.75">
      <c r="B170" s="105" t="s">
        <v>62</v>
      </c>
      <c r="C170" s="60">
        <f>ROUND(C132*'BGS Cost &amp; Bid Factors'!L$44/100,0)</f>
        <v>38863</v>
      </c>
      <c r="D170" s="61">
        <f>ROUND((D133*'BGS Cost &amp; Bid Factors'!M$45+D134*'BGS Cost &amp; Bid Factors'!M$46)/100,0)</f>
        <v>53</v>
      </c>
      <c r="E170" s="60">
        <f>ROUND(E132*'BGS Cost &amp; Bid Factors'!N$44/100,0)</f>
        <v>944</v>
      </c>
      <c r="F170" s="60">
        <f>ROUND(F132*'BGS Cost &amp; Bid Factors'!O$44/100,0)</f>
        <v>384</v>
      </c>
      <c r="G170" s="60">
        <f>ROUND(G132*'BGS Cost &amp; Bid Factors'!P$44/100,0)</f>
        <v>294</v>
      </c>
      <c r="H170" s="61">
        <f>ROUND(H132*'BGS Cost &amp; Bid Factors'!Q$44/100+(H136*($L$170/8*'BGS Cost &amp; Bid Factors'!H$145)+H137*($L$170/8*'BGS Cost &amp; Bid Factors'!H$145))/1000,0)</f>
        <v>17976</v>
      </c>
      <c r="I170" s="61"/>
      <c r="J170" s="104"/>
      <c r="K170" s="125" t="s">
        <v>62</v>
      </c>
      <c r="L170" s="126">
        <v>690443.6</v>
      </c>
    </row>
    <row r="171" spans="1:12" x14ac:dyDescent="0.6">
      <c r="B171" s="105" t="s">
        <v>36</v>
      </c>
      <c r="C171" s="108">
        <f t="shared" ref="C171:H171" si="1">+C170+C169</f>
        <v>69258</v>
      </c>
      <c r="D171" s="108">
        <f t="shared" si="1"/>
        <v>80</v>
      </c>
      <c r="E171" s="108">
        <f t="shared" si="1"/>
        <v>1322</v>
      </c>
      <c r="F171" s="108">
        <f t="shared" si="1"/>
        <v>528</v>
      </c>
      <c r="G171" s="108">
        <f t="shared" si="1"/>
        <v>407</v>
      </c>
      <c r="H171" s="108">
        <f t="shared" si="1"/>
        <v>29259</v>
      </c>
      <c r="I171" s="104"/>
    </row>
    <row r="172" spans="1:12" x14ac:dyDescent="0.6">
      <c r="B172" s="105"/>
      <c r="C172" s="108"/>
      <c r="D172" s="108"/>
      <c r="E172" s="108"/>
      <c r="F172" s="108"/>
      <c r="G172" s="108"/>
      <c r="H172" s="108"/>
      <c r="I172" s="104"/>
    </row>
    <row r="173" spans="1:12" x14ac:dyDescent="0.6">
      <c r="B173" s="105" t="s">
        <v>36</v>
      </c>
      <c r="C173" s="108"/>
      <c r="D173" s="108"/>
      <c r="E173" s="108"/>
      <c r="F173" s="108"/>
      <c r="G173" s="108"/>
      <c r="H173" s="108"/>
      <c r="I173" s="104"/>
    </row>
    <row r="174" spans="1:12" x14ac:dyDescent="0.6">
      <c r="B174" s="105" t="s">
        <v>69</v>
      </c>
      <c r="C174" s="108">
        <f>SUM(C169:H169)</f>
        <v>42340</v>
      </c>
      <c r="D174" s="108"/>
      <c r="E174" s="108"/>
      <c r="F174" s="108"/>
      <c r="G174" s="108"/>
      <c r="H174" s="108"/>
      <c r="I174" s="104"/>
    </row>
    <row r="175" spans="1:12" x14ac:dyDescent="0.6">
      <c r="B175" s="105" t="s">
        <v>62</v>
      </c>
      <c r="C175" s="62">
        <f>SUM(C170:H170)</f>
        <v>58514</v>
      </c>
      <c r="D175" s="33"/>
      <c r="I175" s="104"/>
    </row>
    <row r="176" spans="1:12" x14ac:dyDescent="0.6">
      <c r="B176" s="105" t="s">
        <v>36</v>
      </c>
      <c r="C176" s="108">
        <f>+C175+C174</f>
        <v>100854</v>
      </c>
      <c r="D176" s="33"/>
      <c r="H176" s="107"/>
      <c r="I176" s="104"/>
    </row>
    <row r="177" spans="2:10" x14ac:dyDescent="0.6">
      <c r="B177" s="105"/>
      <c r="C177" s="108"/>
      <c r="E177" s="33"/>
      <c r="I177" s="61"/>
      <c r="J177" s="104"/>
    </row>
    <row r="178" spans="2:10" x14ac:dyDescent="0.6">
      <c r="B178" s="56" t="s">
        <v>363</v>
      </c>
      <c r="C178" s="8"/>
      <c r="D178" s="8"/>
      <c r="E178" s="8"/>
      <c r="F178" s="8"/>
      <c r="G178" s="8"/>
      <c r="H178" s="8"/>
      <c r="I178" s="108"/>
      <c r="J178" s="104"/>
    </row>
    <row r="179" spans="2:10" x14ac:dyDescent="0.6">
      <c r="C179" s="8"/>
      <c r="D179" s="8"/>
      <c r="E179" s="8"/>
      <c r="F179" s="8"/>
    </row>
    <row r="180" spans="2:10" x14ac:dyDescent="0.6">
      <c r="B180" t="s">
        <v>347</v>
      </c>
      <c r="C180" s="33"/>
      <c r="D180" s="33"/>
      <c r="E180" s="33"/>
      <c r="F180" s="8"/>
    </row>
    <row r="181" spans="2:10" ht="15.25" x14ac:dyDescent="1.05">
      <c r="C181" s="109" t="s">
        <v>36</v>
      </c>
      <c r="D181" s="109" t="s">
        <v>328</v>
      </c>
      <c r="E181" s="109" t="s">
        <v>348</v>
      </c>
      <c r="F181" s="8"/>
      <c r="G181" s="127"/>
    </row>
    <row r="182" spans="2:10" x14ac:dyDescent="0.6">
      <c r="B182" s="105" t="s">
        <v>69</v>
      </c>
      <c r="C182" s="108">
        <f>'Weighted Avg Price Calc'!G$29/1000</f>
        <v>37622.389000000003</v>
      </c>
      <c r="D182" s="111">
        <v>0</v>
      </c>
      <c r="E182" s="108">
        <f>C182-D182</f>
        <v>37622.389000000003</v>
      </c>
      <c r="F182" s="8"/>
      <c r="G182" s="127">
        <f>ROUND('BGS Cost &amp; Bid Factors'!$C$147*SUM('BGS Cost &amp; Bid Factors'!$C$141:$H$141)/12*'BGS Cost &amp; Bid Factors'!H$144/1000*'BGS Cost &amp; Bid Factors'!D447,0)</f>
        <v>5480</v>
      </c>
    </row>
    <row r="183" spans="2:10" ht="15.25" x14ac:dyDescent="1.05">
      <c r="B183" s="105" t="s">
        <v>62</v>
      </c>
      <c r="C183" s="112">
        <f>'Weighted Avg Price Calc'!G$30/1000</f>
        <v>51991.12</v>
      </c>
      <c r="D183" s="112">
        <v>0</v>
      </c>
      <c r="E183" s="112">
        <f>C183-D183</f>
        <v>51991.12</v>
      </c>
      <c r="F183" s="8"/>
      <c r="G183" s="127">
        <f>ROUND('BGS Cost &amp; Bid Factors'!$C$147*SUM('BGS Cost &amp; Bid Factors'!$C$141:$H$141)/12*'BGS Cost &amp; Bid Factors'!H$145/1000*'BGS Cost &amp; Bid Factors'!D447,0)</f>
        <v>10961</v>
      </c>
    </row>
    <row r="184" spans="2:10" x14ac:dyDescent="0.6">
      <c r="B184" s="105" t="s">
        <v>36</v>
      </c>
      <c r="C184" s="18">
        <f>+C183+C182</f>
        <v>89613.509000000005</v>
      </c>
      <c r="D184" s="108">
        <f>D182+D183</f>
        <v>0</v>
      </c>
      <c r="E184" s="108">
        <f>E182+E183</f>
        <v>89613.509000000005</v>
      </c>
      <c r="F184" s="8"/>
      <c r="G184" s="127"/>
    </row>
    <row r="185" spans="2:10" x14ac:dyDescent="0.6">
      <c r="C185" s="33"/>
      <c r="D185" s="33"/>
      <c r="E185" s="33"/>
      <c r="F185" s="8"/>
      <c r="G185" s="127"/>
    </row>
    <row r="186" spans="2:10" x14ac:dyDescent="0.6">
      <c r="B186" t="s">
        <v>349</v>
      </c>
      <c r="C186" s="33"/>
      <c r="D186" s="33"/>
      <c r="E186" s="33"/>
      <c r="F186" s="8"/>
    </row>
    <row r="187" spans="2:10" ht="15.25" x14ac:dyDescent="1.05">
      <c r="C187" s="109" t="s">
        <v>36</v>
      </c>
      <c r="D187" s="109" t="s">
        <v>328</v>
      </c>
      <c r="E187" s="109" t="s">
        <v>348</v>
      </c>
      <c r="F187" s="8"/>
    </row>
    <row r="188" spans="2:10" x14ac:dyDescent="0.6">
      <c r="B188" s="105" t="s">
        <v>69</v>
      </c>
      <c r="C188" s="108">
        <f>ROUND($E$251*1000*'Weighted Avg Price Calc'!E42/100/1000,0)</f>
        <v>4718</v>
      </c>
      <c r="D188" s="108">
        <v>0</v>
      </c>
      <c r="E188" s="108">
        <f>C188-D188</f>
        <v>4718</v>
      </c>
      <c r="F188" s="8"/>
    </row>
    <row r="189" spans="2:10" ht="15.25" x14ac:dyDescent="1.05">
      <c r="B189" s="105" t="s">
        <v>62</v>
      </c>
      <c r="C189" s="112">
        <f>ROUND($E$252*1000*'Weighted Avg Price Calc'!E42/100/1000,0)</f>
        <v>6521</v>
      </c>
      <c r="D189" s="112">
        <v>0</v>
      </c>
      <c r="E189" s="112">
        <f>C189-D189</f>
        <v>6521</v>
      </c>
      <c r="F189" s="8"/>
    </row>
    <row r="190" spans="2:10" x14ac:dyDescent="0.6">
      <c r="B190" s="105" t="s">
        <v>36</v>
      </c>
      <c r="C190" s="18">
        <f>+C189+C188</f>
        <v>11239</v>
      </c>
      <c r="D190" s="108">
        <f>D188+D189</f>
        <v>0</v>
      </c>
      <c r="E190" s="108">
        <f>E188+E189</f>
        <v>11239</v>
      </c>
      <c r="F190" s="8"/>
    </row>
    <row r="191" spans="2:10" x14ac:dyDescent="0.6">
      <c r="C191" s="33"/>
      <c r="D191" s="33"/>
      <c r="E191" s="33"/>
      <c r="F191" s="8"/>
    </row>
    <row r="192" spans="2:10" x14ac:dyDescent="0.6">
      <c r="B192" t="s">
        <v>350</v>
      </c>
      <c r="C192" s="8"/>
      <c r="D192" s="8"/>
      <c r="E192" s="8"/>
      <c r="F192" s="8"/>
    </row>
    <row r="193" spans="1:10" ht="15.25" x14ac:dyDescent="1.05">
      <c r="C193" s="109" t="s">
        <v>36</v>
      </c>
      <c r="D193" s="109" t="s">
        <v>328</v>
      </c>
      <c r="E193" s="109" t="s">
        <v>348</v>
      </c>
      <c r="F193" s="33"/>
    </row>
    <row r="194" spans="1:10" x14ac:dyDescent="0.6">
      <c r="B194" s="105" t="s">
        <v>69</v>
      </c>
      <c r="C194" s="108">
        <f>C182+C188</f>
        <v>42340.389000000003</v>
      </c>
      <c r="D194" s="108">
        <f>D182+D188</f>
        <v>0</v>
      </c>
      <c r="E194" s="108">
        <f>C194-D194</f>
        <v>42340.389000000003</v>
      </c>
    </row>
    <row r="195" spans="1:10" ht="15.25" x14ac:dyDescent="1.05">
      <c r="B195" s="105" t="s">
        <v>62</v>
      </c>
      <c r="C195" s="112">
        <f>C183+C189</f>
        <v>58512.12</v>
      </c>
      <c r="D195" s="112">
        <f>D183+D189</f>
        <v>0</v>
      </c>
      <c r="E195" s="112">
        <f>C195-D195</f>
        <v>58512.12</v>
      </c>
      <c r="J195" s="104"/>
    </row>
    <row r="196" spans="1:10" x14ac:dyDescent="0.6">
      <c r="B196" s="105" t="s">
        <v>36</v>
      </c>
      <c r="C196" s="18">
        <f>+C195+C194</f>
        <v>100852.50900000001</v>
      </c>
      <c r="D196" s="108">
        <f>D194+D195</f>
        <v>0</v>
      </c>
      <c r="E196" s="108">
        <f>E194+E195</f>
        <v>100852.50900000001</v>
      </c>
      <c r="J196" s="104"/>
    </row>
    <row r="197" spans="1:10" x14ac:dyDescent="0.6">
      <c r="C197" s="33"/>
      <c r="D197" s="63"/>
      <c r="E197" s="33"/>
      <c r="F197" s="55"/>
      <c r="J197" s="104"/>
    </row>
    <row r="198" spans="1:10" x14ac:dyDescent="0.6">
      <c r="B198" t="s">
        <v>279</v>
      </c>
      <c r="G198" s="103"/>
      <c r="J198" s="104"/>
    </row>
    <row r="199" spans="1:10" x14ac:dyDescent="0.6">
      <c r="C199" s="103" t="s">
        <v>323</v>
      </c>
      <c r="D199" s="103" t="s">
        <v>323</v>
      </c>
      <c r="E199" s="103"/>
      <c r="G199" s="103"/>
      <c r="J199" s="104"/>
    </row>
    <row r="200" spans="1:10" x14ac:dyDescent="0.6">
      <c r="B200" s="103"/>
      <c r="C200" s="51" t="s">
        <v>353</v>
      </c>
      <c r="D200" s="51" t="s">
        <v>354</v>
      </c>
      <c r="E200" s="51" t="s">
        <v>355</v>
      </c>
      <c r="G200" s="51"/>
      <c r="I200" s="104"/>
      <c r="J200" s="104"/>
    </row>
    <row r="201" spans="1:10" x14ac:dyDescent="0.6">
      <c r="B201" s="105" t="s">
        <v>69</v>
      </c>
      <c r="C201" s="108">
        <f>C174</f>
        <v>42340</v>
      </c>
      <c r="D201" s="108">
        <f>E194</f>
        <v>42340.389000000003</v>
      </c>
      <c r="E201" s="108">
        <f>D201-C201</f>
        <v>0.38900000000285218</v>
      </c>
      <c r="I201" s="104"/>
      <c r="J201" s="104"/>
    </row>
    <row r="202" spans="1:10" x14ac:dyDescent="0.6">
      <c r="B202" s="105" t="s">
        <v>62</v>
      </c>
      <c r="C202" s="62">
        <f>C175</f>
        <v>58514</v>
      </c>
      <c r="D202" s="62">
        <f>E195</f>
        <v>58512.12</v>
      </c>
      <c r="E202" s="62">
        <f>D202-C202</f>
        <v>-1.8799999999973807</v>
      </c>
      <c r="I202" s="104"/>
      <c r="J202" s="104"/>
    </row>
    <row r="203" spans="1:10" x14ac:dyDescent="0.6">
      <c r="B203" s="105" t="s">
        <v>36</v>
      </c>
      <c r="C203" s="108">
        <f>+C202+C201</f>
        <v>100854</v>
      </c>
      <c r="D203" s="108">
        <f>+D202+D201</f>
        <v>100852.50900000001</v>
      </c>
      <c r="E203" s="108">
        <f>+E202+E201</f>
        <v>-1.4909999999945285</v>
      </c>
      <c r="I203" s="104"/>
      <c r="J203" s="104"/>
    </row>
    <row r="204" spans="1:10" x14ac:dyDescent="0.6">
      <c r="B204" s="103"/>
      <c r="I204" s="104"/>
      <c r="J204" s="104"/>
    </row>
    <row r="205" spans="1:10" x14ac:dyDescent="0.6">
      <c r="A205" s="15"/>
      <c r="B205" s="5" t="s">
        <v>261</v>
      </c>
      <c r="J205" s="104"/>
    </row>
    <row r="206" spans="1:10" x14ac:dyDescent="0.6">
      <c r="A206" s="15"/>
      <c r="B206" s="5"/>
      <c r="J206" s="104"/>
    </row>
    <row r="207" spans="1:10" x14ac:dyDescent="0.6">
      <c r="A207" s="15"/>
      <c r="B207" s="24" t="s">
        <v>262</v>
      </c>
      <c r="J207" s="104"/>
    </row>
    <row r="208" spans="1:10" x14ac:dyDescent="0.6">
      <c r="A208" s="15"/>
      <c r="B208" s="1"/>
      <c r="C208" s="8" t="str">
        <f t="shared" ref="C208" si="2">C55</f>
        <v>SC1</v>
      </c>
      <c r="D208" s="8" t="str">
        <f>D55</f>
        <v>SC3</v>
      </c>
      <c r="E208" s="8" t="str">
        <f>E55</f>
        <v>SC2 ND</v>
      </c>
      <c r="F208" s="8" t="str">
        <f>F55</f>
        <v>SC4</v>
      </c>
      <c r="G208" s="8" t="str">
        <f>G55</f>
        <v>SC6</v>
      </c>
      <c r="H208" s="8" t="str">
        <f>H55</f>
        <v>SC2 Dem</v>
      </c>
      <c r="I208" s="8" t="str">
        <f t="shared" ref="I208" si="3">I55</f>
        <v>SC1 TOD</v>
      </c>
      <c r="J208" s="8"/>
    </row>
    <row r="209" spans="1:9" x14ac:dyDescent="0.6">
      <c r="A209" s="15"/>
      <c r="B209" s="1" t="s">
        <v>263</v>
      </c>
      <c r="C209" s="128">
        <f>'BGS Cost &amp; Bid Factors'!C538</f>
        <v>1.6970000000000001</v>
      </c>
      <c r="D209" s="128">
        <f>'BGS Cost &amp; Bid Factors'!D538</f>
        <v>1.6970000000000001</v>
      </c>
      <c r="E209" s="128">
        <f>'BGS Cost &amp; Bid Factors'!E538</f>
        <v>0.54300000000000004</v>
      </c>
      <c r="F209" s="128">
        <f>'BGS Cost &amp; Bid Factors'!F538</f>
        <v>1.365</v>
      </c>
      <c r="G209" s="128">
        <f>'BGS Cost &amp; Bid Factors'!G538</f>
        <v>1.365</v>
      </c>
      <c r="H209" s="128">
        <f>'BGS Cost &amp; Bid Factors'!H538</f>
        <v>0.54300000000000004</v>
      </c>
      <c r="I209" s="104">
        <f>C209</f>
        <v>1.6970000000000001</v>
      </c>
    </row>
    <row r="210" spans="1:9" x14ac:dyDescent="0.6">
      <c r="A210" s="15"/>
      <c r="B210" s="1" t="s">
        <v>364</v>
      </c>
      <c r="H210" s="129">
        <f>'BGS Cost &amp; Bid Factors'!H539</f>
        <v>2.62</v>
      </c>
      <c r="I210" s="104"/>
    </row>
    <row r="211" spans="1:9" x14ac:dyDescent="0.6">
      <c r="H211" s="129">
        <f>'BGS Cost &amp; Bid Factors'!H540</f>
        <v>2.62</v>
      </c>
      <c r="I211" s="104"/>
    </row>
    <row r="212" spans="1:9" x14ac:dyDescent="0.6">
      <c r="I212" s="104"/>
    </row>
    <row r="213" spans="1:9" x14ac:dyDescent="0.6">
      <c r="I213" s="104"/>
    </row>
    <row r="214" spans="1:9" x14ac:dyDescent="0.6">
      <c r="B214" s="24" t="s">
        <v>266</v>
      </c>
      <c r="I214" s="104"/>
    </row>
    <row r="215" spans="1:9" x14ac:dyDescent="0.6">
      <c r="I215" s="104"/>
    </row>
    <row r="216" spans="1:9" x14ac:dyDescent="0.6">
      <c r="I216" s="104"/>
    </row>
    <row r="217" spans="1:9" x14ac:dyDescent="0.6">
      <c r="B217" s="56" t="s">
        <v>69</v>
      </c>
      <c r="I217" s="104"/>
    </row>
    <row r="218" spans="1:9" x14ac:dyDescent="0.6">
      <c r="B218" s="100" t="s">
        <v>254</v>
      </c>
      <c r="C218" s="102">
        <f t="shared" ref="C218:I225" si="4">IF(C121&gt;0,C121+C$209,"")</f>
        <v>11.597999999999999</v>
      </c>
      <c r="D218" s="102" t="str">
        <f t="shared" si="4"/>
        <v/>
      </c>
      <c r="E218" s="102">
        <f t="shared" si="4"/>
        <v>9.9419999999999984</v>
      </c>
      <c r="F218" s="102">
        <f t="shared" si="4"/>
        <v>9.4220000000000006</v>
      </c>
      <c r="G218" s="102">
        <f t="shared" si="4"/>
        <v>9.3930000000000007</v>
      </c>
      <c r="H218" s="102">
        <f t="shared" si="4"/>
        <v>9.520999999999999</v>
      </c>
      <c r="I218" s="104"/>
    </row>
    <row r="219" spans="1:9" x14ac:dyDescent="0.6">
      <c r="B219" s="100" t="s">
        <v>255</v>
      </c>
      <c r="C219" s="102" t="str">
        <f t="shared" si="4"/>
        <v/>
      </c>
      <c r="D219" s="102">
        <f t="shared" si="4"/>
        <v>12.648</v>
      </c>
      <c r="E219" s="102" t="str">
        <f t="shared" si="4"/>
        <v/>
      </c>
      <c r="F219" s="102" t="str">
        <f t="shared" si="4"/>
        <v/>
      </c>
      <c r="G219" s="102" t="str">
        <f t="shared" si="4"/>
        <v/>
      </c>
      <c r="H219" s="102" t="str">
        <f t="shared" si="4"/>
        <v/>
      </c>
      <c r="I219" s="102">
        <f t="shared" si="4"/>
        <v>15.541</v>
      </c>
    </row>
    <row r="220" spans="1:9" x14ac:dyDescent="0.6">
      <c r="B220" s="100" t="s">
        <v>256</v>
      </c>
      <c r="C220" s="102" t="str">
        <f t="shared" si="4"/>
        <v/>
      </c>
      <c r="D220" s="102">
        <f t="shared" si="4"/>
        <v>9.48</v>
      </c>
      <c r="E220" s="102" t="str">
        <f t="shared" si="4"/>
        <v/>
      </c>
      <c r="F220" s="102" t="str">
        <f t="shared" si="4"/>
        <v/>
      </c>
      <c r="G220" s="102" t="str">
        <f t="shared" si="4"/>
        <v/>
      </c>
      <c r="H220" s="102" t="str">
        <f t="shared" si="4"/>
        <v/>
      </c>
      <c r="I220" s="102">
        <f t="shared" si="4"/>
        <v>9.8389999999999986</v>
      </c>
    </row>
    <row r="221" spans="1:9" x14ac:dyDescent="0.6">
      <c r="B221" s="103" t="s">
        <v>41</v>
      </c>
      <c r="C221" s="102">
        <f t="shared" si="4"/>
        <v>7.4569999999999999</v>
      </c>
      <c r="D221" s="102" t="str">
        <f t="shared" si="4"/>
        <v/>
      </c>
      <c r="E221" s="102" t="str">
        <f t="shared" si="4"/>
        <v/>
      </c>
      <c r="F221" s="102" t="str">
        <f t="shared" si="4"/>
        <v/>
      </c>
      <c r="G221" s="102" t="str">
        <f t="shared" si="4"/>
        <v/>
      </c>
      <c r="H221" s="102" t="str">
        <f t="shared" si="4"/>
        <v/>
      </c>
      <c r="I221" s="104"/>
    </row>
    <row r="222" spans="1:9" x14ac:dyDescent="0.6">
      <c r="B222" s="100" t="s">
        <v>42</v>
      </c>
      <c r="C222" s="102">
        <f t="shared" si="4"/>
        <v>14.718</v>
      </c>
      <c r="D222" s="102" t="str">
        <f t="shared" si="4"/>
        <v/>
      </c>
      <c r="E222" s="102" t="str">
        <f t="shared" si="4"/>
        <v/>
      </c>
      <c r="F222" s="102" t="str">
        <f t="shared" si="4"/>
        <v/>
      </c>
      <c r="G222" s="102" t="str">
        <f t="shared" si="4"/>
        <v/>
      </c>
      <c r="H222" s="102" t="str">
        <f t="shared" si="4"/>
        <v/>
      </c>
      <c r="I222" s="104"/>
    </row>
    <row r="223" spans="1:9" x14ac:dyDescent="0.6">
      <c r="B223" s="102"/>
      <c r="C223" s="102"/>
      <c r="D223" s="102" t="str">
        <f t="shared" si="4"/>
        <v/>
      </c>
      <c r="E223" s="102" t="str">
        <f t="shared" si="4"/>
        <v/>
      </c>
      <c r="F223" s="102" t="str">
        <f t="shared" si="4"/>
        <v/>
      </c>
      <c r="G223" s="102" t="str">
        <f t="shared" si="4"/>
        <v/>
      </c>
      <c r="H223" s="102" t="str">
        <f t="shared" si="4"/>
        <v/>
      </c>
      <c r="I223" s="104"/>
    </row>
    <row r="224" spans="1:9" x14ac:dyDescent="0.6">
      <c r="C224" s="102" t="str">
        <f t="shared" si="4"/>
        <v/>
      </c>
      <c r="D224" s="102" t="str">
        <f t="shared" si="4"/>
        <v/>
      </c>
      <c r="E224" s="102" t="str">
        <f t="shared" si="4"/>
        <v/>
      </c>
      <c r="F224" s="102" t="str">
        <f t="shared" si="4"/>
        <v/>
      </c>
      <c r="G224" s="102" t="str">
        <f t="shared" si="4"/>
        <v/>
      </c>
      <c r="H224" s="102" t="str">
        <f t="shared" si="4"/>
        <v/>
      </c>
      <c r="I224" s="104"/>
    </row>
    <row r="225" spans="1:22" x14ac:dyDescent="0.6">
      <c r="B225" s="103" t="s">
        <v>257</v>
      </c>
      <c r="C225" s="102" t="str">
        <f t="shared" si="4"/>
        <v/>
      </c>
      <c r="D225" s="102" t="str">
        <f>IF(D128&gt;0,D128+D$209,"")</f>
        <v/>
      </c>
      <c r="E225" s="102" t="str">
        <f>IF(E128&gt;0,E128+E$209,"")</f>
        <v/>
      </c>
      <c r="F225" s="102" t="str">
        <f>IF(F128&gt;0,F128+F$209,"")</f>
        <v/>
      </c>
      <c r="G225" s="102" t="str">
        <f>IF(G128&gt;0,G128+G$209,"")</f>
        <v/>
      </c>
      <c r="H225" s="98">
        <f>IF(H128&gt;0,H128+H$210,"")</f>
        <v>4.6400000000000006</v>
      </c>
      <c r="I225" s="104"/>
    </row>
    <row r="226" spans="1:22" x14ac:dyDescent="0.6">
      <c r="B226" s="103"/>
      <c r="H226" s="102" t="str">
        <f>IF(H129&gt;0,H129+H$210,"")</f>
        <v/>
      </c>
      <c r="I226" s="104"/>
    </row>
    <row r="227" spans="1:22" x14ac:dyDescent="0.6">
      <c r="B227" s="103"/>
      <c r="I227" s="104"/>
    </row>
    <row r="228" spans="1:22" x14ac:dyDescent="0.6">
      <c r="B228" s="56" t="s">
        <v>62</v>
      </c>
      <c r="I228" s="104"/>
    </row>
    <row r="229" spans="1:22" x14ac:dyDescent="0.6">
      <c r="B229" s="100" t="s">
        <v>254</v>
      </c>
      <c r="C229" s="102">
        <f t="shared" ref="C229:I233" si="5">IF(C132&gt;0,C132+C$209,"")</f>
        <v>11.709</v>
      </c>
      <c r="D229" s="102" t="str">
        <f t="shared" si="5"/>
        <v/>
      </c>
      <c r="E229" s="102">
        <f t="shared" si="5"/>
        <v>9.7629999999999999</v>
      </c>
      <c r="F229" s="102">
        <f t="shared" si="5"/>
        <v>9.766</v>
      </c>
      <c r="G229" s="102">
        <f t="shared" si="5"/>
        <v>9.7309999999999999</v>
      </c>
      <c r="H229" s="102">
        <f t="shared" si="5"/>
        <v>9.2919999999999998</v>
      </c>
      <c r="I229" s="104"/>
    </row>
    <row r="230" spans="1:22" x14ac:dyDescent="0.6">
      <c r="B230" s="100" t="s">
        <v>255</v>
      </c>
      <c r="C230" s="102" t="str">
        <f t="shared" si="5"/>
        <v/>
      </c>
      <c r="D230" s="102">
        <f t="shared" si="5"/>
        <v>11.539000000000001</v>
      </c>
      <c r="E230" s="102" t="str">
        <f t="shared" si="5"/>
        <v/>
      </c>
      <c r="F230" s="102" t="str">
        <f t="shared" si="5"/>
        <v/>
      </c>
      <c r="G230" s="102" t="str">
        <f t="shared" si="5"/>
        <v/>
      </c>
      <c r="H230" s="102" t="str">
        <f t="shared" si="5"/>
        <v/>
      </c>
      <c r="I230" s="102">
        <f t="shared" si="5"/>
        <v>16.702000000000002</v>
      </c>
    </row>
    <row r="231" spans="1:22" x14ac:dyDescent="0.6">
      <c r="B231" s="100" t="s">
        <v>256</v>
      </c>
      <c r="C231" s="102" t="str">
        <f t="shared" si="5"/>
        <v/>
      </c>
      <c r="D231" s="102">
        <f t="shared" si="5"/>
        <v>9.9469999999999992</v>
      </c>
      <c r="E231" s="102" t="str">
        <f t="shared" si="5"/>
        <v/>
      </c>
      <c r="F231" s="102" t="str">
        <f t="shared" si="5"/>
        <v/>
      </c>
      <c r="G231" s="102" t="str">
        <f t="shared" si="5"/>
        <v/>
      </c>
      <c r="H231" s="102" t="str">
        <f t="shared" si="5"/>
        <v/>
      </c>
      <c r="I231" s="102">
        <f t="shared" si="5"/>
        <v>10.106999999999999</v>
      </c>
    </row>
    <row r="232" spans="1:22" x14ac:dyDescent="0.6">
      <c r="C232" s="102" t="str">
        <f t="shared" si="5"/>
        <v/>
      </c>
      <c r="D232" s="102" t="str">
        <f t="shared" si="5"/>
        <v/>
      </c>
      <c r="E232" s="102" t="str">
        <f t="shared" si="5"/>
        <v/>
      </c>
      <c r="F232" s="102" t="str">
        <f t="shared" si="5"/>
        <v/>
      </c>
      <c r="G232" s="102" t="str">
        <f t="shared" si="5"/>
        <v/>
      </c>
      <c r="H232" s="102" t="str">
        <f t="shared" si="5"/>
        <v/>
      </c>
      <c r="I232" s="104"/>
    </row>
    <row r="233" spans="1:22" x14ac:dyDescent="0.6">
      <c r="B233" s="103" t="s">
        <v>257</v>
      </c>
      <c r="C233" s="102" t="str">
        <f t="shared" si="5"/>
        <v/>
      </c>
      <c r="D233" s="102" t="str">
        <f>IF(D136&gt;0,D136+D$209,"")</f>
        <v/>
      </c>
      <c r="E233" s="102" t="str">
        <f>IF(E136&gt;0,E136+E$209,"")</f>
        <v/>
      </c>
      <c r="F233" s="102" t="str">
        <f>IF(F136&gt;0,F136+F$209,"")</f>
        <v/>
      </c>
      <c r="G233" s="102" t="str">
        <f>IF(G136&gt;0,G136+G$209,"")</f>
        <v/>
      </c>
      <c r="H233" s="98">
        <f>IF(H136&gt;0,H136+H$211,"")</f>
        <v>4.76</v>
      </c>
      <c r="I233" s="104"/>
    </row>
    <row r="234" spans="1:22" x14ac:dyDescent="0.6">
      <c r="B234" s="103"/>
      <c r="H234" s="102" t="str">
        <f>IF(H137&gt;0,H137+H$211,"")</f>
        <v/>
      </c>
      <c r="I234" s="104"/>
    </row>
    <row r="235" spans="1:22" x14ac:dyDescent="0.6">
      <c r="B235" s="103"/>
      <c r="I235" s="104"/>
      <c r="J235" s="104"/>
    </row>
    <row r="236" spans="1:22" ht="13.75" thickBot="1" x14ac:dyDescent="0.75"/>
    <row r="237" spans="1:22" ht="13.75" thickBot="1" x14ac:dyDescent="0.75">
      <c r="A237" s="130" t="s">
        <v>365</v>
      </c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2"/>
    </row>
    <row r="238" spans="1:22" ht="13.75" thickBot="1" x14ac:dyDescent="0.75"/>
    <row r="239" spans="1:22" x14ac:dyDescent="0.6">
      <c r="B239" s="133" t="s">
        <v>366</v>
      </c>
      <c r="C239" s="134"/>
      <c r="D239" s="134"/>
      <c r="E239" s="135"/>
      <c r="F239" s="121"/>
    </row>
    <row r="240" spans="1:22" x14ac:dyDescent="0.6">
      <c r="B240" s="136"/>
      <c r="C240" s="8"/>
      <c r="D240" s="8"/>
      <c r="E240" s="104"/>
      <c r="F240" s="123"/>
    </row>
    <row r="241" spans="2:6" x14ac:dyDescent="0.6">
      <c r="B241" s="137" t="s">
        <v>367</v>
      </c>
      <c r="C241" s="8"/>
      <c r="D241" s="8"/>
      <c r="E241" s="104"/>
      <c r="F241" s="123"/>
    </row>
    <row r="242" spans="2:6" x14ac:dyDescent="0.6">
      <c r="B242" s="136"/>
      <c r="C242" s="8"/>
      <c r="D242" s="7" t="s">
        <v>368</v>
      </c>
      <c r="E242" s="138" t="s">
        <v>369</v>
      </c>
      <c r="F242" s="139" t="s">
        <v>36</v>
      </c>
    </row>
    <row r="243" spans="2:6" x14ac:dyDescent="0.6">
      <c r="B243" s="136"/>
      <c r="C243" s="8"/>
      <c r="D243" s="8"/>
      <c r="E243" s="104"/>
      <c r="F243" s="123"/>
    </row>
    <row r="244" spans="2:6" x14ac:dyDescent="0.6">
      <c r="B244" s="136"/>
      <c r="C244" s="8" t="s">
        <v>69</v>
      </c>
      <c r="D244" s="140">
        <f>'Usage By Season'!C49</f>
        <v>382122</v>
      </c>
      <c r="E244" s="140">
        <f>'Usage By Season'!D49</f>
        <v>48911</v>
      </c>
      <c r="F244" s="141">
        <f>SUM(D244:E244)</f>
        <v>431033</v>
      </c>
    </row>
    <row r="245" spans="2:6" x14ac:dyDescent="0.6">
      <c r="B245" s="136"/>
      <c r="C245" s="8" t="s">
        <v>62</v>
      </c>
      <c r="D245" s="140">
        <f>'Usage By Season'!C50</f>
        <v>528082</v>
      </c>
      <c r="E245" s="140">
        <f>'Usage By Season'!D50</f>
        <v>67595</v>
      </c>
      <c r="F245" s="141">
        <f>SUM(D245:E245)</f>
        <v>595677</v>
      </c>
    </row>
    <row r="246" spans="2:6" x14ac:dyDescent="0.6">
      <c r="B246" s="136"/>
      <c r="C246" s="142" t="s">
        <v>36</v>
      </c>
      <c r="D246" s="143">
        <f>SUM(D244:D245)</f>
        <v>910204</v>
      </c>
      <c r="E246" s="143">
        <f t="shared" ref="E246:F246" si="6">SUM(E244:E245)</f>
        <v>116506</v>
      </c>
      <c r="F246" s="143">
        <f t="shared" si="6"/>
        <v>1026710</v>
      </c>
    </row>
    <row r="247" spans="2:6" x14ac:dyDescent="0.6">
      <c r="B247" s="136"/>
      <c r="C247" s="8"/>
      <c r="D247" s="8"/>
      <c r="E247" s="104"/>
      <c r="F247" s="123"/>
    </row>
    <row r="248" spans="2:6" x14ac:dyDescent="0.6">
      <c r="B248" s="137" t="s">
        <v>370</v>
      </c>
      <c r="C248" s="8"/>
      <c r="D248" s="8"/>
      <c r="E248" s="104"/>
      <c r="F248" s="123"/>
    </row>
    <row r="249" spans="2:6" x14ac:dyDescent="0.6">
      <c r="B249" s="136"/>
      <c r="C249" s="8"/>
      <c r="D249" s="7" t="s">
        <v>368</v>
      </c>
      <c r="E249" s="138" t="s">
        <v>369</v>
      </c>
      <c r="F249" s="139" t="s">
        <v>36</v>
      </c>
    </row>
    <row r="250" spans="2:6" x14ac:dyDescent="0.6">
      <c r="B250" s="136"/>
      <c r="C250" s="8"/>
      <c r="D250" s="8"/>
      <c r="E250" s="104"/>
      <c r="F250" s="123"/>
    </row>
    <row r="251" spans="2:6" x14ac:dyDescent="0.6">
      <c r="B251" s="136"/>
      <c r="C251" s="8" t="s">
        <v>69</v>
      </c>
      <c r="D251" s="140">
        <f>'Usage By Season'!C56</f>
        <v>411375.96020131477</v>
      </c>
      <c r="E251" s="140">
        <f>'Usage By Season'!D56</f>
        <v>52655.462060016769</v>
      </c>
      <c r="F251" s="141">
        <f>SUM(D251:E251)</f>
        <v>464031.42226133152</v>
      </c>
    </row>
    <row r="252" spans="2:6" x14ac:dyDescent="0.6">
      <c r="B252" s="136"/>
      <c r="C252" s="8" t="s">
        <v>62</v>
      </c>
      <c r="D252" s="140">
        <f>'Usage By Season'!C57</f>
        <v>568488.54472187581</v>
      </c>
      <c r="E252" s="140">
        <f>'Usage By Season'!D57</f>
        <v>72767.070332774267</v>
      </c>
      <c r="F252" s="141">
        <f>SUM(D252:E252)</f>
        <v>641255.61505465012</v>
      </c>
    </row>
    <row r="253" spans="2:6" x14ac:dyDescent="0.6">
      <c r="B253" s="144"/>
      <c r="C253" s="142" t="s">
        <v>36</v>
      </c>
      <c r="D253" s="143">
        <f>SUM(D251:D252)</f>
        <v>979864.50492319057</v>
      </c>
      <c r="E253" s="143">
        <f t="shared" ref="E253:F253" si="7">SUM(E251:E252)</f>
        <v>125422.53239279104</v>
      </c>
      <c r="F253" s="143">
        <f t="shared" si="7"/>
        <v>1105287.0373159817</v>
      </c>
    </row>
    <row r="254" spans="2:6" ht="13.75" thickBot="1" x14ac:dyDescent="0.75">
      <c r="B254" s="125"/>
      <c r="C254" s="145"/>
      <c r="D254" s="145"/>
      <c r="E254" s="146"/>
      <c r="F254" s="147"/>
    </row>
    <row r="256" spans="2:6" ht="13.75" thickBot="1" x14ac:dyDescent="0.75"/>
    <row r="257" spans="2:21" ht="16.25" thickBot="1" x14ac:dyDescent="0.85">
      <c r="B257" s="148"/>
      <c r="C257" s="149"/>
      <c r="D257" s="150" t="s">
        <v>371</v>
      </c>
      <c r="E257" s="315" t="s">
        <v>372</v>
      </c>
      <c r="F257" s="315"/>
      <c r="G257" s="316"/>
      <c r="H257" s="315" t="s">
        <v>373</v>
      </c>
      <c r="I257" s="315"/>
      <c r="J257" s="315"/>
      <c r="K257" s="314" t="s">
        <v>374</v>
      </c>
      <c r="L257" s="315"/>
      <c r="M257" s="316"/>
      <c r="N257" s="315" t="s">
        <v>115</v>
      </c>
      <c r="O257" s="315"/>
      <c r="P257" s="314" t="s">
        <v>375</v>
      </c>
      <c r="Q257" s="315"/>
      <c r="R257" s="316"/>
      <c r="S257" s="314" t="s">
        <v>376</v>
      </c>
      <c r="T257" s="315"/>
      <c r="U257" s="316"/>
    </row>
    <row r="258" spans="2:21" ht="43.5" customHeight="1" thickBot="1" x14ac:dyDescent="0.75">
      <c r="B258" s="151"/>
      <c r="C258" s="152"/>
      <c r="D258" s="153" t="s">
        <v>377</v>
      </c>
      <c r="E258" s="154" t="s">
        <v>378</v>
      </c>
      <c r="F258" s="154" t="s">
        <v>379</v>
      </c>
      <c r="G258" s="155" t="s">
        <v>380</v>
      </c>
      <c r="H258" s="154" t="s">
        <v>377</v>
      </c>
      <c r="I258" s="154" t="s">
        <v>379</v>
      </c>
      <c r="J258" s="154" t="s">
        <v>380</v>
      </c>
      <c r="K258" s="156" t="s">
        <v>377</v>
      </c>
      <c r="L258" s="154" t="s">
        <v>381</v>
      </c>
      <c r="M258" s="155" t="s">
        <v>380</v>
      </c>
      <c r="N258" s="154" t="s">
        <v>382</v>
      </c>
      <c r="O258" s="154" t="s">
        <v>380</v>
      </c>
      <c r="P258" s="156" t="s">
        <v>383</v>
      </c>
      <c r="Q258" s="154" t="s">
        <v>384</v>
      </c>
      <c r="R258" s="155" t="s">
        <v>380</v>
      </c>
      <c r="S258" s="156" t="s">
        <v>383</v>
      </c>
      <c r="T258" s="154" t="s">
        <v>384</v>
      </c>
      <c r="U258" s="155" t="s">
        <v>380</v>
      </c>
    </row>
    <row r="259" spans="2:21" x14ac:dyDescent="0.6">
      <c r="B259" s="11"/>
      <c r="C259" s="157"/>
      <c r="D259" s="158"/>
      <c r="E259" s="159"/>
      <c r="F259" s="159"/>
      <c r="G259" s="159"/>
      <c r="H259" s="158"/>
      <c r="I259" s="158"/>
      <c r="J259" s="105"/>
      <c r="K259" s="160"/>
      <c r="L259" s="160"/>
      <c r="M259" s="160"/>
      <c r="N259" s="158"/>
      <c r="O259" s="105"/>
      <c r="P259" s="160"/>
      <c r="Q259" s="160"/>
      <c r="R259" s="161"/>
      <c r="S259" s="160"/>
      <c r="T259" s="160"/>
      <c r="U259" s="161"/>
    </row>
    <row r="260" spans="2:21" x14ac:dyDescent="0.6">
      <c r="B260" s="10">
        <v>45809</v>
      </c>
      <c r="C260" s="157"/>
      <c r="D260" s="162">
        <v>8566</v>
      </c>
      <c r="E260" s="163"/>
      <c r="F260" s="163"/>
      <c r="G260" s="163"/>
      <c r="H260" s="162">
        <v>7200</v>
      </c>
      <c r="I260" s="164">
        <v>52.35</v>
      </c>
      <c r="J260" s="165">
        <f t="shared" ref="J260:J271" si="8">H260*I260</f>
        <v>376920</v>
      </c>
      <c r="K260" s="166">
        <f>D260-H260</f>
        <v>1366</v>
      </c>
      <c r="L260" s="164">
        <v>40.839999999999996</v>
      </c>
      <c r="M260" s="167">
        <f t="shared" ref="M260:M271" si="9">K260*L260</f>
        <v>55787.439999999995</v>
      </c>
      <c r="N260" s="164">
        <v>3.1694717050901122</v>
      </c>
      <c r="O260" s="165">
        <f t="shared" ref="O260:O271" si="10">N260*(K260+H260)</f>
        <v>27149.694625801902</v>
      </c>
      <c r="P260" s="164">
        <v>0</v>
      </c>
      <c r="Q260" s="164">
        <v>0</v>
      </c>
      <c r="R260" s="167">
        <f>P260*Q260*1000</f>
        <v>0</v>
      </c>
      <c r="S260" s="164">
        <v>49.041522082371543</v>
      </c>
      <c r="T260" s="164">
        <v>7.2394703642078033</v>
      </c>
      <c r="U260" s="167">
        <f>S260*T260*1000</f>
        <v>355034.64573097136</v>
      </c>
    </row>
    <row r="261" spans="2:21" x14ac:dyDescent="0.6">
      <c r="B261" s="10">
        <f>B260+31-DAY(B260+31)+1</f>
        <v>45839</v>
      </c>
      <c r="C261" s="157"/>
      <c r="D261" s="162">
        <v>12382</v>
      </c>
      <c r="E261" s="163"/>
      <c r="F261" s="163"/>
      <c r="G261" s="163"/>
      <c r="H261" s="162">
        <v>7440</v>
      </c>
      <c r="I261" s="164">
        <v>52.35</v>
      </c>
      <c r="J261" s="165">
        <f t="shared" si="8"/>
        <v>389484</v>
      </c>
      <c r="K261" s="166">
        <f t="shared" ref="K261:K271" si="11">D261-H261</f>
        <v>4942</v>
      </c>
      <c r="L261" s="164">
        <v>57.367741935483878</v>
      </c>
      <c r="M261" s="167">
        <f t="shared" si="9"/>
        <v>283511.38064516132</v>
      </c>
      <c r="N261" s="164">
        <v>3.1181216729839494</v>
      </c>
      <c r="O261" s="165">
        <f t="shared" si="10"/>
        <v>38608.58255488726</v>
      </c>
      <c r="P261" s="164">
        <v>0</v>
      </c>
      <c r="Q261" s="164">
        <v>0</v>
      </c>
      <c r="R261" s="167">
        <f t="shared" ref="R261:R271" si="12">P261*Q261*1000</f>
        <v>0</v>
      </c>
      <c r="S261" s="164">
        <v>49.041522082371543</v>
      </c>
      <c r="T261" s="164">
        <v>6.7163359512009162</v>
      </c>
      <c r="U261" s="167">
        <f t="shared" ref="U261:U271" si="13">S261*T261*1000</f>
        <v>329379.33786344563</v>
      </c>
    </row>
    <row r="262" spans="2:21" x14ac:dyDescent="0.6">
      <c r="B262" s="10">
        <f t="shared" ref="B262:B271" si="14">B261+31-DAY(B261+31)+1</f>
        <v>45870</v>
      </c>
      <c r="C262" s="157"/>
      <c r="D262" s="162">
        <v>11595</v>
      </c>
      <c r="E262" s="163"/>
      <c r="F262" s="163"/>
      <c r="G262" s="163"/>
      <c r="H262" s="162">
        <v>7440</v>
      </c>
      <c r="I262" s="164">
        <v>52.35</v>
      </c>
      <c r="J262" s="165">
        <f t="shared" si="8"/>
        <v>389484</v>
      </c>
      <c r="K262" s="166">
        <f t="shared" si="11"/>
        <v>4155</v>
      </c>
      <c r="L262" s="164">
        <v>43.167741935483868</v>
      </c>
      <c r="M262" s="167">
        <f t="shared" si="9"/>
        <v>179361.96774193546</v>
      </c>
      <c r="N262" s="164">
        <v>2.983769318466825</v>
      </c>
      <c r="O262" s="165">
        <f t="shared" si="10"/>
        <v>34596.805247622833</v>
      </c>
      <c r="P262" s="164">
        <v>0</v>
      </c>
      <c r="Q262" s="164">
        <v>0</v>
      </c>
      <c r="R262" s="167">
        <f t="shared" si="12"/>
        <v>0</v>
      </c>
      <c r="S262" s="164">
        <v>49.041522082371543</v>
      </c>
      <c r="T262" s="164">
        <v>6.7613374643603876</v>
      </c>
      <c r="U262" s="167">
        <f t="shared" si="13"/>
        <v>331586.28056479595</v>
      </c>
    </row>
    <row r="263" spans="2:21" x14ac:dyDescent="0.6">
      <c r="B263" s="10">
        <f t="shared" si="14"/>
        <v>45901</v>
      </c>
      <c r="C263" s="157"/>
      <c r="D263" s="162">
        <v>8436</v>
      </c>
      <c r="E263" s="163"/>
      <c r="F263" s="163"/>
      <c r="G263" s="163"/>
      <c r="H263" s="162">
        <v>7200</v>
      </c>
      <c r="I263" s="164">
        <v>52.35</v>
      </c>
      <c r="J263" s="165">
        <f t="shared" si="8"/>
        <v>376920</v>
      </c>
      <c r="K263" s="166">
        <f t="shared" si="11"/>
        <v>1236</v>
      </c>
      <c r="L263" s="164">
        <v>38.520000000000003</v>
      </c>
      <c r="M263" s="167">
        <f t="shared" si="9"/>
        <v>47610.720000000001</v>
      </c>
      <c r="N263" s="164">
        <v>2.8017539677623109</v>
      </c>
      <c r="O263" s="165">
        <f t="shared" si="10"/>
        <v>23635.596472042856</v>
      </c>
      <c r="P263" s="164">
        <v>0</v>
      </c>
      <c r="Q263" s="164">
        <v>0</v>
      </c>
      <c r="R263" s="167">
        <f t="shared" si="12"/>
        <v>0</v>
      </c>
      <c r="S263" s="164">
        <v>49.041522082371543</v>
      </c>
      <c r="T263" s="164">
        <v>6.760376470588235</v>
      </c>
      <c r="U263" s="167">
        <f t="shared" si="13"/>
        <v>331539.15196749789</v>
      </c>
    </row>
    <row r="264" spans="2:21" x14ac:dyDescent="0.6">
      <c r="B264" s="10">
        <f t="shared" si="14"/>
        <v>45931</v>
      </c>
      <c r="C264" s="157"/>
      <c r="D264" s="162">
        <v>7604</v>
      </c>
      <c r="E264" s="163"/>
      <c r="F264" s="163"/>
      <c r="G264" s="163"/>
      <c r="H264" s="162">
        <v>7440</v>
      </c>
      <c r="I264" s="164">
        <v>52.35</v>
      </c>
      <c r="J264" s="165">
        <f t="shared" si="8"/>
        <v>389484</v>
      </c>
      <c r="K264" s="166">
        <f t="shared" si="11"/>
        <v>164</v>
      </c>
      <c r="L264" s="164">
        <v>37.389247311827958</v>
      </c>
      <c r="M264" s="167">
        <f t="shared" si="9"/>
        <v>6131.8365591397851</v>
      </c>
      <c r="N264" s="164">
        <v>2.7358026564199136</v>
      </c>
      <c r="O264" s="165">
        <f t="shared" si="10"/>
        <v>20803.043399417023</v>
      </c>
      <c r="P264" s="164">
        <v>0</v>
      </c>
      <c r="Q264" s="164">
        <v>0</v>
      </c>
      <c r="R264" s="167">
        <f t="shared" si="12"/>
        <v>0</v>
      </c>
      <c r="S264" s="164">
        <v>49.041522082371543</v>
      </c>
      <c r="T264" s="164">
        <v>6.865697989099794</v>
      </c>
      <c r="U264" s="167">
        <f t="shared" si="13"/>
        <v>336704.27954333142</v>
      </c>
    </row>
    <row r="265" spans="2:21" x14ac:dyDescent="0.6">
      <c r="B265" s="10">
        <f t="shared" si="14"/>
        <v>45962</v>
      </c>
      <c r="C265" s="157"/>
      <c r="D265" s="162">
        <v>7406</v>
      </c>
      <c r="E265" s="163"/>
      <c r="F265" s="163"/>
      <c r="G265" s="163"/>
      <c r="H265" s="162">
        <v>7210</v>
      </c>
      <c r="I265" s="164">
        <v>52.35</v>
      </c>
      <c r="J265" s="165">
        <f t="shared" si="8"/>
        <v>377443.5</v>
      </c>
      <c r="K265" s="166">
        <f t="shared" si="11"/>
        <v>196</v>
      </c>
      <c r="L265" s="164">
        <v>47.623439667128984</v>
      </c>
      <c r="M265" s="167">
        <f t="shared" si="9"/>
        <v>9334.1941747572801</v>
      </c>
      <c r="N265" s="164">
        <v>3.0814736970439269</v>
      </c>
      <c r="O265" s="165">
        <f t="shared" si="10"/>
        <v>22821.394200307324</v>
      </c>
      <c r="P265" s="164">
        <v>0</v>
      </c>
      <c r="Q265" s="164">
        <v>0</v>
      </c>
      <c r="R265" s="167">
        <f t="shared" si="12"/>
        <v>0</v>
      </c>
      <c r="S265" s="164">
        <v>49.041522082371543</v>
      </c>
      <c r="T265" s="164">
        <v>4.1312776784015224</v>
      </c>
      <c r="U265" s="167">
        <f t="shared" si="13"/>
        <v>202604.1454937369</v>
      </c>
    </row>
    <row r="266" spans="2:21" x14ac:dyDescent="0.6">
      <c r="B266" s="10">
        <f t="shared" si="14"/>
        <v>45992</v>
      </c>
      <c r="C266" s="157"/>
      <c r="D266" s="162">
        <v>9794</v>
      </c>
      <c r="E266" s="163"/>
      <c r="F266" s="163"/>
      <c r="G266" s="163"/>
      <c r="H266" s="162">
        <v>7440</v>
      </c>
      <c r="I266" s="164">
        <v>52.35</v>
      </c>
      <c r="J266" s="165">
        <f t="shared" si="8"/>
        <v>389484</v>
      </c>
      <c r="K266" s="166">
        <f t="shared" si="11"/>
        <v>2354</v>
      </c>
      <c r="L266" s="164">
        <v>69.191935483870964</v>
      </c>
      <c r="M266" s="167">
        <f t="shared" si="9"/>
        <v>162877.81612903226</v>
      </c>
      <c r="N266" s="164">
        <v>3.1224243185512002</v>
      </c>
      <c r="O266" s="165">
        <f t="shared" si="10"/>
        <v>30581.023775890455</v>
      </c>
      <c r="P266" s="164">
        <v>0</v>
      </c>
      <c r="Q266" s="164">
        <v>0</v>
      </c>
      <c r="R266" s="167">
        <f t="shared" si="12"/>
        <v>0</v>
      </c>
      <c r="S266" s="164">
        <v>49.041522082371543</v>
      </c>
      <c r="T266" s="164">
        <v>4.2222303948080047</v>
      </c>
      <c r="U266" s="167">
        <f t="shared" si="13"/>
        <v>207064.60514383708</v>
      </c>
    </row>
    <row r="267" spans="2:21" x14ac:dyDescent="0.6">
      <c r="B267" s="10">
        <f t="shared" si="14"/>
        <v>46023</v>
      </c>
      <c r="C267" s="157"/>
      <c r="D267" s="162">
        <v>10207</v>
      </c>
      <c r="E267" s="163"/>
      <c r="F267" s="163"/>
      <c r="G267" s="163"/>
      <c r="H267" s="162">
        <v>7440</v>
      </c>
      <c r="I267" s="164">
        <v>52.35</v>
      </c>
      <c r="J267" s="165">
        <f t="shared" si="8"/>
        <v>389484</v>
      </c>
      <c r="K267" s="166">
        <f t="shared" si="11"/>
        <v>2767</v>
      </c>
      <c r="L267" s="164">
        <v>97.667741935483861</v>
      </c>
      <c r="M267" s="167">
        <f t="shared" si="9"/>
        <v>270246.64193548384</v>
      </c>
      <c r="N267" s="164">
        <v>2.0827410851624455</v>
      </c>
      <c r="O267" s="165">
        <f t="shared" si="10"/>
        <v>21258.538256253079</v>
      </c>
      <c r="P267" s="164">
        <v>0</v>
      </c>
      <c r="Q267" s="164">
        <v>0</v>
      </c>
      <c r="R267" s="167">
        <f t="shared" si="12"/>
        <v>0</v>
      </c>
      <c r="S267" s="164">
        <v>49.041522082371543</v>
      </c>
      <c r="T267" s="164">
        <v>5.6975743036548048</v>
      </c>
      <c r="U267" s="167">
        <f t="shared" si="13"/>
        <v>279417.71602863981</v>
      </c>
    </row>
    <row r="268" spans="2:21" x14ac:dyDescent="0.6">
      <c r="B268" s="10">
        <f t="shared" si="14"/>
        <v>46054</v>
      </c>
      <c r="C268" s="157"/>
      <c r="D268" s="162">
        <v>8746</v>
      </c>
      <c r="E268" s="163"/>
      <c r="F268" s="163"/>
      <c r="G268" s="163"/>
      <c r="H268" s="162">
        <v>6720</v>
      </c>
      <c r="I268" s="164">
        <v>52.35</v>
      </c>
      <c r="J268" s="165">
        <f t="shared" si="8"/>
        <v>351792</v>
      </c>
      <c r="K268" s="166">
        <f t="shared" si="11"/>
        <v>2026</v>
      </c>
      <c r="L268" s="164">
        <v>89.269047619047626</v>
      </c>
      <c r="M268" s="167">
        <f t="shared" si="9"/>
        <v>180859.0904761905</v>
      </c>
      <c r="N268" s="164">
        <v>2.344449864013824</v>
      </c>
      <c r="O268" s="165">
        <f t="shared" si="10"/>
        <v>20504.558510664905</v>
      </c>
      <c r="P268" s="164">
        <v>0</v>
      </c>
      <c r="Q268" s="164">
        <v>0</v>
      </c>
      <c r="R268" s="167">
        <f t="shared" si="12"/>
        <v>0</v>
      </c>
      <c r="S268" s="164">
        <v>49.041522082371543</v>
      </c>
      <c r="T268" s="164">
        <v>5.5858652611403929</v>
      </c>
      <c r="U268" s="167">
        <f t="shared" si="13"/>
        <v>273939.33455336868</v>
      </c>
    </row>
    <row r="269" spans="2:21" x14ac:dyDescent="0.6">
      <c r="B269" s="10">
        <f t="shared" si="14"/>
        <v>46082</v>
      </c>
      <c r="C269" s="157"/>
      <c r="D269" s="162">
        <v>8423</v>
      </c>
      <c r="E269" s="163"/>
      <c r="F269" s="163"/>
      <c r="G269" s="163"/>
      <c r="H269" s="162">
        <v>7430</v>
      </c>
      <c r="I269" s="164">
        <v>52.35</v>
      </c>
      <c r="J269" s="165">
        <f t="shared" si="8"/>
        <v>388960.5</v>
      </c>
      <c r="K269" s="166">
        <f t="shared" si="11"/>
        <v>993</v>
      </c>
      <c r="L269" s="164">
        <v>53.213930013458949</v>
      </c>
      <c r="M269" s="167">
        <f t="shared" si="9"/>
        <v>52841.432503364733</v>
      </c>
      <c r="N269" s="164">
        <v>2.6671046484627863</v>
      </c>
      <c r="O269" s="165">
        <f t="shared" si="10"/>
        <v>22465.02245400205</v>
      </c>
      <c r="P269" s="164">
        <v>0</v>
      </c>
      <c r="Q269" s="164">
        <v>0</v>
      </c>
      <c r="R269" s="167">
        <f t="shared" si="12"/>
        <v>0</v>
      </c>
      <c r="S269" s="164">
        <v>49.041522082371543</v>
      </c>
      <c r="T269" s="164">
        <v>5.2634034887408818</v>
      </c>
      <c r="U269" s="167">
        <f t="shared" si="13"/>
        <v>258125.31842151735</v>
      </c>
    </row>
    <row r="270" spans="2:21" x14ac:dyDescent="0.6">
      <c r="B270" s="10">
        <f t="shared" si="14"/>
        <v>46113</v>
      </c>
      <c r="C270" s="157"/>
      <c r="D270" s="162">
        <v>7250</v>
      </c>
      <c r="E270" s="163"/>
      <c r="F270" s="163"/>
      <c r="G270" s="163"/>
      <c r="H270" s="162">
        <v>7200</v>
      </c>
      <c r="I270" s="164">
        <v>52.35</v>
      </c>
      <c r="J270" s="165">
        <f t="shared" si="8"/>
        <v>376920</v>
      </c>
      <c r="K270" s="166">
        <f t="shared" si="11"/>
        <v>50</v>
      </c>
      <c r="L270" s="164">
        <v>42.201111111111118</v>
      </c>
      <c r="M270" s="167">
        <f t="shared" si="9"/>
        <v>2110.0555555555557</v>
      </c>
      <c r="N270" s="164">
        <v>2.9311326512222093</v>
      </c>
      <c r="O270" s="165">
        <f t="shared" si="10"/>
        <v>21250.711721361018</v>
      </c>
      <c r="P270" s="164">
        <v>0</v>
      </c>
      <c r="Q270" s="164">
        <v>0</v>
      </c>
      <c r="R270" s="167">
        <f t="shared" si="12"/>
        <v>0</v>
      </c>
      <c r="S270" s="164">
        <v>49.041522082371543</v>
      </c>
      <c r="T270" s="164">
        <v>4.9909194984729135</v>
      </c>
      <c r="U270" s="167">
        <f t="shared" si="13"/>
        <v>244762.28879569808</v>
      </c>
    </row>
    <row r="271" spans="2:21" x14ac:dyDescent="0.6">
      <c r="B271" s="10">
        <f t="shared" si="14"/>
        <v>46143</v>
      </c>
      <c r="C271" s="157"/>
      <c r="D271" s="162">
        <v>6924</v>
      </c>
      <c r="E271" s="163"/>
      <c r="F271" s="163"/>
      <c r="G271" s="163"/>
      <c r="H271" s="162">
        <v>7440</v>
      </c>
      <c r="I271" s="164">
        <v>52.35</v>
      </c>
      <c r="J271" s="165">
        <f t="shared" si="8"/>
        <v>389484</v>
      </c>
      <c r="K271" s="166">
        <f t="shared" si="11"/>
        <v>-516</v>
      </c>
      <c r="L271" s="164">
        <v>40.244086021505375</v>
      </c>
      <c r="M271" s="167">
        <f t="shared" si="9"/>
        <v>-20765.948387096774</v>
      </c>
      <c r="N271" s="164">
        <v>3.0173180599943685</v>
      </c>
      <c r="O271" s="165">
        <f t="shared" si="10"/>
        <v>20891.910247401007</v>
      </c>
      <c r="P271" s="164">
        <v>0</v>
      </c>
      <c r="Q271" s="164">
        <v>0</v>
      </c>
      <c r="R271" s="167">
        <f t="shared" si="12"/>
        <v>0</v>
      </c>
      <c r="S271" s="164">
        <v>49.041522082371543</v>
      </c>
      <c r="T271" s="164">
        <v>7.0896854859752123</v>
      </c>
      <c r="U271" s="167">
        <f t="shared" si="13"/>
        <v>347688.96731752239</v>
      </c>
    </row>
    <row r="272" spans="2:21" ht="13.75" thickBot="1" x14ac:dyDescent="0.75">
      <c r="B272" s="168"/>
      <c r="C272" s="147"/>
      <c r="D272" s="158"/>
      <c r="E272" s="169"/>
      <c r="F272" s="169"/>
      <c r="G272" s="170"/>
      <c r="H272" s="158"/>
      <c r="I272" s="164"/>
      <c r="J272" s="169"/>
      <c r="K272" s="171"/>
      <c r="L272" s="171"/>
      <c r="M272" s="171"/>
      <c r="N272" s="158"/>
      <c r="O272" s="169"/>
      <c r="P272" s="164"/>
      <c r="Q272" s="171"/>
      <c r="R272" s="172"/>
      <c r="S272" s="171"/>
      <c r="T272" s="171"/>
      <c r="U272" s="172"/>
    </row>
    <row r="273" spans="2:21" ht="13.75" thickBot="1" x14ac:dyDescent="0.75">
      <c r="B273" s="173" t="s">
        <v>36</v>
      </c>
      <c r="C273" s="174"/>
      <c r="D273" s="175">
        <f>SUM(D260:D272)</f>
        <v>107333</v>
      </c>
      <c r="E273" s="176">
        <v>0</v>
      </c>
      <c r="F273" s="177">
        <v>0</v>
      </c>
      <c r="G273" s="178">
        <v>0</v>
      </c>
      <c r="H273" s="176">
        <f>SUM(H260:H272)</f>
        <v>87600</v>
      </c>
      <c r="I273" s="177"/>
      <c r="J273" s="176">
        <f>SUM(J260:J272)</f>
        <v>4585860</v>
      </c>
      <c r="K273" s="175">
        <f>SUM(K260:K272)</f>
        <v>19733</v>
      </c>
      <c r="L273" s="179"/>
      <c r="M273" s="175">
        <f>SUM(M260:M272)</f>
        <v>1229906.6273335237</v>
      </c>
      <c r="N273" s="180">
        <f>O273/D273</f>
        <v>2.8375884533708335</v>
      </c>
      <c r="O273" s="176">
        <f>SUM(O260:O271)</f>
        <v>304566.88146565168</v>
      </c>
      <c r="P273" s="179"/>
      <c r="Q273" s="179"/>
      <c r="R273" s="175">
        <f>SUM(R260:R272)</f>
        <v>0</v>
      </c>
      <c r="S273" s="179"/>
      <c r="T273" s="179"/>
      <c r="U273" s="175">
        <f>SUM(U260:U272)</f>
        <v>3497846.0714243632</v>
      </c>
    </row>
    <row r="277" spans="2:21" x14ac:dyDescent="0.6">
      <c r="B277" s="181" t="s">
        <v>385</v>
      </c>
      <c r="C277" s="105"/>
      <c r="D277" s="105"/>
      <c r="E277" s="105"/>
    </row>
    <row r="278" spans="2:21" x14ac:dyDescent="0.6">
      <c r="B278" s="105"/>
      <c r="C278" s="105"/>
      <c r="D278" s="105"/>
      <c r="E278" s="105"/>
    </row>
    <row r="279" spans="2:21" x14ac:dyDescent="0.6">
      <c r="B279" s="94" t="s">
        <v>386</v>
      </c>
      <c r="C279" s="105"/>
      <c r="D279" s="182">
        <f>$G$273</f>
        <v>0</v>
      </c>
      <c r="E279" s="183">
        <f>ROUND(D279/$D$273,2)</f>
        <v>0</v>
      </c>
    </row>
    <row r="280" spans="2:21" x14ac:dyDescent="0.6">
      <c r="B280" s="94" t="s">
        <v>373</v>
      </c>
      <c r="C280" s="105"/>
      <c r="D280" s="182">
        <f>$J$273</f>
        <v>4585860</v>
      </c>
      <c r="E280" s="183">
        <f>ROUND(D280/$D$273,2)</f>
        <v>42.73</v>
      </c>
    </row>
    <row r="281" spans="2:21" x14ac:dyDescent="0.6">
      <c r="B281" s="94" t="s">
        <v>374</v>
      </c>
      <c r="C281" s="105"/>
      <c r="D281" s="182">
        <f>$M$273</f>
        <v>1229906.6273335237</v>
      </c>
      <c r="E281" s="183">
        <f>ROUND(D281/$K$273,2)</f>
        <v>62.33</v>
      </c>
    </row>
    <row r="282" spans="2:21" x14ac:dyDescent="0.6">
      <c r="B282" s="94" t="s">
        <v>115</v>
      </c>
      <c r="C282" s="105"/>
      <c r="D282" s="182">
        <f>O273</f>
        <v>304566.88146565168</v>
      </c>
      <c r="E282" s="183">
        <f>ROUND(D282/$D$273,2)</f>
        <v>2.84</v>
      </c>
    </row>
    <row r="283" spans="2:21" x14ac:dyDescent="0.6">
      <c r="B283" s="94" t="s">
        <v>375</v>
      </c>
      <c r="C283" s="105"/>
      <c r="D283" s="184">
        <f>U273</f>
        <v>3497846.0714243632</v>
      </c>
      <c r="E283" s="185">
        <f>ROUND(D283/$D$273,2)</f>
        <v>32.590000000000003</v>
      </c>
    </row>
    <row r="284" spans="2:21" x14ac:dyDescent="0.6">
      <c r="B284" s="105"/>
      <c r="C284" s="105"/>
      <c r="D284" s="182">
        <f>SUM(D279:D283)</f>
        <v>9618179.580223538</v>
      </c>
      <c r="E284" s="183">
        <f>SUM(E279:E283)</f>
        <v>140.49</v>
      </c>
    </row>
    <row r="285" spans="2:21" x14ac:dyDescent="0.6">
      <c r="B285" s="105" t="s">
        <v>387</v>
      </c>
      <c r="C285" s="105"/>
      <c r="D285" s="182">
        <f>$D$273</f>
        <v>107333</v>
      </c>
    </row>
    <row r="286" spans="2:21" x14ac:dyDescent="0.6">
      <c r="B286" s="105" t="s">
        <v>230</v>
      </c>
      <c r="C286" s="105"/>
      <c r="D286" s="98">
        <f>ROUND(D284/D285,2)</f>
        <v>89.61</v>
      </c>
    </row>
  </sheetData>
  <mergeCells count="6">
    <mergeCell ref="S257:U257"/>
    <mergeCell ref="E257:G257"/>
    <mergeCell ref="H257:J257"/>
    <mergeCell ref="K257:M257"/>
    <mergeCell ref="N257:O257"/>
    <mergeCell ref="P257:R257"/>
  </mergeCells>
  <printOptions horizontalCentered="1"/>
  <pageMargins left="0.5" right="0.5" top="0.5" bottom="0.5" header="0.5" footer="0.25"/>
  <pageSetup scale="82" orientation="landscape" r:id="rId1"/>
  <headerFooter alignWithMargins="0">
    <oddHeader xml:space="preserve">&amp;R&amp;"Arial,Bold"Attachment C&amp;"Arial,Regular"
Page &amp;P of &amp;N
</oddHeader>
    <oddFooter>&amp;L&amp;F&amp;R&amp;D</oddFooter>
  </headerFooter>
  <rowBreaks count="5" manualBreakCount="5">
    <brk id="45" max="9" man="1"/>
    <brk id="75" max="9" man="1"/>
    <brk id="112" max="9" man="1"/>
    <brk id="161" max="9" man="1"/>
    <brk id="20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AE91-8A58-41EA-B6D7-4A056F8DDBCE}">
  <sheetPr codeName="Sheet7">
    <pageSetUpPr fitToPage="1"/>
  </sheetPr>
  <dimension ref="A1:K58"/>
  <sheetViews>
    <sheetView workbookViewId="0">
      <selection activeCell="B472" sqref="B472"/>
    </sheetView>
  </sheetViews>
  <sheetFormatPr defaultRowHeight="13" x14ac:dyDescent="0.6"/>
  <cols>
    <col min="1" max="1" width="10.54296875" customWidth="1"/>
    <col min="2" max="2" width="11.40625" bestFit="1" customWidth="1"/>
    <col min="3" max="3" width="10.40625" bestFit="1" customWidth="1"/>
    <col min="4" max="4" width="9.40625" bestFit="1" customWidth="1"/>
    <col min="5" max="5" width="10.40625" bestFit="1" customWidth="1"/>
    <col min="6" max="7" width="9.40625" bestFit="1" customWidth="1"/>
    <col min="8" max="8" width="11.40625" bestFit="1" customWidth="1"/>
    <col min="9" max="9" width="10.1328125" bestFit="1" customWidth="1"/>
    <col min="12" max="12" width="11.54296875" bestFit="1" customWidth="1"/>
  </cols>
  <sheetData>
    <row r="1" spans="1:8" x14ac:dyDescent="0.6">
      <c r="A1" t="s">
        <v>388</v>
      </c>
    </row>
    <row r="2" spans="1:8" x14ac:dyDescent="0.6">
      <c r="A2" t="str">
        <f>"Table 3 - Billed Sales Forecast " &amp;'BGS Cost &amp; Bid Factors'!M1</f>
        <v>Table 3 - Billed Sales Forecast 2025</v>
      </c>
    </row>
    <row r="4" spans="1:8" x14ac:dyDescent="0.6">
      <c r="A4" s="56" t="s">
        <v>350</v>
      </c>
    </row>
    <row r="6" spans="1:8" x14ac:dyDescent="0.6">
      <c r="B6" s="51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51" t="s">
        <v>12</v>
      </c>
      <c r="H6" s="51" t="s">
        <v>36</v>
      </c>
    </row>
    <row r="7" spans="1:8" x14ac:dyDescent="0.6">
      <c r="A7" t="s">
        <v>62</v>
      </c>
      <c r="B7" s="186">
        <f>'BGS Cost &amp; Bid Factors'!L44</f>
        <v>388167.43281590502</v>
      </c>
      <c r="C7" s="186">
        <f>'BGS Cost &amp; Bid Factors'!M44</f>
        <v>604.92795267538668</v>
      </c>
      <c r="D7" s="186">
        <f>'BGS Cost &amp; Bid Factors'!N44</f>
        <v>10244</v>
      </c>
      <c r="E7" s="186">
        <f>'BGS Cost &amp; Bid Factors'!O44</f>
        <v>4572.5</v>
      </c>
      <c r="F7" s="186">
        <f>'BGS Cost &amp; Bid Factors'!P44</f>
        <v>3512</v>
      </c>
      <c r="G7" s="186">
        <f>'BGS Cost &amp; Bid Factors'!Q44</f>
        <v>188575.96726629033</v>
      </c>
      <c r="H7" s="187">
        <f>SUM(B7:G7)</f>
        <v>595676.82803487079</v>
      </c>
    </row>
    <row r="8" spans="1:8" x14ac:dyDescent="0.6">
      <c r="A8" t="s">
        <v>389</v>
      </c>
      <c r="B8" s="188">
        <f>'BGS Cost &amp; Bid Factors'!C$81</f>
        <v>1.0766068173408416</v>
      </c>
      <c r="C8" s="188">
        <f>'BGS Cost &amp; Bid Factors'!D$81</f>
        <v>1.0766068173408416</v>
      </c>
      <c r="D8" s="188">
        <f>'BGS Cost &amp; Bid Factors'!E$81</f>
        <v>1.0766068173408416</v>
      </c>
      <c r="E8" s="188">
        <f>'BGS Cost &amp; Bid Factors'!F$81</f>
        <v>1.0728581794184975</v>
      </c>
      <c r="F8" s="188">
        <f>'BGS Cost &amp; Bid Factors'!G$81</f>
        <v>1.0660255083227215</v>
      </c>
      <c r="G8" s="188">
        <f>'BGS Cost &amp; Bid Factors'!H$81</f>
        <v>1.0766068173408416</v>
      </c>
    </row>
    <row r="9" spans="1:8" x14ac:dyDescent="0.6">
      <c r="A9" t="s">
        <v>390</v>
      </c>
      <c r="B9" s="186">
        <f t="shared" ref="B9:G9" si="0">B7*B8</f>
        <v>417903.70443929645</v>
      </c>
      <c r="C9" s="186">
        <f t="shared" si="0"/>
        <v>651.26955785035932</v>
      </c>
      <c r="D9" s="186">
        <f t="shared" si="0"/>
        <v>11028.760236839582</v>
      </c>
      <c r="E9" s="186">
        <f t="shared" si="0"/>
        <v>4905.6440253910796</v>
      </c>
      <c r="F9" s="186">
        <f t="shared" si="0"/>
        <v>3743.8815852293978</v>
      </c>
      <c r="G9" s="186">
        <f t="shared" si="0"/>
        <v>203022.17194553156</v>
      </c>
      <c r="H9" s="187">
        <f>SUM(B9:G9)</f>
        <v>641255.43179013848</v>
      </c>
    </row>
    <row r="13" spans="1:8" x14ac:dyDescent="0.6">
      <c r="A13" t="s">
        <v>69</v>
      </c>
      <c r="B13" s="186">
        <f>'BGS Cost &amp; Bid Factors'!L48</f>
        <v>306989.51012851886</v>
      </c>
      <c r="C13" s="186">
        <f>'BGS Cost &amp; Bid Factors'!M48</f>
        <v>297.91189105921745</v>
      </c>
      <c r="D13" s="186">
        <f>'BGS Cost &amp; Bid Factors'!N48</f>
        <v>4020</v>
      </c>
      <c r="E13" s="186">
        <f>'BGS Cost &amp; Bid Factors'!O48</f>
        <v>1791</v>
      </c>
      <c r="F13" s="186">
        <f>'BGS Cost &amp; Bid Factors'!P48</f>
        <v>1411</v>
      </c>
      <c r="G13" s="186">
        <f>'BGS Cost &amp; Bid Factors'!Q48</f>
        <v>116523.20428200089</v>
      </c>
      <c r="H13" s="187">
        <f>SUM(B13:G13)</f>
        <v>431032.62630157894</v>
      </c>
    </row>
    <row r="14" spans="1:8" x14ac:dyDescent="0.6">
      <c r="A14" t="s">
        <v>389</v>
      </c>
      <c r="B14" s="188">
        <f>'BGS Cost &amp; Bid Factors'!C$81</f>
        <v>1.0766068173408416</v>
      </c>
      <c r="C14" s="188">
        <f>'BGS Cost &amp; Bid Factors'!D$81</f>
        <v>1.0766068173408416</v>
      </c>
      <c r="D14" s="188">
        <f>'BGS Cost &amp; Bid Factors'!E$81</f>
        <v>1.0766068173408416</v>
      </c>
      <c r="E14" s="188">
        <f>'BGS Cost &amp; Bid Factors'!F$81</f>
        <v>1.0728581794184975</v>
      </c>
      <c r="F14" s="188">
        <f>'BGS Cost &amp; Bid Factors'!G$81</f>
        <v>1.0660255083227215</v>
      </c>
      <c r="G14" s="188">
        <f>'BGS Cost &amp; Bid Factors'!H$81</f>
        <v>1.0766068173408416</v>
      </c>
    </row>
    <row r="15" spans="1:8" x14ac:dyDescent="0.6">
      <c r="A15" t="s">
        <v>390</v>
      </c>
      <c r="B15" s="186">
        <f t="shared" ref="B15:G15" si="1">B13*B14</f>
        <v>330506.99945648876</v>
      </c>
      <c r="C15" s="186">
        <f t="shared" si="1"/>
        <v>320.73397288125562</v>
      </c>
      <c r="D15" s="186">
        <f t="shared" si="1"/>
        <v>4327.9594057101831</v>
      </c>
      <c r="E15" s="186">
        <f t="shared" si="1"/>
        <v>1921.4889993385291</v>
      </c>
      <c r="F15" s="186">
        <f t="shared" si="1"/>
        <v>1504.1619922433599</v>
      </c>
      <c r="G15" s="186">
        <f t="shared" si="1"/>
        <v>125449.67610840171</v>
      </c>
      <c r="H15" s="187">
        <f>SUM(B15:G15)</f>
        <v>464031.01993506378</v>
      </c>
    </row>
    <row r="16" spans="1:8" ht="13.75" thickBot="1" x14ac:dyDescent="0.75"/>
    <row r="17" spans="1:11" ht="13.75" thickBot="1" x14ac:dyDescent="0.75">
      <c r="A17" s="56" t="s">
        <v>391</v>
      </c>
      <c r="C17" s="189">
        <f>'BGS Cost &amp; Bid Factors'!D447</f>
        <v>0.88652482269503541</v>
      </c>
    </row>
    <row r="19" spans="1:11" x14ac:dyDescent="0.6">
      <c r="B19" s="51" t="s">
        <v>7</v>
      </c>
      <c r="C19" s="51" t="s">
        <v>8</v>
      </c>
      <c r="D19" s="51" t="s">
        <v>9</v>
      </c>
      <c r="E19" s="51" t="s">
        <v>10</v>
      </c>
      <c r="F19" s="51" t="s">
        <v>11</v>
      </c>
      <c r="G19" s="51" t="s">
        <v>12</v>
      </c>
      <c r="H19" s="51" t="s">
        <v>36</v>
      </c>
    </row>
    <row r="20" spans="1:11" x14ac:dyDescent="0.6">
      <c r="A20" t="s">
        <v>62</v>
      </c>
      <c r="B20" s="186">
        <f t="shared" ref="B20:G20" si="2">ROUND(B$7*$C17,0)</f>
        <v>344120</v>
      </c>
      <c r="C20" s="186">
        <f t="shared" si="2"/>
        <v>536</v>
      </c>
      <c r="D20" s="186">
        <f t="shared" si="2"/>
        <v>9082</v>
      </c>
      <c r="E20" s="186">
        <f t="shared" si="2"/>
        <v>4054</v>
      </c>
      <c r="F20" s="186">
        <f t="shared" si="2"/>
        <v>3113</v>
      </c>
      <c r="G20" s="186">
        <f t="shared" si="2"/>
        <v>167177</v>
      </c>
      <c r="H20" s="187">
        <f>SUM(B20:G20)</f>
        <v>528082</v>
      </c>
    </row>
    <row r="21" spans="1:11" x14ac:dyDescent="0.6">
      <c r="A21" t="s">
        <v>389</v>
      </c>
      <c r="B21" s="188">
        <f>'BGS Cost &amp; Bid Factors'!C$81</f>
        <v>1.0766068173408416</v>
      </c>
      <c r="C21" s="188">
        <f>'BGS Cost &amp; Bid Factors'!D$81</f>
        <v>1.0766068173408416</v>
      </c>
      <c r="D21" s="188">
        <f>'BGS Cost &amp; Bid Factors'!E$81</f>
        <v>1.0766068173408416</v>
      </c>
      <c r="E21" s="188">
        <f>'BGS Cost &amp; Bid Factors'!F$81</f>
        <v>1.0728581794184975</v>
      </c>
      <c r="F21" s="188">
        <f>'BGS Cost &amp; Bid Factors'!G$81</f>
        <v>1.0660255083227215</v>
      </c>
      <c r="G21" s="188">
        <f>'BGS Cost &amp; Bid Factors'!H$81</f>
        <v>1.0766068173408416</v>
      </c>
    </row>
    <row r="22" spans="1:11" x14ac:dyDescent="0.6">
      <c r="A22" t="s">
        <v>390</v>
      </c>
      <c r="B22" s="186">
        <f t="shared" ref="B22:G22" si="3">B20*B21</f>
        <v>370481.9379833304</v>
      </c>
      <c r="C22" s="186">
        <f t="shared" si="3"/>
        <v>577.06125409469109</v>
      </c>
      <c r="D22" s="186">
        <f t="shared" si="3"/>
        <v>9777.7431150895245</v>
      </c>
      <c r="E22" s="186">
        <f t="shared" si="3"/>
        <v>4349.3670593625884</v>
      </c>
      <c r="F22" s="186">
        <f t="shared" si="3"/>
        <v>3318.5374074086321</v>
      </c>
      <c r="G22" s="186">
        <f t="shared" si="3"/>
        <v>179983.89790258987</v>
      </c>
      <c r="H22" s="187">
        <f>SUM(B22:G22)</f>
        <v>568488.54472187581</v>
      </c>
    </row>
    <row r="23" spans="1:11" x14ac:dyDescent="0.6">
      <c r="K23" s="190"/>
    </row>
    <row r="26" spans="1:11" x14ac:dyDescent="0.6">
      <c r="A26" t="s">
        <v>69</v>
      </c>
      <c r="B26" s="186">
        <f t="shared" ref="B26:G26" si="4">ROUND(B$13*$C17,0)</f>
        <v>272154</v>
      </c>
      <c r="C26" s="186">
        <f t="shared" si="4"/>
        <v>264</v>
      </c>
      <c r="D26" s="186">
        <f t="shared" si="4"/>
        <v>3564</v>
      </c>
      <c r="E26" s="186">
        <f t="shared" si="4"/>
        <v>1588</v>
      </c>
      <c r="F26" s="186">
        <f t="shared" si="4"/>
        <v>1251</v>
      </c>
      <c r="G26" s="186">
        <f t="shared" si="4"/>
        <v>103301</v>
      </c>
      <c r="H26" s="187">
        <f>SUM(B26:G26)</f>
        <v>382122</v>
      </c>
    </row>
    <row r="27" spans="1:11" x14ac:dyDescent="0.6">
      <c r="A27" t="s">
        <v>389</v>
      </c>
      <c r="B27" s="188">
        <f>'BGS Cost &amp; Bid Factors'!C$81</f>
        <v>1.0766068173408416</v>
      </c>
      <c r="C27" s="188">
        <f>'BGS Cost &amp; Bid Factors'!D$81</f>
        <v>1.0766068173408416</v>
      </c>
      <c r="D27" s="188">
        <f>'BGS Cost &amp; Bid Factors'!E$81</f>
        <v>1.0766068173408416</v>
      </c>
      <c r="E27" s="188">
        <f>'BGS Cost &amp; Bid Factors'!F$81</f>
        <v>1.0728581794184975</v>
      </c>
      <c r="F27" s="188">
        <f>'BGS Cost &amp; Bid Factors'!G$81</f>
        <v>1.0660255083227215</v>
      </c>
      <c r="G27" s="188">
        <f>'BGS Cost &amp; Bid Factors'!H$81</f>
        <v>1.0766068173408416</v>
      </c>
    </row>
    <row r="28" spans="1:11" x14ac:dyDescent="0.6">
      <c r="A28" t="s">
        <v>390</v>
      </c>
      <c r="B28" s="186">
        <f t="shared" ref="B28:G28" si="5">B26*B27</f>
        <v>293002.85176657944</v>
      </c>
      <c r="C28" s="186">
        <f t="shared" si="5"/>
        <v>284.22419977798216</v>
      </c>
      <c r="D28" s="186">
        <f t="shared" si="5"/>
        <v>3837.0266970027596</v>
      </c>
      <c r="E28" s="186">
        <f t="shared" si="5"/>
        <v>1703.6987889165739</v>
      </c>
      <c r="F28" s="186">
        <f t="shared" si="5"/>
        <v>1333.5979109117245</v>
      </c>
      <c r="G28" s="186">
        <f t="shared" si="5"/>
        <v>111214.56083812629</v>
      </c>
      <c r="H28" s="187">
        <f>SUM(B28:G28)</f>
        <v>411375.96020131477</v>
      </c>
    </row>
    <row r="29" spans="1:11" ht="13.75" thickBot="1" x14ac:dyDescent="0.75"/>
    <row r="30" spans="1:11" ht="13.75" thickBot="1" x14ac:dyDescent="0.75">
      <c r="A30" s="56" t="s">
        <v>392</v>
      </c>
      <c r="C30" s="189">
        <f>'BGS Cost &amp; Bid Factors'!E447</f>
        <v>0.11347517730496454</v>
      </c>
    </row>
    <row r="32" spans="1:11" x14ac:dyDescent="0.6">
      <c r="B32" s="51" t="s">
        <v>7</v>
      </c>
      <c r="C32" s="51" t="s">
        <v>8</v>
      </c>
      <c r="D32" s="51" t="s">
        <v>9</v>
      </c>
      <c r="E32" s="51" t="s">
        <v>10</v>
      </c>
      <c r="F32" s="51" t="s">
        <v>11</v>
      </c>
      <c r="G32" s="51" t="s">
        <v>12</v>
      </c>
      <c r="H32" s="51" t="s">
        <v>36</v>
      </c>
    </row>
    <row r="33" spans="1:8" x14ac:dyDescent="0.6">
      <c r="A33" t="s">
        <v>62</v>
      </c>
      <c r="B33" s="186">
        <f t="shared" ref="B33:G33" si="6">ROUND(B$7*$C30,0)</f>
        <v>44047</v>
      </c>
      <c r="C33" s="186">
        <f t="shared" si="6"/>
        <v>69</v>
      </c>
      <c r="D33" s="186">
        <f t="shared" si="6"/>
        <v>1162</v>
      </c>
      <c r="E33" s="186">
        <f t="shared" si="6"/>
        <v>519</v>
      </c>
      <c r="F33" s="186">
        <f t="shared" si="6"/>
        <v>399</v>
      </c>
      <c r="G33" s="186">
        <f t="shared" si="6"/>
        <v>21399</v>
      </c>
      <c r="H33" s="187">
        <f>SUM(B33:G33)</f>
        <v>67595</v>
      </c>
    </row>
    <row r="34" spans="1:8" x14ac:dyDescent="0.6">
      <c r="A34" t="s">
        <v>389</v>
      </c>
      <c r="B34" s="188">
        <f>'BGS Cost &amp; Bid Factors'!C$81</f>
        <v>1.0766068173408416</v>
      </c>
      <c r="C34" s="188">
        <f>'BGS Cost &amp; Bid Factors'!D$81</f>
        <v>1.0766068173408416</v>
      </c>
      <c r="D34" s="188">
        <f>'BGS Cost &amp; Bid Factors'!E$81</f>
        <v>1.0766068173408416</v>
      </c>
      <c r="E34" s="188">
        <f>'BGS Cost &amp; Bid Factors'!F$81</f>
        <v>1.0728581794184975</v>
      </c>
      <c r="F34" s="188">
        <f>'BGS Cost &amp; Bid Factors'!G$81</f>
        <v>1.0660255083227215</v>
      </c>
      <c r="G34" s="188">
        <f>'BGS Cost &amp; Bid Factors'!H$81</f>
        <v>1.0766068173408416</v>
      </c>
    </row>
    <row r="35" spans="1:8" x14ac:dyDescent="0.6">
      <c r="A35" t="s">
        <v>390</v>
      </c>
      <c r="B35" s="186">
        <f t="shared" ref="B35:G35" si="7">B33*B34</f>
        <v>47421.300483412051</v>
      </c>
      <c r="C35" s="186">
        <f t="shared" si="7"/>
        <v>74.285870396518078</v>
      </c>
      <c r="D35" s="186">
        <f t="shared" si="7"/>
        <v>1251.0171217500579</v>
      </c>
      <c r="E35" s="186">
        <f t="shared" si="7"/>
        <v>556.81339511820022</v>
      </c>
      <c r="F35" s="186">
        <f t="shared" si="7"/>
        <v>425.34417782076588</v>
      </c>
      <c r="G35" s="186">
        <f t="shared" si="7"/>
        <v>23038.309284276671</v>
      </c>
      <c r="H35" s="187">
        <f>SUM(B35:G35)</f>
        <v>72767.070332774267</v>
      </c>
    </row>
    <row r="39" spans="1:8" x14ac:dyDescent="0.6">
      <c r="A39" t="s">
        <v>69</v>
      </c>
      <c r="B39" s="186">
        <f t="shared" ref="B39:G39" si="8">ROUND(B$13*$C30,0)</f>
        <v>34836</v>
      </c>
      <c r="C39" s="186">
        <f t="shared" si="8"/>
        <v>34</v>
      </c>
      <c r="D39" s="186">
        <f t="shared" si="8"/>
        <v>456</v>
      </c>
      <c r="E39" s="186">
        <f t="shared" si="8"/>
        <v>203</v>
      </c>
      <c r="F39" s="186">
        <f t="shared" si="8"/>
        <v>160</v>
      </c>
      <c r="G39" s="186">
        <f t="shared" si="8"/>
        <v>13222</v>
      </c>
      <c r="H39" s="187">
        <f>SUM(B39:G39)</f>
        <v>48911</v>
      </c>
    </row>
    <row r="40" spans="1:8" x14ac:dyDescent="0.6">
      <c r="A40" t="s">
        <v>389</v>
      </c>
      <c r="B40" s="188">
        <f>'BGS Cost &amp; Bid Factors'!C$81</f>
        <v>1.0766068173408416</v>
      </c>
      <c r="C40" s="188">
        <f>'BGS Cost &amp; Bid Factors'!D$81</f>
        <v>1.0766068173408416</v>
      </c>
      <c r="D40" s="188">
        <f>'BGS Cost &amp; Bid Factors'!E$81</f>
        <v>1.0766068173408416</v>
      </c>
      <c r="E40" s="188">
        <f>'BGS Cost &amp; Bid Factors'!F$81</f>
        <v>1.0728581794184975</v>
      </c>
      <c r="F40" s="188">
        <f>'BGS Cost &amp; Bid Factors'!G$81</f>
        <v>1.0660255083227215</v>
      </c>
      <c r="G40" s="188">
        <f>'BGS Cost &amp; Bid Factors'!H$81</f>
        <v>1.0766068173408416</v>
      </c>
    </row>
    <row r="41" spans="1:8" x14ac:dyDescent="0.6">
      <c r="A41" t="s">
        <v>390</v>
      </c>
      <c r="B41" s="186">
        <f t="shared" ref="B41:G41" si="9">B39*B40</f>
        <v>37504.67508888556</v>
      </c>
      <c r="C41" s="186">
        <f t="shared" si="9"/>
        <v>36.604631789588616</v>
      </c>
      <c r="D41" s="186">
        <f t="shared" si="9"/>
        <v>490.93270870742379</v>
      </c>
      <c r="E41" s="186">
        <f t="shared" si="9"/>
        <v>217.79021042195498</v>
      </c>
      <c r="F41" s="186">
        <f t="shared" si="9"/>
        <v>170.56408133163544</v>
      </c>
      <c r="G41" s="186">
        <f t="shared" si="9"/>
        <v>14234.895338880608</v>
      </c>
      <c r="H41" s="187">
        <f>SUM(B41:G41)</f>
        <v>52655.462060016769</v>
      </c>
    </row>
    <row r="43" spans="1:8" ht="13.75" thickBot="1" x14ac:dyDescent="0.75"/>
    <row r="44" spans="1:8" x14ac:dyDescent="0.6">
      <c r="A44" s="191" t="s">
        <v>393</v>
      </c>
      <c r="B44" s="192"/>
      <c r="C44" s="192"/>
      <c r="D44" s="192"/>
      <c r="E44" s="193"/>
    </row>
    <row r="45" spans="1:8" x14ac:dyDescent="0.6">
      <c r="A45" s="194"/>
      <c r="B45" s="195"/>
      <c r="C45" s="195"/>
      <c r="D45" s="195"/>
      <c r="E45" s="196"/>
    </row>
    <row r="46" spans="1:8" x14ac:dyDescent="0.6">
      <c r="A46" s="194" t="s">
        <v>367</v>
      </c>
      <c r="B46" s="195"/>
      <c r="C46" s="195"/>
      <c r="D46" s="195"/>
      <c r="E46" s="196"/>
    </row>
    <row r="47" spans="1:8" x14ac:dyDescent="0.6">
      <c r="A47" s="194"/>
      <c r="B47" s="195"/>
      <c r="C47" s="197" t="s">
        <v>368</v>
      </c>
      <c r="D47" s="197" t="s">
        <v>369</v>
      </c>
      <c r="E47" s="198" t="s">
        <v>36</v>
      </c>
    </row>
    <row r="48" spans="1:8" x14ac:dyDescent="0.6">
      <c r="A48" s="194"/>
      <c r="B48" s="195"/>
      <c r="C48" s="195"/>
      <c r="D48" s="195"/>
      <c r="E48" s="196"/>
    </row>
    <row r="49" spans="1:5" x14ac:dyDescent="0.6">
      <c r="A49" s="194"/>
      <c r="B49" s="195" t="s">
        <v>69</v>
      </c>
      <c r="C49" s="199">
        <f>H26</f>
        <v>382122</v>
      </c>
      <c r="D49" s="199">
        <f>H39</f>
        <v>48911</v>
      </c>
      <c r="E49" s="200">
        <f>SUM(C49:D49)</f>
        <v>431033</v>
      </c>
    </row>
    <row r="50" spans="1:5" x14ac:dyDescent="0.6">
      <c r="A50" s="194"/>
      <c r="B50" s="195" t="s">
        <v>62</v>
      </c>
      <c r="C50" s="201">
        <f>H20</f>
        <v>528082</v>
      </c>
      <c r="D50" s="201">
        <f>H33</f>
        <v>67595</v>
      </c>
      <c r="E50" s="202">
        <f>SUM(C50:D50)</f>
        <v>595677</v>
      </c>
    </row>
    <row r="51" spans="1:5" x14ac:dyDescent="0.6">
      <c r="A51" s="194"/>
      <c r="B51" s="195" t="s">
        <v>36</v>
      </c>
      <c r="C51" s="199">
        <f>SUM(C49:C50)</f>
        <v>910204</v>
      </c>
      <c r="D51" s="199">
        <f>SUM(D49:D50)</f>
        <v>116506</v>
      </c>
      <c r="E51" s="200">
        <f>SUM(E49:E50)</f>
        <v>1026710</v>
      </c>
    </row>
    <row r="52" spans="1:5" x14ac:dyDescent="0.6">
      <c r="A52" s="194"/>
      <c r="B52" s="195"/>
      <c r="C52" s="195"/>
      <c r="D52" s="195"/>
      <c r="E52" s="196"/>
    </row>
    <row r="53" spans="1:5" x14ac:dyDescent="0.6">
      <c r="A53" s="194" t="s">
        <v>370</v>
      </c>
      <c r="B53" s="195"/>
      <c r="C53" s="195"/>
      <c r="D53" s="195"/>
      <c r="E53" s="196"/>
    </row>
    <row r="54" spans="1:5" x14ac:dyDescent="0.6">
      <c r="A54" s="194"/>
      <c r="B54" s="195"/>
      <c r="C54" s="197" t="s">
        <v>368</v>
      </c>
      <c r="D54" s="197" t="s">
        <v>369</v>
      </c>
      <c r="E54" s="198" t="s">
        <v>36</v>
      </c>
    </row>
    <row r="55" spans="1:5" x14ac:dyDescent="0.6">
      <c r="A55" s="194"/>
      <c r="B55" s="195"/>
      <c r="C55" s="195"/>
      <c r="D55" s="195"/>
      <c r="E55" s="196"/>
    </row>
    <row r="56" spans="1:5" x14ac:dyDescent="0.6">
      <c r="A56" s="194"/>
      <c r="B56" s="195" t="s">
        <v>69</v>
      </c>
      <c r="C56" s="199">
        <f>H28</f>
        <v>411375.96020131477</v>
      </c>
      <c r="D56" s="199">
        <f>H41</f>
        <v>52655.462060016769</v>
      </c>
      <c r="E56" s="200">
        <f>SUM(C56:D56)</f>
        <v>464031.42226133152</v>
      </c>
    </row>
    <row r="57" spans="1:5" x14ac:dyDescent="0.6">
      <c r="A57" s="194"/>
      <c r="B57" s="195" t="s">
        <v>62</v>
      </c>
      <c r="C57" s="201">
        <f>H22</f>
        <v>568488.54472187581</v>
      </c>
      <c r="D57" s="201">
        <f>H35</f>
        <v>72767.070332774267</v>
      </c>
      <c r="E57" s="202">
        <f>SUM(C57:D57)</f>
        <v>641255.61505465012</v>
      </c>
    </row>
    <row r="58" spans="1:5" ht="13.75" thickBot="1" x14ac:dyDescent="0.75">
      <c r="A58" s="203"/>
      <c r="B58" s="204" t="s">
        <v>36</v>
      </c>
      <c r="C58" s="205">
        <f>SUM(C56:C57)</f>
        <v>979864.50492319057</v>
      </c>
      <c r="D58" s="205">
        <f>SUM(D56:D57)</f>
        <v>125422.53239279104</v>
      </c>
      <c r="E58" s="206">
        <f>SUM(E56:E57)</f>
        <v>1105287.0373159817</v>
      </c>
    </row>
  </sheetData>
  <pageMargins left="0.75" right="0.75" top="0.27" bottom="0.27" header="0.17" footer="0.17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BGS Cost &amp; Bid Factors</vt:lpstr>
      <vt:lpstr>Weighted Avg Price Calc</vt:lpstr>
      <vt:lpstr>Rate Calculations</vt:lpstr>
      <vt:lpstr>Usage By Season</vt:lpstr>
      <vt:lpstr>'BGS Cost &amp; Bid Factors'!Print_Area</vt:lpstr>
      <vt:lpstr>'Rate Calculations'!Print_Area</vt:lpstr>
      <vt:lpstr>'Usage By Season'!Print_Area</vt:lpstr>
      <vt:lpstr>'Weighted Avg Price Calc'!Print_Area</vt:lpstr>
      <vt:lpstr>'Rate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Chauncey</dc:creator>
  <cp:lastModifiedBy>Sinotte, Abigail</cp:lastModifiedBy>
  <dcterms:created xsi:type="dcterms:W3CDTF">2024-06-27T19:02:49Z</dcterms:created>
  <dcterms:modified xsi:type="dcterms:W3CDTF">2024-06-28T18:13:02Z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d9d511-a1f7-4d2c-8314-821736fca4b5_Enabled">
    <vt:lpwstr>true</vt:lpwstr>
  </property>
  <property fmtid="{D5CDD505-2E9C-101B-9397-08002B2CF9AE}" pid="3" name="MSIP_Label_90d9d511-a1f7-4d2c-8314-821736fca4b5_SetDate">
    <vt:lpwstr>2024-06-28T10:38:26Z</vt:lpwstr>
  </property>
  <property fmtid="{D5CDD505-2E9C-101B-9397-08002B2CF9AE}" pid="4" name="MSIP_Label_90d9d511-a1f7-4d2c-8314-821736fca4b5_Method">
    <vt:lpwstr>Privileged</vt:lpwstr>
  </property>
  <property fmtid="{D5CDD505-2E9C-101B-9397-08002B2CF9AE}" pid="5" name="MSIP_Label_90d9d511-a1f7-4d2c-8314-821736fca4b5_Name">
    <vt:lpwstr>Public (No Label)</vt:lpwstr>
  </property>
  <property fmtid="{D5CDD505-2E9C-101B-9397-08002B2CF9AE}" pid="6" name="MSIP_Label_90d9d511-a1f7-4d2c-8314-821736fca4b5_SiteId">
    <vt:lpwstr>e9aef9b7-25ca-4518-a881-33e546773136</vt:lpwstr>
  </property>
  <property fmtid="{D5CDD505-2E9C-101B-9397-08002B2CF9AE}" pid="7" name="MSIP_Label_90d9d511-a1f7-4d2c-8314-821736fca4b5_ActionId">
    <vt:lpwstr>d3795c45-4adc-45b5-b230-9383a5e46195</vt:lpwstr>
  </property>
  <property fmtid="{D5CDD505-2E9C-101B-9397-08002B2CF9AE}" pid="8" name="MSIP_Label_90d9d511-a1f7-4d2c-8314-821736fca4b5_ContentBits">
    <vt:lpwstr>0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2024-06-28T18:09:03Z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d9f2beba-d772-47b1-9f4c-161b7164c6ae</vt:lpwstr>
  </property>
  <property fmtid="{D5CDD505-2E9C-101B-9397-08002B2CF9AE}" pid="15" name="MSIP_Label_38f1469a-2c2a-4aee-b92b-090d4c5468ff_ContentBits">
    <vt:lpwstr>0</vt:lpwstr>
  </property>
</Properties>
</file>