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danielle.honan\Downloads\"/>
    </mc:Choice>
  </mc:AlternateContent>
  <xr:revisionPtr revIDLastSave="0" documentId="8_{57BC660B-0316-413F-BEC9-842C496C2A0D}" xr6:coauthVersionLast="47" xr6:coauthVersionMax="47" xr10:uidLastSave="{00000000-0000-0000-0000-000000000000}"/>
  <bookViews>
    <workbookView xWindow="-705" yWindow="-17415" windowWidth="22290" windowHeight="15705" tabRatio="722" firstSheet="1" activeTab="1" xr2:uid="{00000000-000D-0000-FFFF-FFFF00000000}"/>
  </bookViews>
  <sheets>
    <sheet name="Updates to Spreadsheet" sheetId="4" state="hidden" r:id="rId1"/>
    <sheet name="Input" sheetId="5" r:id="rId2"/>
    <sheet name="Attach 2" sheetId="6" r:id="rId3"/>
    <sheet name="Attach 3" sheetId="7" r:id="rId4"/>
    <sheet name="Attach 4 P1" sheetId="53" r:id="rId5"/>
    <sheet name="Attach 4 P2" sheetId="50" r:id="rId6"/>
    <sheet name="Attach 4 P3" sheetId="54" r:id="rId7"/>
    <sheet name="Attach 4 P4" sheetId="51" r:id="rId8"/>
    <sheet name="Attach 4 P5" sheetId="55" r:id="rId9"/>
    <sheet name="Attach 4 P6" sheetId="56" r:id="rId10"/>
    <sheet name="Attach 4 Pg5 olddnu" sheetId="43" state="hidden" r:id="rId11"/>
    <sheet name="Attach 4 Pg 4 (4-5)old dnu" sheetId="42" state="hidden" r:id="rId12"/>
    <sheet name="Full Step Overview " sheetId="10" state="hidden" r:id="rId13"/>
  </sheets>
  <definedNames>
    <definedName name="\a" localSheetId="4">#REF!</definedName>
    <definedName name="\a" localSheetId="5">#REF!</definedName>
    <definedName name="\a" localSheetId="6">#REF!</definedName>
    <definedName name="\a" localSheetId="7">#REF!</definedName>
    <definedName name="\a" localSheetId="8">#REF!</definedName>
    <definedName name="\a" localSheetId="9">#REF!</definedName>
    <definedName name="\a" localSheetId="11">#REF!</definedName>
    <definedName name="\a" localSheetId="10">#REF!</definedName>
    <definedName name="\a" localSheetId="12">#REF!</definedName>
    <definedName name="\a">#REF!</definedName>
    <definedName name="_xlnm._FilterDatabase" localSheetId="1" hidden="1">Input!$N$13:$W$141</definedName>
    <definedName name="Co_letter" localSheetId="4">#REF!</definedName>
    <definedName name="Co_letter" localSheetId="5">#REF!</definedName>
    <definedName name="Co_letter" localSheetId="6">#REF!</definedName>
    <definedName name="Co_letter" localSheetId="7">#REF!</definedName>
    <definedName name="Co_letter" localSheetId="8">#REF!</definedName>
    <definedName name="Co_letter" localSheetId="9">#REF!</definedName>
    <definedName name="Co_letter" localSheetId="11">#REF!</definedName>
    <definedName name="Co_letter" localSheetId="10">#REF!</definedName>
    <definedName name="Co_letter" localSheetId="12">#REF!</definedName>
    <definedName name="Co_letter">#REF!</definedName>
    <definedName name="Co_List" localSheetId="4">#REF!</definedName>
    <definedName name="Co_List" localSheetId="5">#REF!</definedName>
    <definedName name="Co_List" localSheetId="6">#REF!</definedName>
    <definedName name="Co_List" localSheetId="7">#REF!</definedName>
    <definedName name="Co_List" localSheetId="8">#REF!</definedName>
    <definedName name="Co_List" localSheetId="9">#REF!</definedName>
    <definedName name="Co_List" localSheetId="11">#REF!</definedName>
    <definedName name="Co_List" localSheetId="10">#REF!</definedName>
    <definedName name="Co_List" localSheetId="12">#REF!</definedName>
    <definedName name="Co_List">#REF!</definedName>
    <definedName name="Co_Listc" localSheetId="4">#REF!</definedName>
    <definedName name="Co_Listc" localSheetId="5">#REF!</definedName>
    <definedName name="Co_Listc" localSheetId="6">#REF!</definedName>
    <definedName name="Co_Listc" localSheetId="7">#REF!</definedName>
    <definedName name="Co_Listc" localSheetId="8">#REF!</definedName>
    <definedName name="Co_Listc" localSheetId="9">#REF!</definedName>
    <definedName name="Co_Listc">#REF!</definedName>
    <definedName name="Co_Name" localSheetId="4">#REF!</definedName>
    <definedName name="Co_Name" localSheetId="5">#REF!</definedName>
    <definedName name="Co_Name" localSheetId="6">#REF!</definedName>
    <definedName name="Co_Name" localSheetId="7">#REF!</definedName>
    <definedName name="Co_Name" localSheetId="8">#REF!</definedName>
    <definedName name="Co_Name" localSheetId="9">#REF!</definedName>
    <definedName name="Co_Name" localSheetId="11">#REF!</definedName>
    <definedName name="Co_Name" localSheetId="10">#REF!</definedName>
    <definedName name="Co_Name" localSheetId="12">#REF!</definedName>
    <definedName name="Co_Name">#REF!</definedName>
    <definedName name="Co_Picked" localSheetId="4">#REF!</definedName>
    <definedName name="Co_Picked" localSheetId="5">#REF!</definedName>
    <definedName name="Co_Picked" localSheetId="6">#REF!</definedName>
    <definedName name="Co_Picked" localSheetId="7">#REF!</definedName>
    <definedName name="Co_Picked" localSheetId="8">#REF!</definedName>
    <definedName name="Co_Picked" localSheetId="9">#REF!</definedName>
    <definedName name="Co_Picked" localSheetId="11">#REF!</definedName>
    <definedName name="Co_Picked" localSheetId="10">#REF!</definedName>
    <definedName name="Co_Picked" localSheetId="12">#REF!</definedName>
    <definedName name="Co_Picked">#REF!</definedName>
    <definedName name="Get_Co" localSheetId="4">#REF!</definedName>
    <definedName name="Get_Co" localSheetId="5">#REF!</definedName>
    <definedName name="Get_Co" localSheetId="6">#REF!</definedName>
    <definedName name="Get_Co" localSheetId="7">#REF!</definedName>
    <definedName name="Get_Co" localSheetId="8">#REF!</definedName>
    <definedName name="Get_Co" localSheetId="9">#REF!</definedName>
    <definedName name="Get_Co" localSheetId="11">#REF!</definedName>
    <definedName name="Get_Co" localSheetId="10">#REF!</definedName>
    <definedName name="Get_Co" localSheetId="12">#REF!</definedName>
    <definedName name="Get_Co">#REF!</definedName>
    <definedName name="Get_Mo" localSheetId="4">#REF!</definedName>
    <definedName name="Get_Mo" localSheetId="5">#REF!</definedName>
    <definedName name="Get_Mo" localSheetId="6">#REF!</definedName>
    <definedName name="Get_Mo" localSheetId="7">#REF!</definedName>
    <definedName name="Get_Mo" localSheetId="8">#REF!</definedName>
    <definedName name="Get_Mo" localSheetId="9">#REF!</definedName>
    <definedName name="Get_Mo" localSheetId="11">#REF!</definedName>
    <definedName name="Get_Mo" localSheetId="10">#REF!</definedName>
    <definedName name="Get_Mo" localSheetId="12">#REF!</definedName>
    <definedName name="Get_Mo">#REF!</definedName>
    <definedName name="Get_moc" localSheetId="4">#REF!</definedName>
    <definedName name="Get_moc" localSheetId="5">#REF!</definedName>
    <definedName name="Get_moc" localSheetId="6">#REF!</definedName>
    <definedName name="Get_moc" localSheetId="7">#REF!</definedName>
    <definedName name="Get_moc" localSheetId="8">#REF!</definedName>
    <definedName name="Get_moc" localSheetId="9">#REF!</definedName>
    <definedName name="Get_moc">#REF!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o_List" localSheetId="4">#REF!</definedName>
    <definedName name="Mo_List" localSheetId="5">#REF!</definedName>
    <definedName name="Mo_List" localSheetId="6">#REF!</definedName>
    <definedName name="Mo_List" localSheetId="7">#REF!</definedName>
    <definedName name="Mo_List" localSheetId="8">#REF!</definedName>
    <definedName name="Mo_List" localSheetId="9">#REF!</definedName>
    <definedName name="Mo_List" localSheetId="11">#REF!</definedName>
    <definedName name="Mo_List" localSheetId="10">#REF!</definedName>
    <definedName name="Mo_List" localSheetId="12">#REF!</definedName>
    <definedName name="Mo_List">#REF!</definedName>
    <definedName name="Mo_Picked" localSheetId="4">#REF!</definedName>
    <definedName name="Mo_Picked" localSheetId="5">#REF!</definedName>
    <definedName name="Mo_Picked" localSheetId="6">#REF!</definedName>
    <definedName name="Mo_Picked" localSheetId="7">#REF!</definedName>
    <definedName name="Mo_Picked" localSheetId="8">#REF!</definedName>
    <definedName name="Mo_Picked" localSheetId="9">#REF!</definedName>
    <definedName name="Mo_Picked" localSheetId="11">#REF!</definedName>
    <definedName name="Mo_Picked" localSheetId="10">#REF!</definedName>
    <definedName name="Mo_Picked" localSheetId="12">#REF!</definedName>
    <definedName name="Mo_Picked">#REF!</definedName>
    <definedName name="_xlnm.Print_Area" localSheetId="2">'Attach 2'!$A$1:$L$354</definedName>
    <definedName name="_xlnm.Print_Area" localSheetId="3">'Attach 3'!$A$1:$L$213</definedName>
    <definedName name="_xlnm.Print_Area" localSheetId="4">'Attach 4 P1'!$A$1:$G$21</definedName>
    <definedName name="_xlnm.Print_Area" localSheetId="5">'Attach 4 P2'!$A$1:$K$22</definedName>
    <definedName name="_xlnm.Print_Area" localSheetId="6">'Attach 4 P3'!$A$1:$J$23</definedName>
    <definedName name="_xlnm.Print_Area" localSheetId="7">'Attach 4 P4'!$A$1:$G$34</definedName>
    <definedName name="_xlnm.Print_Area" localSheetId="8">'Attach 4 P5'!$A$1:$H$33</definedName>
    <definedName name="_xlnm.Print_Area" localSheetId="9">'Attach 4 P6'!$A$1:$E$13</definedName>
    <definedName name="_xlnm.Print_Area" localSheetId="11">'Attach 4 Pg 4 (4-5)old dnu'!$A$1:$J$33</definedName>
    <definedName name="_xlnm.Print_Area" localSheetId="10">'Attach 4 Pg5 olddnu'!$A$1:$J$33</definedName>
    <definedName name="_xlnm.Print_Area">#REF!</definedName>
    <definedName name="Print_Area_MI" localSheetId="4">#REF!</definedName>
    <definedName name="Print_Area_MI" localSheetId="5">#REF!</definedName>
    <definedName name="Print_Area_MI" localSheetId="6">#REF!</definedName>
    <definedName name="Print_Area_MI" localSheetId="7">#REF!</definedName>
    <definedName name="Print_Area_MI" localSheetId="8">#REF!</definedName>
    <definedName name="Print_Area_MI" localSheetId="9">#REF!</definedName>
    <definedName name="Print_Area_MI" localSheetId="11">#REF!</definedName>
    <definedName name="Print_Area_MI" localSheetId="10">#REF!</definedName>
    <definedName name="Print_Area_MI" localSheetId="12">#REF!</definedName>
    <definedName name="Print_Area_MI">#REF!</definedName>
    <definedName name="_xlnm.Print_Titles" localSheetId="3">'Attach 3'!$1:$4</definedName>
    <definedName name="_xlnm.Print_Titles" localSheetId="7">'Attach 4 P4'!$2:$4</definedName>
    <definedName name="_xlnm.Print_Titles" localSheetId="8">'Attach 4 P5'!$2:$4</definedName>
    <definedName name="_xlnm.Print_Titles" localSheetId="11">'Attach 4 Pg 4 (4-5)old dnu'!$2:$4</definedName>
    <definedName name="_xlnm.Print_Titles" localSheetId="10">'Attach 4 Pg5 olddnu'!$2:$4</definedName>
    <definedName name="_xlnm.Print_Titles">#N/A</definedName>
    <definedName name="Rpt_Mo" localSheetId="4">#REF!</definedName>
    <definedName name="Rpt_Mo" localSheetId="5">#REF!</definedName>
    <definedName name="Rpt_Mo" localSheetId="6">#REF!</definedName>
    <definedName name="Rpt_Mo" localSheetId="7">#REF!</definedName>
    <definedName name="Rpt_Mo" localSheetId="8">#REF!</definedName>
    <definedName name="Rpt_Mo" localSheetId="9">#REF!</definedName>
    <definedName name="Rpt_Mo" localSheetId="11">#REF!</definedName>
    <definedName name="Rpt_Mo" localSheetId="10">#REF!</definedName>
    <definedName name="Rpt_Mo" localSheetId="12">#REF!</definedName>
    <definedName name="Rpt_Mo">#REF!</definedName>
    <definedName name="SUM" localSheetId="4">#REF!</definedName>
    <definedName name="SUM" localSheetId="5">#REF!</definedName>
    <definedName name="SUM" localSheetId="6">#REF!</definedName>
    <definedName name="SUM" localSheetId="7">#REF!</definedName>
    <definedName name="SUM" localSheetId="8">#REF!</definedName>
    <definedName name="SUM" localSheetId="9">#REF!</definedName>
    <definedName name="SUM">#REF!</definedName>
    <definedName name="Year1" localSheetId="4">#REF!</definedName>
    <definedName name="Year1" localSheetId="5">#REF!</definedName>
    <definedName name="Year1" localSheetId="6">#REF!</definedName>
    <definedName name="Year1" localSheetId="7">#REF!</definedName>
    <definedName name="Year1" localSheetId="8">#REF!</definedName>
    <definedName name="Year1" localSheetId="9">#REF!</definedName>
    <definedName name="Year1" localSheetId="11">#REF!</definedName>
    <definedName name="Year1" localSheetId="10">#REF!</definedName>
    <definedName name="Year1" localSheetId="12">#REF!</definedName>
    <definedName name="Year1">#REF!</definedName>
    <definedName name="Z_279F1FAD_C428_4166_9FD0_7026629BA599_.wvu.PrintArea" localSheetId="5" hidden="1">'Attach 4 P2'!$A$1:$K$21</definedName>
    <definedName name="Z_279F1FAD_C428_4166_9FD0_7026629BA599_.wvu.PrintArea" localSheetId="6" hidden="1">'Attach 4 P3'!$A$1:$J$21</definedName>
    <definedName name="Z_279F1FAD_C428_4166_9FD0_7026629BA599_.wvu.PrintArea" localSheetId="7" hidden="1">'Attach 4 P4'!$A$1:$J$33</definedName>
    <definedName name="Z_279F1FAD_C428_4166_9FD0_7026629BA599_.wvu.PrintArea" localSheetId="8" hidden="1">'Attach 4 P5'!$A$1:$J$33</definedName>
    <definedName name="Z_279F1FAD_C428_4166_9FD0_7026629BA599_.wvu.PrintArea" localSheetId="10" hidden="1">'Attach 4 Pg5 olddnu'!$A$1:$J$33</definedName>
    <definedName name="Z_279F1FAD_C428_4166_9FD0_7026629BA599_.wvu.PrintTitles" localSheetId="7" hidden="1">'Attach 4 P4'!$2:$4</definedName>
    <definedName name="Z_279F1FAD_C428_4166_9FD0_7026629BA599_.wvu.PrintTitles" localSheetId="8" hidden="1">'Attach 4 P5'!$2:$4</definedName>
    <definedName name="Z_279F1FAD_C428_4166_9FD0_7026629BA599_.wvu.PrintTitles" localSheetId="10" hidden="1">'Attach 4 Pg5 olddnu'!$2:$4</definedName>
    <definedName name="Z_782F5CFE_DE26_4D5A_B82E_30A424B0A39B_.wvu.PrintArea" localSheetId="2" hidden="1">'Attach 2'!$A$1:$L$354</definedName>
    <definedName name="Z_782F5CFE_DE26_4D5A_B82E_30A424B0A39B_.wvu.PrintArea" localSheetId="3" hidden="1">'Attach 3'!$A$1:$L$213</definedName>
    <definedName name="Z_782F5CFE_DE26_4D5A_B82E_30A424B0A39B_.wvu.PrintTitles" localSheetId="3" hidden="1">'Attach 3'!$1:$4</definedName>
    <definedName name="Z_782F5CFE_DE26_4D5A_B82E_30A424B0A39B_.wvu.Rows" localSheetId="3" hidden="1">'Attach 3'!$214:$275</definedName>
    <definedName name="Z_782F5CFE_DE26_4D5A_B82E_30A424B0A39B_.wvu.Rows" localSheetId="1" hidden="1">Input!$310:$386</definedName>
    <definedName name="Z_88B031DE_0423_45A5_B384_E560A52FDD07_.wvu.PrintArea" localSheetId="2" hidden="1">'Attach 2'!$A$1:$L$354</definedName>
    <definedName name="Z_88B031DE_0423_45A5_B384_E560A52FDD07_.wvu.PrintArea" localSheetId="3" hidden="1">'Attach 3'!$A$1:$L$213</definedName>
    <definedName name="Z_88B031DE_0423_45A5_B384_E560A52FDD07_.wvu.PrintTitles" localSheetId="3" hidden="1">'Attach 3'!$1:$4</definedName>
    <definedName name="Z_88B031DE_0423_45A5_B384_E560A52FDD07_.wvu.Rows" localSheetId="3" hidden="1">'Attach 3'!$214:$275</definedName>
    <definedName name="Z_88B031DE_0423_45A5_B384_E560A52FDD07_.wvu.Rows" localSheetId="1" hidden="1">Input!$310:$386</definedName>
    <definedName name="Z_9BF7FAF1_D686_4A6B_A2BE_0DAD43841920_.wvu.PrintArea" localSheetId="2" hidden="1">'Attach 2'!$A$1:$L$354</definedName>
    <definedName name="Z_9BF7FAF1_D686_4A6B_A2BE_0DAD43841920_.wvu.PrintArea" localSheetId="3" hidden="1">'Attach 3'!$A$1:$L$213</definedName>
    <definedName name="Z_9BF7FAF1_D686_4A6B_A2BE_0DAD43841920_.wvu.PrintTitles" localSheetId="3" hidden="1">'Attach 3'!$1:$4</definedName>
    <definedName name="Z_9BF7FAF1_D686_4A6B_A2BE_0DAD43841920_.wvu.Rows" localSheetId="3" hidden="1">'Attach 3'!$214:$275</definedName>
    <definedName name="Z_9BF7FAF1_D686_4A6B_A2BE_0DAD43841920_.wvu.Rows" localSheetId="1" hidden="1">Input!$310:$386</definedName>
    <definedName name="Z_D5524E47_947F_4D9F_AE8B_3F0380261994_.wvu.PrintArea" localSheetId="2" hidden="1">'Attach 2'!$A$1:$L$354</definedName>
    <definedName name="Z_D5524E47_947F_4D9F_AE8B_3F0380261994_.wvu.PrintArea" localSheetId="3" hidden="1">'Attach 3'!$A$1:$L$213</definedName>
    <definedName name="Z_D5524E47_947F_4D9F_AE8B_3F0380261994_.wvu.PrintTitles" localSheetId="3" hidden="1">'Attach 3'!$1:$4</definedName>
    <definedName name="Z_D5524E47_947F_4D9F_AE8B_3F0380261994_.wvu.Rows" localSheetId="3" hidden="1">'Attach 3'!$214:$275</definedName>
    <definedName name="Z_D5524E47_947F_4D9F_AE8B_3F0380261994_.wvu.Rows" localSheetId="1" hidden="1">Input!$310:$386</definedName>
  </definedNames>
  <calcPr calcId="191029"/>
  <customWorkbookViews>
    <customWorkbookView name="Mike Merizio - Personal View" guid="{9BF7FAF1-D686-4A6B-A2BE-0DAD43841920}" mergeInterval="0" personalView="1" maximized="1" windowWidth="1904" windowHeight="783" tabRatio="942" activeSheetId="22"/>
    <customWorkbookView name="JC - Personal View" guid="{D5524E47-947F-4D9F-AE8B-3F0380261994}" mergeInterval="0" personalView="1" maximized="1" windowWidth="1920" windowHeight="753" tabRatio="907" activeSheetId="21"/>
    <customWorkbookView name="PSEG - Personal View" guid="{88B031DE-0423-45A5-B384-E560A52FDD07}" mergeInterval="0" personalView="1" maximized="1" windowWidth="1659" windowHeight="732" tabRatio="907" activeSheetId="21"/>
    <customWorkbookView name="Dave Zarra - Personal View" guid="{782F5CFE-DE26-4D5A-B82E-30A424B0A39B}" mergeInterval="0" personalView="1" maximized="1" windowWidth="1920" windowHeight="854" tabRatio="942" activeSheetId="1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55" l="1"/>
  <c r="E18" i="53" l="1"/>
  <c r="D18" i="53"/>
  <c r="C18" i="53"/>
  <c r="E8" i="53"/>
  <c r="D8" i="53"/>
  <c r="D8" i="50" s="1"/>
  <c r="C8" i="53"/>
  <c r="C8" i="50" s="1"/>
  <c r="C12" i="56"/>
  <c r="C7" i="56"/>
  <c r="C18" i="54"/>
  <c r="C21" i="55"/>
  <c r="C20" i="55"/>
  <c r="C20" i="51"/>
  <c r="C8" i="51"/>
  <c r="C8" i="54"/>
  <c r="C14" i="54"/>
  <c r="C7" i="54"/>
  <c r="D18" i="50"/>
  <c r="D14" i="50"/>
  <c r="D7" i="50"/>
  <c r="E10" i="53"/>
  <c r="E16" i="53" s="1"/>
  <c r="D10" i="53"/>
  <c r="D16" i="53" s="1"/>
  <c r="C10" i="53"/>
  <c r="C16" i="53" s="1"/>
  <c r="E19" i="53"/>
  <c r="D19" i="53"/>
  <c r="C7" i="53"/>
  <c r="D7" i="53"/>
  <c r="E7" i="53"/>
  <c r="C14" i="53"/>
  <c r="D14" i="53"/>
  <c r="E14" i="53"/>
  <c r="C19" i="54" l="1"/>
  <c r="C10" i="54"/>
  <c r="C16" i="54" s="1"/>
  <c r="D10" i="50"/>
  <c r="D16" i="50" s="1"/>
  <c r="D19" i="50"/>
  <c r="E21" i="53"/>
  <c r="E9" i="7" s="1"/>
  <c r="D21" i="53"/>
  <c r="D9" i="7" s="1"/>
  <c r="C19" i="53"/>
  <c r="C21" i="53" s="1"/>
  <c r="C9" i="7" s="1"/>
  <c r="C21" i="54" l="1"/>
  <c r="C9" i="55" s="1"/>
  <c r="D21" i="50"/>
  <c r="D9" i="51" s="1"/>
  <c r="M102" i="5" l="1"/>
  <c r="M101" i="5"/>
  <c r="B47" i="5"/>
  <c r="C7" i="50" l="1"/>
  <c r="C14" i="7" l="1"/>
  <c r="E14" i="7"/>
  <c r="O139" i="5" l="1"/>
  <c r="N139" i="5"/>
  <c r="C8" i="42" l="1"/>
  <c r="D8" i="42"/>
  <c r="C8" i="43" s="1"/>
  <c r="C12" i="43"/>
  <c r="C10" i="50" l="1"/>
  <c r="E9" i="5"/>
  <c r="C9" i="42" l="1"/>
  <c r="C10" i="42" s="1"/>
  <c r="D9" i="42"/>
  <c r="D10" i="42" s="1"/>
  <c r="E8" i="42" s="1"/>
  <c r="D8" i="43" s="1"/>
  <c r="D10" i="43" s="1"/>
  <c r="E45" i="6"/>
  <c r="E46" i="6"/>
  <c r="E47" i="6"/>
  <c r="E48" i="6"/>
  <c r="E49" i="6"/>
  <c r="E50" i="6"/>
  <c r="E51" i="6"/>
  <c r="E52" i="6"/>
  <c r="E53" i="6"/>
  <c r="E54" i="6"/>
  <c r="E55" i="6"/>
  <c r="E56" i="6"/>
  <c r="E10" i="42" l="1"/>
  <c r="E8" i="43"/>
  <c r="E10" i="43" s="1"/>
  <c r="E28" i="5" l="1"/>
  <c r="E23" i="6" l="1"/>
  <c r="D8" i="7" l="1"/>
  <c r="C8" i="7"/>
  <c r="B5" i="5" l="1"/>
  <c r="B1" i="7" l="1"/>
  <c r="C288" i="6"/>
  <c r="B105" i="5"/>
  <c r="B7" i="5"/>
  <c r="B2" i="6" l="1"/>
  <c r="E6" i="7"/>
  <c r="C6" i="7"/>
  <c r="D6" i="7"/>
  <c r="C7" i="7" l="1"/>
  <c r="D7" i="7"/>
  <c r="E7" i="7"/>
  <c r="B42" i="6" l="1"/>
  <c r="E27" i="5" l="1"/>
  <c r="B143" i="6" l="1"/>
  <c r="E10" i="10" l="1"/>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6" i="10"/>
  <c r="E7" i="10"/>
  <c r="E8" i="10"/>
  <c r="E9" i="10"/>
  <c r="E87" i="10" l="1"/>
  <c r="E22" i="6" l="1"/>
  <c r="E4" i="6"/>
  <c r="D170" i="6" l="1"/>
  <c r="D169" i="6"/>
  <c r="D171" i="6" l="1"/>
  <c r="Q80" i="6" l="1"/>
  <c r="C9" i="6" l="1"/>
  <c r="D9" i="6"/>
  <c r="E9" i="6"/>
  <c r="F9" i="6"/>
  <c r="G9" i="6"/>
  <c r="H9" i="6"/>
  <c r="I9" i="6"/>
  <c r="J9" i="6"/>
  <c r="K9" i="6"/>
  <c r="L9" i="6"/>
  <c r="C10" i="6"/>
  <c r="D10" i="6"/>
  <c r="E10" i="6"/>
  <c r="F10" i="6"/>
  <c r="G10" i="6"/>
  <c r="H10" i="6"/>
  <c r="I10" i="6"/>
  <c r="J10" i="6"/>
  <c r="K10" i="6"/>
  <c r="L10" i="6"/>
  <c r="C11" i="6"/>
  <c r="D11" i="6"/>
  <c r="E11" i="6"/>
  <c r="F11" i="6"/>
  <c r="G11" i="6"/>
  <c r="H11" i="6"/>
  <c r="I11" i="6"/>
  <c r="J11" i="6"/>
  <c r="K11" i="6"/>
  <c r="L11" i="6"/>
  <c r="C12" i="6"/>
  <c r="D12" i="6"/>
  <c r="E12" i="6"/>
  <c r="F12" i="6"/>
  <c r="G12" i="6"/>
  <c r="H12" i="6"/>
  <c r="I12" i="6"/>
  <c r="J12" i="6"/>
  <c r="K12" i="6"/>
  <c r="L12" i="6"/>
  <c r="C13" i="6"/>
  <c r="D13" i="6"/>
  <c r="E13" i="6"/>
  <c r="F13" i="6"/>
  <c r="G13" i="6"/>
  <c r="H13" i="6"/>
  <c r="I13" i="6"/>
  <c r="J13" i="6"/>
  <c r="K13" i="6"/>
  <c r="L13" i="6"/>
  <c r="C14" i="6"/>
  <c r="D14" i="6"/>
  <c r="E14" i="6"/>
  <c r="F14" i="6"/>
  <c r="G14" i="6"/>
  <c r="H14" i="6"/>
  <c r="I14" i="6"/>
  <c r="J14" i="6"/>
  <c r="K14" i="6"/>
  <c r="L14" i="6"/>
  <c r="C15" i="6"/>
  <c r="D15" i="6"/>
  <c r="E15" i="6"/>
  <c r="F15" i="6"/>
  <c r="G15" i="6"/>
  <c r="H15" i="6"/>
  <c r="I15" i="6"/>
  <c r="J15" i="6"/>
  <c r="K15" i="6"/>
  <c r="L15" i="6"/>
  <c r="C16" i="6"/>
  <c r="D16" i="6"/>
  <c r="E16" i="6"/>
  <c r="F16" i="6"/>
  <c r="G16" i="6"/>
  <c r="H16" i="6"/>
  <c r="I16" i="6"/>
  <c r="J16" i="6"/>
  <c r="K16" i="6"/>
  <c r="L16" i="6"/>
  <c r="C17" i="6"/>
  <c r="D17" i="6"/>
  <c r="E17" i="6"/>
  <c r="F17" i="6"/>
  <c r="G17" i="6"/>
  <c r="H17" i="6"/>
  <c r="I17" i="6"/>
  <c r="J17" i="6"/>
  <c r="K17" i="6"/>
  <c r="L17" i="6"/>
  <c r="C18" i="6"/>
  <c r="D18" i="6"/>
  <c r="E18" i="6"/>
  <c r="F18" i="6"/>
  <c r="G18" i="6"/>
  <c r="H18" i="6"/>
  <c r="I18" i="6"/>
  <c r="J18" i="6"/>
  <c r="K18" i="6"/>
  <c r="L18" i="6"/>
  <c r="C19" i="6"/>
  <c r="D19" i="6"/>
  <c r="E19" i="6"/>
  <c r="F19" i="6"/>
  <c r="G19" i="6"/>
  <c r="H19" i="6"/>
  <c r="I19" i="6"/>
  <c r="J19" i="6"/>
  <c r="K19" i="6"/>
  <c r="L19" i="6"/>
  <c r="C20" i="6"/>
  <c r="D20" i="6"/>
  <c r="E20" i="6"/>
  <c r="F20" i="6"/>
  <c r="G20" i="6"/>
  <c r="H20" i="6"/>
  <c r="I20" i="6"/>
  <c r="J20" i="6"/>
  <c r="K20" i="6"/>
  <c r="L20" i="6"/>
  <c r="X149" i="6" l="1"/>
  <c r="D17" i="7" l="1"/>
  <c r="D18" i="7"/>
  <c r="C18" i="7"/>
  <c r="C17" i="7"/>
  <c r="D14" i="7" l="1"/>
  <c r="C15" i="7" l="1"/>
  <c r="D15" i="7" s="1"/>
  <c r="E15" i="7" l="1"/>
  <c r="C13" i="50" s="1"/>
  <c r="C14" i="50" s="1"/>
  <c r="C16" i="50" s="1"/>
  <c r="AD149" i="6" l="1"/>
  <c r="AD148" i="6"/>
  <c r="AE145" i="6"/>
  <c r="AF145" i="6"/>
  <c r="E147" i="6" s="1"/>
  <c r="AG145" i="6"/>
  <c r="AH145" i="6"/>
  <c r="AI145" i="6"/>
  <c r="AJ145" i="6"/>
  <c r="AK145" i="6"/>
  <c r="AL145" i="6"/>
  <c r="AM145" i="6"/>
  <c r="AE146" i="6"/>
  <c r="AF146" i="6"/>
  <c r="AG146" i="6"/>
  <c r="AH146" i="6"/>
  <c r="AI146" i="6"/>
  <c r="AJ146" i="6"/>
  <c r="AK146" i="6"/>
  <c r="AL146" i="6"/>
  <c r="AM146" i="6"/>
  <c r="AD146" i="6"/>
  <c r="AD145" i="6"/>
  <c r="D166" i="6"/>
  <c r="C166" i="6"/>
  <c r="D159" i="6"/>
  <c r="D158" i="6"/>
  <c r="F158" i="6" s="1"/>
  <c r="Q79" i="6"/>
  <c r="Q78" i="6"/>
  <c r="I68" i="6"/>
  <c r="H68" i="6"/>
  <c r="I63" i="6"/>
  <c r="H63" i="6"/>
  <c r="D68" i="6"/>
  <c r="D63" i="6"/>
  <c r="C64" i="6"/>
  <c r="C65" i="6"/>
  <c r="C66" i="6"/>
  <c r="C67" i="6"/>
  <c r="C68" i="6"/>
  <c r="C69" i="6"/>
  <c r="C70" i="6"/>
  <c r="C71" i="6"/>
  <c r="C72" i="6"/>
  <c r="C73" i="6"/>
  <c r="C74" i="6"/>
  <c r="C63" i="6"/>
  <c r="AE45" i="6"/>
  <c r="AD45" i="6"/>
  <c r="AB46" i="6"/>
  <c r="AB47" i="6"/>
  <c r="AB48" i="6"/>
  <c r="AB49" i="6"/>
  <c r="AB50" i="6"/>
  <c r="AB51" i="6"/>
  <c r="AB52" i="6"/>
  <c r="AB53" i="6"/>
  <c r="AB54" i="6"/>
  <c r="AB55" i="6"/>
  <c r="AB56" i="6"/>
  <c r="AB45" i="6"/>
  <c r="D45" i="6"/>
  <c r="F45" i="6"/>
  <c r="G45" i="6"/>
  <c r="H45" i="6"/>
  <c r="I45" i="6"/>
  <c r="J45" i="6"/>
  <c r="K45" i="6"/>
  <c r="D46" i="6"/>
  <c r="F46" i="6"/>
  <c r="G46" i="6"/>
  <c r="H46" i="6"/>
  <c r="I46" i="6"/>
  <c r="J46" i="6"/>
  <c r="K46" i="6"/>
  <c r="D47" i="6"/>
  <c r="F47" i="6"/>
  <c r="G47" i="6"/>
  <c r="H47" i="6"/>
  <c r="I47" i="6"/>
  <c r="J47" i="6"/>
  <c r="K47" i="6"/>
  <c r="D48" i="6"/>
  <c r="F48" i="6"/>
  <c r="G48" i="6"/>
  <c r="H48" i="6"/>
  <c r="I48" i="6"/>
  <c r="J48" i="6"/>
  <c r="K48" i="6"/>
  <c r="D49" i="6"/>
  <c r="F49" i="6"/>
  <c r="G49" i="6"/>
  <c r="H49" i="6"/>
  <c r="I49" i="6"/>
  <c r="J49" i="6"/>
  <c r="K49" i="6"/>
  <c r="D50" i="6"/>
  <c r="F50" i="6"/>
  <c r="G50" i="6"/>
  <c r="H50" i="6"/>
  <c r="I50" i="6"/>
  <c r="J50" i="6"/>
  <c r="K50" i="6"/>
  <c r="D51" i="6"/>
  <c r="F51" i="6"/>
  <c r="G51" i="6"/>
  <c r="H51" i="6"/>
  <c r="I51" i="6"/>
  <c r="J51" i="6"/>
  <c r="K51" i="6"/>
  <c r="D52" i="6"/>
  <c r="F52" i="6"/>
  <c r="G52" i="6"/>
  <c r="H52" i="6"/>
  <c r="I52" i="6"/>
  <c r="J52" i="6"/>
  <c r="K52" i="6"/>
  <c r="D53" i="6"/>
  <c r="F53" i="6"/>
  <c r="G53" i="6"/>
  <c r="H53" i="6"/>
  <c r="I53" i="6"/>
  <c r="J53" i="6"/>
  <c r="K53" i="6"/>
  <c r="D54" i="6"/>
  <c r="F54" i="6"/>
  <c r="G54" i="6"/>
  <c r="H54" i="6"/>
  <c r="I54" i="6"/>
  <c r="J54" i="6"/>
  <c r="K54" i="6"/>
  <c r="D55" i="6"/>
  <c r="F55" i="6"/>
  <c r="G55" i="6"/>
  <c r="H55" i="6"/>
  <c r="I55" i="6"/>
  <c r="J55" i="6"/>
  <c r="K55" i="6"/>
  <c r="D56" i="6"/>
  <c r="F56" i="6"/>
  <c r="G56" i="6"/>
  <c r="H56" i="6"/>
  <c r="I56" i="6"/>
  <c r="J56" i="6"/>
  <c r="K56" i="6"/>
  <c r="C46" i="6"/>
  <c r="C47" i="6"/>
  <c r="C48" i="6"/>
  <c r="C49" i="6"/>
  <c r="C50" i="6"/>
  <c r="C51" i="6"/>
  <c r="C52" i="6"/>
  <c r="C53" i="6"/>
  <c r="C54" i="6"/>
  <c r="C55" i="6"/>
  <c r="C56" i="6"/>
  <c r="C45" i="6"/>
  <c r="E27" i="6"/>
  <c r="L27" i="6"/>
  <c r="E28" i="6"/>
  <c r="L28" i="6"/>
  <c r="E29" i="6"/>
  <c r="L29" i="6"/>
  <c r="E30" i="6"/>
  <c r="L30" i="6"/>
  <c r="E31" i="6"/>
  <c r="L31" i="6"/>
  <c r="E32" i="6"/>
  <c r="L32" i="6"/>
  <c r="E33" i="6"/>
  <c r="L33" i="6"/>
  <c r="E34" i="6"/>
  <c r="L34" i="6"/>
  <c r="E35" i="6"/>
  <c r="L35" i="6"/>
  <c r="E36" i="6"/>
  <c r="L36" i="6"/>
  <c r="E37" i="6"/>
  <c r="L37" i="6"/>
  <c r="E38" i="6"/>
  <c r="L38" i="6"/>
  <c r="F159" i="6" l="1"/>
  <c r="I212" i="6"/>
  <c r="O45" i="6"/>
  <c r="C147" i="6"/>
  <c r="C84" i="6"/>
  <c r="C79" i="6"/>
  <c r="C281" i="6"/>
  <c r="C280" i="6"/>
  <c r="Q160" i="6" l="1"/>
  <c r="I213" i="6"/>
  <c r="C182" i="6"/>
  <c r="C183" i="6"/>
  <c r="J212" i="6"/>
  <c r="J213" i="6"/>
  <c r="L147" i="6"/>
  <c r="C80" i="6"/>
  <c r="AF45" i="6" l="1"/>
  <c r="M45" i="6"/>
  <c r="G79" i="6"/>
  <c r="G80" i="6" s="1"/>
  <c r="G81" i="6" s="1"/>
  <c r="H84" i="6"/>
  <c r="AB57" i="6"/>
  <c r="E79" i="6"/>
  <c r="E80" i="6" s="1"/>
  <c r="E81" i="6" s="1"/>
  <c r="C57" i="6"/>
  <c r="C181" i="6" s="1"/>
  <c r="C149" i="6"/>
  <c r="D57" i="6"/>
  <c r="D149" i="6"/>
  <c r="E149" i="6"/>
  <c r="H64" i="6"/>
  <c r="H65" i="6"/>
  <c r="H66" i="6"/>
  <c r="H67" i="6"/>
  <c r="T135" i="6"/>
  <c r="Q135" i="6"/>
  <c r="F57" i="6"/>
  <c r="F149" i="6"/>
  <c r="G57" i="6"/>
  <c r="G149" i="6"/>
  <c r="H57" i="6"/>
  <c r="H149" i="6"/>
  <c r="I57" i="6"/>
  <c r="I149" i="6"/>
  <c r="J57" i="6"/>
  <c r="J149" i="6"/>
  <c r="H69" i="6"/>
  <c r="H70" i="6"/>
  <c r="H71" i="6"/>
  <c r="T131" i="6"/>
  <c r="Q131" i="6"/>
  <c r="P45" i="6"/>
  <c r="Q45" i="6"/>
  <c r="R45" i="6"/>
  <c r="R47" i="6" s="1"/>
  <c r="S45" i="6"/>
  <c r="T45" i="6"/>
  <c r="U45" i="6"/>
  <c r="V45" i="6"/>
  <c r="W45" i="6"/>
  <c r="O49" i="6"/>
  <c r="P49" i="6"/>
  <c r="Q49" i="6"/>
  <c r="R49" i="6"/>
  <c r="S49" i="6"/>
  <c r="T49" i="6"/>
  <c r="U49" i="6"/>
  <c r="V49" i="6"/>
  <c r="W49" i="6"/>
  <c r="D147" i="6"/>
  <c r="F147" i="6"/>
  <c r="G147" i="6"/>
  <c r="H147" i="6"/>
  <c r="I147" i="6"/>
  <c r="J147" i="6"/>
  <c r="K147" i="6"/>
  <c r="K149" i="6"/>
  <c r="D74" i="6"/>
  <c r="D73" i="6"/>
  <c r="D72" i="6"/>
  <c r="D71" i="6"/>
  <c r="D70" i="6"/>
  <c r="D69" i="6"/>
  <c r="D67" i="6"/>
  <c r="D66" i="6"/>
  <c r="D65" i="6"/>
  <c r="D64" i="6"/>
  <c r="Q81" i="6"/>
  <c r="E57" i="6"/>
  <c r="D79" i="6"/>
  <c r="D80" i="6" s="1"/>
  <c r="H79" i="6"/>
  <c r="H80" i="6" s="1"/>
  <c r="H81" i="6" s="1"/>
  <c r="E265" i="6"/>
  <c r="C265" i="6"/>
  <c r="H154" i="6"/>
  <c r="J79" i="6"/>
  <c r="J80" i="6" s="1"/>
  <c r="J81" i="6" s="1"/>
  <c r="R167" i="6"/>
  <c r="Q167" i="6"/>
  <c r="C25" i="6"/>
  <c r="D25" i="6"/>
  <c r="E25" i="6"/>
  <c r="F25" i="6"/>
  <c r="G25" i="6"/>
  <c r="H25" i="6"/>
  <c r="I25" i="6"/>
  <c r="J25" i="6"/>
  <c r="K25" i="6"/>
  <c r="L25" i="6"/>
  <c r="F84" i="6"/>
  <c r="G84" i="6"/>
  <c r="J84" i="6"/>
  <c r="K84" i="6"/>
  <c r="K57" i="6"/>
  <c r="Q50" i="6"/>
  <c r="D160" i="7"/>
  <c r="E160" i="7"/>
  <c r="F160" i="7"/>
  <c r="G160" i="7"/>
  <c r="H160" i="7"/>
  <c r="I160" i="7"/>
  <c r="J160" i="7"/>
  <c r="C160" i="7"/>
  <c r="E243" i="6"/>
  <c r="D243" i="6"/>
  <c r="F243" i="6"/>
  <c r="G243" i="6"/>
  <c r="H243" i="6"/>
  <c r="I243" i="6"/>
  <c r="J243" i="6"/>
  <c r="C243" i="6"/>
  <c r="O9" i="6"/>
  <c r="O10" i="6"/>
  <c r="O11" i="6"/>
  <c r="O12" i="6"/>
  <c r="O13" i="6"/>
  <c r="O61" i="6"/>
  <c r="O65" i="6"/>
  <c r="P61" i="6"/>
  <c r="P65" i="6"/>
  <c r="Q61" i="6"/>
  <c r="Q65" i="6"/>
  <c r="R61" i="6"/>
  <c r="R65" i="6"/>
  <c r="S61" i="6"/>
  <c r="S65" i="6"/>
  <c r="T61" i="6"/>
  <c r="T65" i="6"/>
  <c r="U61" i="6"/>
  <c r="U65" i="6"/>
  <c r="V61" i="6"/>
  <c r="V65" i="6"/>
  <c r="W61" i="6"/>
  <c r="W65" i="6"/>
  <c r="D161" i="6"/>
  <c r="C161" i="6"/>
  <c r="E68" i="6"/>
  <c r="E63" i="6"/>
  <c r="I70" i="6"/>
  <c r="I71" i="6"/>
  <c r="I69" i="6"/>
  <c r="I74" i="6"/>
  <c r="I73" i="6"/>
  <c r="I72" i="6"/>
  <c r="I65" i="6"/>
  <c r="I66" i="6"/>
  <c r="I67" i="6"/>
  <c r="I64" i="6"/>
  <c r="X9" i="6"/>
  <c r="X10" i="6"/>
  <c r="X11" i="6"/>
  <c r="X12" i="6"/>
  <c r="X13" i="6"/>
  <c r="H72" i="6"/>
  <c r="H73" i="6"/>
  <c r="H74" i="6"/>
  <c r="L144" i="6"/>
  <c r="K144" i="6"/>
  <c r="D209" i="6"/>
  <c r="J209" i="6" s="1"/>
  <c r="C209" i="6"/>
  <c r="I209" i="6" s="1"/>
  <c r="L128" i="6"/>
  <c r="AD128" i="6" s="1"/>
  <c r="E128" i="6"/>
  <c r="AC128" i="6" s="1"/>
  <c r="C286" i="6"/>
  <c r="D176" i="6"/>
  <c r="E176" i="6"/>
  <c r="F176" i="6"/>
  <c r="G176" i="6"/>
  <c r="H176" i="6"/>
  <c r="I176" i="6"/>
  <c r="J176" i="6"/>
  <c r="C176" i="6"/>
  <c r="X38" i="6"/>
  <c r="X30" i="6"/>
  <c r="Q46" i="6"/>
  <c r="C285" i="6"/>
  <c r="C284" i="6"/>
  <c r="P43" i="6"/>
  <c r="Q43" i="6"/>
  <c r="R43" i="6"/>
  <c r="S43" i="6"/>
  <c r="T43" i="6"/>
  <c r="U43" i="6"/>
  <c r="V43" i="6"/>
  <c r="W43" i="6"/>
  <c r="X43" i="6"/>
  <c r="O43" i="6"/>
  <c r="D192" i="6"/>
  <c r="E192" i="6"/>
  <c r="F192" i="6"/>
  <c r="G192" i="6"/>
  <c r="H192" i="6"/>
  <c r="I192" i="6"/>
  <c r="J192" i="6"/>
  <c r="C192" i="6"/>
  <c r="D144" i="6"/>
  <c r="E144" i="6"/>
  <c r="F144" i="6"/>
  <c r="G144" i="6"/>
  <c r="H144" i="6"/>
  <c r="I144" i="6"/>
  <c r="J144" i="6"/>
  <c r="C144" i="6"/>
  <c r="D128" i="6"/>
  <c r="F128" i="6"/>
  <c r="G128" i="6"/>
  <c r="H128" i="6"/>
  <c r="I128" i="6"/>
  <c r="J128" i="6"/>
  <c r="K128" i="6"/>
  <c r="C128" i="6"/>
  <c r="D110" i="6"/>
  <c r="E110" i="6"/>
  <c r="F110" i="6"/>
  <c r="G110" i="6"/>
  <c r="H110" i="6"/>
  <c r="I110" i="6"/>
  <c r="J110" i="6"/>
  <c r="K110" i="6"/>
  <c r="L110" i="6"/>
  <c r="C110" i="6"/>
  <c r="D92" i="6"/>
  <c r="E92" i="6"/>
  <c r="F92" i="6"/>
  <c r="G92" i="6"/>
  <c r="H92" i="6"/>
  <c r="I92" i="6"/>
  <c r="J92" i="6"/>
  <c r="K92" i="6"/>
  <c r="L92" i="6"/>
  <c r="D77" i="6"/>
  <c r="E77" i="6"/>
  <c r="F77" i="6"/>
  <c r="G77" i="6"/>
  <c r="H77" i="6"/>
  <c r="I77" i="6"/>
  <c r="J77" i="6"/>
  <c r="K77" i="6"/>
  <c r="L77" i="6"/>
  <c r="P25" i="6"/>
  <c r="Q25" i="6"/>
  <c r="R25" i="6"/>
  <c r="S25" i="6"/>
  <c r="T25" i="6"/>
  <c r="U25" i="6"/>
  <c r="V25" i="6"/>
  <c r="W25" i="6"/>
  <c r="X25" i="6"/>
  <c r="O25" i="6"/>
  <c r="D43" i="6"/>
  <c r="E43" i="6"/>
  <c r="F43" i="6"/>
  <c r="G43" i="6"/>
  <c r="H43" i="6"/>
  <c r="I43" i="6"/>
  <c r="J43" i="6"/>
  <c r="K43" i="6"/>
  <c r="L43" i="6"/>
  <c r="C92" i="6"/>
  <c r="C77" i="6"/>
  <c r="C43" i="6"/>
  <c r="P7" i="6"/>
  <c r="Q7" i="6"/>
  <c r="R7" i="6"/>
  <c r="S7" i="6"/>
  <c r="T7" i="6"/>
  <c r="U7" i="6"/>
  <c r="V7" i="6"/>
  <c r="W7" i="6"/>
  <c r="X7" i="6"/>
  <c r="O7" i="6"/>
  <c r="Q38" i="6"/>
  <c r="X37" i="6"/>
  <c r="Q37" i="6"/>
  <c r="X36" i="6"/>
  <c r="Q36" i="6"/>
  <c r="X35" i="6"/>
  <c r="Q35" i="6"/>
  <c r="X34" i="6"/>
  <c r="Q34" i="6"/>
  <c r="X33" i="6"/>
  <c r="Q33" i="6"/>
  <c r="X32" i="6"/>
  <c r="Q32" i="6"/>
  <c r="X31" i="6"/>
  <c r="Q31" i="6"/>
  <c r="Q30" i="6"/>
  <c r="X29" i="6"/>
  <c r="Q29" i="6"/>
  <c r="X28" i="6"/>
  <c r="Q28" i="6"/>
  <c r="X27" i="6"/>
  <c r="Q27" i="6"/>
  <c r="P9" i="6"/>
  <c r="Q9" i="6"/>
  <c r="R9" i="6"/>
  <c r="S9" i="6"/>
  <c r="W9" i="6"/>
  <c r="T9" i="6"/>
  <c r="U9" i="6"/>
  <c r="V9" i="6"/>
  <c r="P10" i="6"/>
  <c r="Q10" i="6"/>
  <c r="R10" i="6"/>
  <c r="S10" i="6"/>
  <c r="W10" i="6"/>
  <c r="T10" i="6"/>
  <c r="U10" i="6"/>
  <c r="V10" i="6"/>
  <c r="P11" i="6"/>
  <c r="Q11" i="6"/>
  <c r="R11" i="6"/>
  <c r="S11" i="6"/>
  <c r="W11" i="6"/>
  <c r="T11" i="6"/>
  <c r="U11" i="6"/>
  <c r="V11" i="6"/>
  <c r="P12" i="6"/>
  <c r="Q12" i="6"/>
  <c r="R12" i="6"/>
  <c r="S12" i="6"/>
  <c r="W12" i="6"/>
  <c r="T12" i="6"/>
  <c r="U12" i="6"/>
  <c r="V12" i="6"/>
  <c r="P13" i="6"/>
  <c r="Q13" i="6"/>
  <c r="R13" i="6"/>
  <c r="S13" i="6"/>
  <c r="W13" i="6"/>
  <c r="T13" i="6"/>
  <c r="U13" i="6"/>
  <c r="V13" i="6"/>
  <c r="P14" i="6"/>
  <c r="Q14" i="6"/>
  <c r="R14" i="6"/>
  <c r="S14" i="6"/>
  <c r="W14" i="6"/>
  <c r="T14" i="6"/>
  <c r="X14" i="6"/>
  <c r="U14" i="6"/>
  <c r="V14" i="6"/>
  <c r="P15" i="6"/>
  <c r="Q15" i="6"/>
  <c r="R15" i="6"/>
  <c r="S15" i="6"/>
  <c r="W15" i="6"/>
  <c r="T15" i="6"/>
  <c r="X15" i="6"/>
  <c r="U15" i="6"/>
  <c r="V15" i="6"/>
  <c r="P16" i="6"/>
  <c r="Q16" i="6"/>
  <c r="R16" i="6"/>
  <c r="S16" i="6"/>
  <c r="W16" i="6"/>
  <c r="T16" i="6"/>
  <c r="X16" i="6"/>
  <c r="U16" i="6"/>
  <c r="V16" i="6"/>
  <c r="P17" i="6"/>
  <c r="Q17" i="6"/>
  <c r="R17" i="6"/>
  <c r="S17" i="6"/>
  <c r="W17" i="6"/>
  <c r="T17" i="6"/>
  <c r="X17" i="6"/>
  <c r="U17" i="6"/>
  <c r="V17" i="6"/>
  <c r="P18" i="6"/>
  <c r="Q18" i="6"/>
  <c r="R18" i="6"/>
  <c r="S18" i="6"/>
  <c r="W18" i="6"/>
  <c r="T18" i="6"/>
  <c r="X18" i="6"/>
  <c r="U18" i="6"/>
  <c r="V18" i="6"/>
  <c r="P19" i="6"/>
  <c r="Q19" i="6"/>
  <c r="R19" i="6"/>
  <c r="S19" i="6"/>
  <c r="W19" i="6"/>
  <c r="T19" i="6"/>
  <c r="X19" i="6"/>
  <c r="U19" i="6"/>
  <c r="V19" i="6"/>
  <c r="P20" i="6"/>
  <c r="Q20" i="6"/>
  <c r="R20" i="6"/>
  <c r="S20" i="6"/>
  <c r="W20" i="6"/>
  <c r="T20" i="6"/>
  <c r="X20" i="6"/>
  <c r="U20" i="6"/>
  <c r="V20" i="6"/>
  <c r="O14" i="6"/>
  <c r="O15" i="6"/>
  <c r="O16" i="6"/>
  <c r="O17" i="6"/>
  <c r="O18" i="6"/>
  <c r="O19" i="6"/>
  <c r="O20" i="6"/>
  <c r="K79" i="6"/>
  <c r="K80" i="6" s="1"/>
  <c r="F79" i="6"/>
  <c r="F80" i="6" s="1"/>
  <c r="I79" i="6"/>
  <c r="I80" i="6" s="1"/>
  <c r="L79" i="6"/>
  <c r="L80" i="6" s="1"/>
  <c r="L81" i="6" s="1"/>
  <c r="C81" i="6"/>
  <c r="D84" i="6"/>
  <c r="C85" i="6"/>
  <c r="I84" i="6"/>
  <c r="E84" i="6"/>
  <c r="L84" i="6"/>
  <c r="I47" i="7" l="1"/>
  <c r="I88" i="7" s="1"/>
  <c r="H47" i="7"/>
  <c r="H88" i="7" s="1"/>
  <c r="C69" i="7"/>
  <c r="C106" i="7" s="1"/>
  <c r="I106" i="7" s="1"/>
  <c r="G47" i="7"/>
  <c r="G88" i="7" s="1"/>
  <c r="F265" i="6"/>
  <c r="C47" i="7"/>
  <c r="C88" i="7" s="1"/>
  <c r="F47" i="7"/>
  <c r="F88" i="7" s="1"/>
  <c r="E47" i="7"/>
  <c r="E88" i="7" s="1"/>
  <c r="J47" i="7"/>
  <c r="J88" i="7" s="1"/>
  <c r="D47" i="7"/>
  <c r="D88" i="7" s="1"/>
  <c r="J214" i="6"/>
  <c r="I214" i="6"/>
  <c r="J182" i="6"/>
  <c r="J183" i="6"/>
  <c r="F182" i="6"/>
  <c r="F183" i="6"/>
  <c r="I182" i="6"/>
  <c r="I183" i="6"/>
  <c r="E182" i="6"/>
  <c r="E183" i="6"/>
  <c r="H182" i="6"/>
  <c r="H183" i="6"/>
  <c r="D182" i="6"/>
  <c r="D183" i="6"/>
  <c r="G182" i="6"/>
  <c r="G183" i="6"/>
  <c r="E65" i="6"/>
  <c r="L85" i="6"/>
  <c r="L86" i="6" s="1"/>
  <c r="Q128" i="6"/>
  <c r="AA128" i="6"/>
  <c r="R128" i="6"/>
  <c r="E69" i="7"/>
  <c r="J69" i="7" s="1"/>
  <c r="D265" i="6"/>
  <c r="C86" i="6"/>
  <c r="K85" i="6"/>
  <c r="K86" i="6" s="1"/>
  <c r="E85" i="6"/>
  <c r="E86" i="6" s="1"/>
  <c r="T132" i="6"/>
  <c r="T128" i="6"/>
  <c r="Z128" i="6"/>
  <c r="C163" i="6"/>
  <c r="H95" i="6"/>
  <c r="H113" i="6" s="1"/>
  <c r="X128" i="6"/>
  <c r="W128" i="6"/>
  <c r="D163" i="6"/>
  <c r="D81" i="6"/>
  <c r="U66" i="6"/>
  <c r="Q66" i="6"/>
  <c r="R66" i="6"/>
  <c r="Q62" i="6"/>
  <c r="L149" i="6"/>
  <c r="T62" i="6"/>
  <c r="R62" i="6"/>
  <c r="E69" i="6"/>
  <c r="E73" i="6"/>
  <c r="P47" i="6"/>
  <c r="L45" i="6"/>
  <c r="W62" i="6"/>
  <c r="O47" i="6"/>
  <c r="J268" i="6"/>
  <c r="C99" i="6"/>
  <c r="F85" i="6"/>
  <c r="F86" i="6" s="1"/>
  <c r="Q51" i="6"/>
  <c r="E67" i="6"/>
  <c r="C178" i="7"/>
  <c r="I178" i="7" s="1"/>
  <c r="I69" i="7"/>
  <c r="C95" i="6"/>
  <c r="J95" i="6"/>
  <c r="H99" i="6"/>
  <c r="G99" i="6"/>
  <c r="K99" i="6"/>
  <c r="J99" i="6"/>
  <c r="E70" i="6"/>
  <c r="E72" i="6"/>
  <c r="E66" i="6"/>
  <c r="E74" i="6"/>
  <c r="W66" i="6"/>
  <c r="S66" i="6"/>
  <c r="O66" i="6"/>
  <c r="S62" i="6"/>
  <c r="Q47" i="6"/>
  <c r="W131" i="6"/>
  <c r="T68" i="6"/>
  <c r="U68" i="6"/>
  <c r="W68" i="6"/>
  <c r="U62" i="6"/>
  <c r="W135" i="6"/>
  <c r="Q68" i="6"/>
  <c r="T66" i="6"/>
  <c r="J85" i="6"/>
  <c r="J86" i="6" s="1"/>
  <c r="D85" i="6"/>
  <c r="H85" i="6"/>
  <c r="H86" i="6" s="1"/>
  <c r="G85" i="6"/>
  <c r="G86" i="6" s="1"/>
  <c r="I85" i="6"/>
  <c r="I86" i="6" s="1"/>
  <c r="D99" i="6"/>
  <c r="K81" i="6"/>
  <c r="I95" i="6"/>
  <c r="E95" i="6"/>
  <c r="D95" i="6"/>
  <c r="G95" i="6"/>
  <c r="E99" i="6"/>
  <c r="F99" i="6"/>
  <c r="E71" i="6"/>
  <c r="E64" i="6"/>
  <c r="V66" i="6"/>
  <c r="P66" i="6"/>
  <c r="O68" i="6"/>
  <c r="O62" i="6"/>
  <c r="Q136" i="6"/>
  <c r="Q132" i="6"/>
  <c r="S68" i="6"/>
  <c r="V68" i="6"/>
  <c r="R68" i="6"/>
  <c r="P68" i="6"/>
  <c r="V62" i="6"/>
  <c r="T136" i="6"/>
  <c r="F95" i="6"/>
  <c r="F81" i="6"/>
  <c r="I99" i="6"/>
  <c r="K95" i="6"/>
  <c r="I81" i="6"/>
  <c r="U128" i="6"/>
  <c r="P62" i="6"/>
  <c r="L51" i="6"/>
  <c r="L47" i="6"/>
  <c r="L54" i="6"/>
  <c r="L50" i="6"/>
  <c r="L56" i="6"/>
  <c r="L53" i="6"/>
  <c r="L49" i="6"/>
  <c r="L46" i="6"/>
  <c r="L55" i="6"/>
  <c r="L52" i="6"/>
  <c r="L48" i="6"/>
  <c r="I268" i="6"/>
  <c r="D69" i="7" l="1"/>
  <c r="F69" i="7"/>
  <c r="O53" i="6"/>
  <c r="P53" i="6"/>
  <c r="E106" i="7"/>
  <c r="J106" i="7" s="1"/>
  <c r="W69" i="6"/>
  <c r="D164" i="6"/>
  <c r="C164" i="6"/>
  <c r="I117" i="6"/>
  <c r="W132" i="6"/>
  <c r="G117" i="6"/>
  <c r="D117" i="6"/>
  <c r="T69" i="6"/>
  <c r="U69" i="6"/>
  <c r="J94" i="6"/>
  <c r="H117" i="6"/>
  <c r="F113" i="6"/>
  <c r="Q69" i="6"/>
  <c r="O69" i="6"/>
  <c r="F117" i="6"/>
  <c r="E113" i="6"/>
  <c r="S69" i="6"/>
  <c r="J117" i="6"/>
  <c r="J113" i="6"/>
  <c r="W136" i="6"/>
  <c r="G113" i="6"/>
  <c r="D113" i="6"/>
  <c r="K113" i="6"/>
  <c r="E117" i="6"/>
  <c r="I113" i="6"/>
  <c r="R69" i="6"/>
  <c r="K117" i="6"/>
  <c r="C113" i="6"/>
  <c r="C117" i="6"/>
  <c r="D100" i="6"/>
  <c r="K100" i="6"/>
  <c r="E100" i="6"/>
  <c r="I100" i="6"/>
  <c r="G94" i="6"/>
  <c r="H98" i="6"/>
  <c r="C100" i="6"/>
  <c r="C98" i="6"/>
  <c r="D94" i="6"/>
  <c r="H96" i="6"/>
  <c r="K94" i="6"/>
  <c r="H100" i="6"/>
  <c r="F98" i="6"/>
  <c r="D98" i="6"/>
  <c r="K98" i="6"/>
  <c r="P69" i="6"/>
  <c r="D86" i="6"/>
  <c r="J96" i="6"/>
  <c r="K96" i="6"/>
  <c r="G96" i="6"/>
  <c r="F96" i="6"/>
  <c r="E96" i="6"/>
  <c r="I94" i="6"/>
  <c r="I96" i="6"/>
  <c r="E94" i="6"/>
  <c r="F94" i="6"/>
  <c r="D96" i="6"/>
  <c r="C96" i="6"/>
  <c r="C94" i="6"/>
  <c r="H94" i="6"/>
  <c r="G100" i="6"/>
  <c r="G98" i="6"/>
  <c r="J100" i="6"/>
  <c r="F100" i="6"/>
  <c r="J98" i="6"/>
  <c r="E98" i="6"/>
  <c r="I98" i="6"/>
  <c r="U135" i="6"/>
  <c r="V69" i="6"/>
  <c r="X45" i="6"/>
  <c r="C353" i="6" s="1"/>
  <c r="L57" i="6"/>
  <c r="R131" i="6"/>
  <c r="X65" i="6"/>
  <c r="X49" i="6"/>
  <c r="U132" i="6"/>
  <c r="L95" i="6"/>
  <c r="X50" i="6"/>
  <c r="U131" i="6"/>
  <c r="L96" i="6"/>
  <c r="R132" i="6"/>
  <c r="L94" i="6"/>
  <c r="R135" i="6"/>
  <c r="L99" i="6"/>
  <c r="X46" i="6"/>
  <c r="L100" i="6"/>
  <c r="R136" i="6"/>
  <c r="X61" i="6"/>
  <c r="L98" i="6"/>
  <c r="U136" i="6"/>
  <c r="C22" i="7" l="1"/>
  <c r="C21" i="51" s="1"/>
  <c r="E135" i="6"/>
  <c r="P54" i="6"/>
  <c r="O54" i="6"/>
  <c r="E178" i="7"/>
  <c r="L114" i="6"/>
  <c r="H112" i="6"/>
  <c r="K116" i="6"/>
  <c r="L118" i="6"/>
  <c r="Y65" i="6"/>
  <c r="G116" i="6"/>
  <c r="C114" i="6"/>
  <c r="I114" i="6"/>
  <c r="G114" i="6"/>
  <c r="F116" i="6"/>
  <c r="D112" i="6"/>
  <c r="G112" i="6"/>
  <c r="G130" i="6" s="1"/>
  <c r="D118" i="6"/>
  <c r="J112" i="6"/>
  <c r="L116" i="6"/>
  <c r="L134" i="6" s="1"/>
  <c r="L113" i="6"/>
  <c r="J116" i="6"/>
  <c r="G118" i="6"/>
  <c r="D114" i="6"/>
  <c r="I112" i="6"/>
  <c r="K114" i="6"/>
  <c r="H118" i="6"/>
  <c r="C116" i="6"/>
  <c r="I118" i="6"/>
  <c r="L117" i="6"/>
  <c r="F118" i="6"/>
  <c r="F112" i="6"/>
  <c r="F130" i="6" s="1"/>
  <c r="J114" i="6"/>
  <c r="K112" i="6"/>
  <c r="C118" i="6"/>
  <c r="E118" i="6"/>
  <c r="J118" i="6"/>
  <c r="C112" i="6"/>
  <c r="E112" i="6"/>
  <c r="E130" i="6" s="1"/>
  <c r="F114" i="6"/>
  <c r="D116" i="6"/>
  <c r="H114" i="6"/>
  <c r="H116" i="6"/>
  <c r="K118" i="6"/>
  <c r="D102" i="6"/>
  <c r="E102" i="6"/>
  <c r="J102" i="6"/>
  <c r="K102" i="6"/>
  <c r="J178" i="6"/>
  <c r="H102" i="6"/>
  <c r="F102" i="6"/>
  <c r="G102" i="6"/>
  <c r="C102" i="6"/>
  <c r="E114" i="6"/>
  <c r="E131" i="6"/>
  <c r="E116" i="6"/>
  <c r="I116" i="6"/>
  <c r="I102" i="6"/>
  <c r="X135" i="6"/>
  <c r="X132" i="6"/>
  <c r="X131" i="6"/>
  <c r="X62" i="6"/>
  <c r="Y45" i="6"/>
  <c r="X47" i="6"/>
  <c r="X68" i="6"/>
  <c r="Y61" i="6"/>
  <c r="L112" i="6"/>
  <c r="L102" i="6"/>
  <c r="X51" i="6"/>
  <c r="Y49" i="6"/>
  <c r="C352" i="6"/>
  <c r="X66" i="6"/>
  <c r="X136" i="6"/>
  <c r="J269" i="6"/>
  <c r="J270" i="6"/>
  <c r="I270" i="6"/>
  <c r="I72" i="7" s="1"/>
  <c r="E181" i="6"/>
  <c r="D181" i="6"/>
  <c r="G181" i="6"/>
  <c r="I181" i="6"/>
  <c r="H181" i="6"/>
  <c r="J181" i="6"/>
  <c r="F181" i="6"/>
  <c r="I269" i="6"/>
  <c r="C21" i="43" l="1"/>
  <c r="C21" i="42"/>
  <c r="Z135" i="6"/>
  <c r="C354" i="6"/>
  <c r="C130" i="6"/>
  <c r="J178" i="7"/>
  <c r="H120" i="6"/>
  <c r="AD137" i="6"/>
  <c r="AC133" i="6"/>
  <c r="C21" i="7"/>
  <c r="L131" i="6"/>
  <c r="J130" i="6"/>
  <c r="F134" i="6"/>
  <c r="F138" i="6" s="1"/>
  <c r="G134" i="6"/>
  <c r="H130" i="6"/>
  <c r="G120" i="6"/>
  <c r="D215" i="6"/>
  <c r="L132" i="6"/>
  <c r="E120" i="6"/>
  <c r="J120" i="6"/>
  <c r="D134" i="6"/>
  <c r="K130" i="6"/>
  <c r="C211" i="6" s="1"/>
  <c r="K120" i="6"/>
  <c r="J134" i="6"/>
  <c r="L136" i="6"/>
  <c r="D217" i="6" s="1"/>
  <c r="F120" i="6"/>
  <c r="L135" i="6"/>
  <c r="D216" i="6" s="1"/>
  <c r="Z131" i="6"/>
  <c r="D120" i="6"/>
  <c r="I130" i="6"/>
  <c r="Y66" i="6"/>
  <c r="Y68" i="6"/>
  <c r="E132" i="6"/>
  <c r="C120" i="6"/>
  <c r="H134" i="6"/>
  <c r="E136" i="6"/>
  <c r="C134" i="6"/>
  <c r="D130" i="6"/>
  <c r="K134" i="6"/>
  <c r="C104" i="6"/>
  <c r="E134" i="6"/>
  <c r="AC137" i="6"/>
  <c r="I134" i="6"/>
  <c r="I120" i="6"/>
  <c r="X69" i="6"/>
  <c r="Y62" i="6"/>
  <c r="AD133" i="6"/>
  <c r="L130" i="6"/>
  <c r="L120" i="6"/>
  <c r="Z45" i="6"/>
  <c r="J73" i="7"/>
  <c r="J72" i="7"/>
  <c r="I73" i="7"/>
  <c r="C9" i="43" l="1"/>
  <c r="C10" i="43" s="1"/>
  <c r="C25" i="43" s="1"/>
  <c r="C18" i="50"/>
  <c r="C19" i="50" s="1"/>
  <c r="C21" i="50" s="1"/>
  <c r="C9" i="51" s="1"/>
  <c r="D25" i="42"/>
  <c r="C25" i="42"/>
  <c r="E25" i="42"/>
  <c r="D25" i="43"/>
  <c r="E25" i="43"/>
  <c r="C20" i="43"/>
  <c r="C20" i="42"/>
  <c r="AA136" i="6"/>
  <c r="AA135" i="6"/>
  <c r="E196" i="6"/>
  <c r="D213" i="6"/>
  <c r="J194" i="6"/>
  <c r="J302" i="6" s="1"/>
  <c r="H178" i="6"/>
  <c r="Z132" i="6"/>
  <c r="J110" i="7"/>
  <c r="K138" i="6"/>
  <c r="D212" i="6"/>
  <c r="I109" i="7"/>
  <c r="I181" i="7" s="1"/>
  <c r="Z49" i="6"/>
  <c r="Z61" i="6"/>
  <c r="AA131" i="6"/>
  <c r="I110" i="7"/>
  <c r="Y69" i="6"/>
  <c r="AA132" i="6"/>
  <c r="C215" i="6"/>
  <c r="J138" i="6"/>
  <c r="J109" i="7"/>
  <c r="D138" i="6"/>
  <c r="Z65" i="6"/>
  <c r="H138" i="6"/>
  <c r="C138" i="6"/>
  <c r="I138" i="6"/>
  <c r="E138" i="6"/>
  <c r="E202" i="6"/>
  <c r="Z136" i="6"/>
  <c r="G138" i="6"/>
  <c r="I217" i="6"/>
  <c r="E178" i="6"/>
  <c r="J217" i="6"/>
  <c r="C283" i="6"/>
  <c r="D178" i="6"/>
  <c r="D194" i="6" s="1"/>
  <c r="G178" i="6"/>
  <c r="F178" i="6"/>
  <c r="C178" i="6"/>
  <c r="C194" i="6" s="1"/>
  <c r="I178" i="6"/>
  <c r="C122" i="6"/>
  <c r="L138" i="6"/>
  <c r="D211" i="6"/>
  <c r="D228" i="6"/>
  <c r="C30" i="43" l="1"/>
  <c r="C30" i="42"/>
  <c r="D24" i="42"/>
  <c r="D26" i="42" s="1"/>
  <c r="C24" i="42"/>
  <c r="C26" i="42" s="1"/>
  <c r="E24" i="42"/>
  <c r="C24" i="43"/>
  <c r="C26" i="43" s="1"/>
  <c r="D24" i="43"/>
  <c r="D26" i="43" s="1"/>
  <c r="E24" i="43"/>
  <c r="C222" i="6"/>
  <c r="J181" i="7"/>
  <c r="I182" i="7"/>
  <c r="J182" i="7"/>
  <c r="J200" i="6"/>
  <c r="J303" i="6" s="1"/>
  <c r="J204" i="6"/>
  <c r="D224" i="6"/>
  <c r="AA137" i="6"/>
  <c r="E201" i="6"/>
  <c r="Z133" i="6"/>
  <c r="H204" i="6"/>
  <c r="H194" i="6"/>
  <c r="H302" i="6" s="1"/>
  <c r="H200" i="6"/>
  <c r="H303" i="6" s="1"/>
  <c r="C200" i="6"/>
  <c r="K303" i="6"/>
  <c r="F273" i="6"/>
  <c r="J273" i="6"/>
  <c r="C226" i="6"/>
  <c r="I273" i="6"/>
  <c r="AA133" i="6"/>
  <c r="D223" i="6"/>
  <c r="Z66" i="6"/>
  <c r="Z62" i="6"/>
  <c r="D219" i="6"/>
  <c r="C204" i="6"/>
  <c r="Z68" i="6"/>
  <c r="C219" i="6"/>
  <c r="C139" i="6"/>
  <c r="Z137" i="6"/>
  <c r="L303" i="6"/>
  <c r="K302" i="6"/>
  <c r="D227" i="6"/>
  <c r="E195" i="6"/>
  <c r="D226" i="6"/>
  <c r="I194" i="6"/>
  <c r="G200" i="6"/>
  <c r="G204" i="6"/>
  <c r="G194" i="6"/>
  <c r="D200" i="6"/>
  <c r="D204" i="6"/>
  <c r="I200" i="6"/>
  <c r="I204" i="6"/>
  <c r="F204" i="6"/>
  <c r="F200" i="6"/>
  <c r="F194" i="6"/>
  <c r="L302" i="6"/>
  <c r="D222" i="6"/>
  <c r="C29" i="43" l="1"/>
  <c r="C29" i="42"/>
  <c r="E26" i="42"/>
  <c r="C32" i="42" s="1"/>
  <c r="E26" i="43"/>
  <c r="C32" i="43" s="1"/>
  <c r="D11" i="7"/>
  <c r="E8" i="7" s="1"/>
  <c r="C11" i="7"/>
  <c r="C230" i="6"/>
  <c r="F269" i="6"/>
  <c r="I76" i="7"/>
  <c r="J76" i="7"/>
  <c r="E303" i="6"/>
  <c r="F77" i="7"/>
  <c r="C303" i="6"/>
  <c r="D267" i="6"/>
  <c r="F268" i="6"/>
  <c r="D271" i="6"/>
  <c r="D230" i="6"/>
  <c r="H304" i="6"/>
  <c r="H308" i="6" s="1"/>
  <c r="Z69" i="6"/>
  <c r="E302" i="6"/>
  <c r="E204" i="6"/>
  <c r="K304" i="6"/>
  <c r="K307" i="6" s="1"/>
  <c r="F272" i="6"/>
  <c r="C197" i="6"/>
  <c r="G302" i="6"/>
  <c r="G303" i="6"/>
  <c r="L304" i="6"/>
  <c r="I303" i="6"/>
  <c r="D303" i="6"/>
  <c r="I302" i="6"/>
  <c r="J304" i="6"/>
  <c r="F302" i="6"/>
  <c r="D197" i="6"/>
  <c r="F303" i="6"/>
  <c r="D8" i="51" l="1"/>
  <c r="D10" i="55"/>
  <c r="C8" i="55"/>
  <c r="C10" i="55" s="1"/>
  <c r="C10" i="51"/>
  <c r="F73" i="7"/>
  <c r="C25" i="7"/>
  <c r="C26" i="7"/>
  <c r="D26" i="7"/>
  <c r="D25" i="7"/>
  <c r="J113" i="7"/>
  <c r="I113" i="7"/>
  <c r="D71" i="7"/>
  <c r="D75" i="7"/>
  <c r="F76" i="7"/>
  <c r="F72" i="7"/>
  <c r="K308" i="6"/>
  <c r="H307" i="6"/>
  <c r="C233" i="6"/>
  <c r="J307" i="6"/>
  <c r="L307" i="6"/>
  <c r="E304" i="6"/>
  <c r="F304" i="6"/>
  <c r="I304" i="6"/>
  <c r="C312" i="6"/>
  <c r="L308" i="6"/>
  <c r="D250" i="6"/>
  <c r="D198" i="6"/>
  <c r="J308" i="6"/>
  <c r="G304" i="6"/>
  <c r="C198" i="6"/>
  <c r="C250" i="6"/>
  <c r="C25" i="55" l="1"/>
  <c r="C24" i="55"/>
  <c r="D24" i="55"/>
  <c r="D25" i="55"/>
  <c r="E8" i="55"/>
  <c r="E10" i="55" s="1"/>
  <c r="C25" i="51"/>
  <c r="C24" i="51"/>
  <c r="C27" i="7"/>
  <c r="D27" i="7"/>
  <c r="D235" i="6"/>
  <c r="C249" i="6" s="1"/>
  <c r="D234" i="6"/>
  <c r="C54" i="7"/>
  <c r="G131" i="7"/>
  <c r="G130" i="7"/>
  <c r="D130" i="7"/>
  <c r="J185" i="7"/>
  <c r="I185" i="7"/>
  <c r="D131" i="7"/>
  <c r="G308" i="6"/>
  <c r="E307" i="6"/>
  <c r="E308" i="6"/>
  <c r="D251" i="6"/>
  <c r="D302" i="6"/>
  <c r="E317" i="6"/>
  <c r="D54" i="7"/>
  <c r="I308" i="6"/>
  <c r="I307" i="6"/>
  <c r="C251" i="6"/>
  <c r="C302" i="6"/>
  <c r="F308" i="6"/>
  <c r="G307" i="6"/>
  <c r="F307" i="6"/>
  <c r="D26" i="55" l="1"/>
  <c r="E24" i="55"/>
  <c r="C29" i="55" s="1"/>
  <c r="E25" i="55"/>
  <c r="E26" i="55" s="1"/>
  <c r="C26" i="55"/>
  <c r="C32" i="55" s="1"/>
  <c r="C30" i="55"/>
  <c r="D10" i="51"/>
  <c r="C26" i="51"/>
  <c r="C53" i="7"/>
  <c r="F245" i="6"/>
  <c r="C275" i="6"/>
  <c r="E259" i="6"/>
  <c r="G132" i="7"/>
  <c r="D136" i="7"/>
  <c r="D137" i="7"/>
  <c r="D132" i="7"/>
  <c r="E275" i="6"/>
  <c r="E272" i="6"/>
  <c r="I245" i="6"/>
  <c r="C322" i="6"/>
  <c r="J255" i="6"/>
  <c r="C271" i="6"/>
  <c r="F259" i="6"/>
  <c r="H245" i="6"/>
  <c r="I255" i="6"/>
  <c r="E257" i="6"/>
  <c r="E269" i="6"/>
  <c r="E256" i="6"/>
  <c r="D249" i="6"/>
  <c r="E268" i="6"/>
  <c r="D259" i="6"/>
  <c r="J259" i="6"/>
  <c r="H255" i="6"/>
  <c r="D255" i="6"/>
  <c r="G259" i="6"/>
  <c r="I259" i="6"/>
  <c r="C259" i="6"/>
  <c r="C255" i="6"/>
  <c r="C267" i="6"/>
  <c r="E246" i="6"/>
  <c r="H259" i="6"/>
  <c r="F255" i="6"/>
  <c r="J245" i="6"/>
  <c r="G255" i="6"/>
  <c r="E273" i="6"/>
  <c r="G245" i="6"/>
  <c r="E247" i="6"/>
  <c r="C55" i="7"/>
  <c r="D304" i="6"/>
  <c r="C311" i="6"/>
  <c r="C304" i="6"/>
  <c r="D55" i="7"/>
  <c r="E8" i="51" l="1"/>
  <c r="E10" i="51" s="1"/>
  <c r="D24" i="51"/>
  <c r="D25" i="51"/>
  <c r="H63" i="7"/>
  <c r="J49" i="7"/>
  <c r="G63" i="7"/>
  <c r="D59" i="7"/>
  <c r="F59" i="7"/>
  <c r="J59" i="7"/>
  <c r="D63" i="7"/>
  <c r="H49" i="7"/>
  <c r="H59" i="7"/>
  <c r="F63" i="7"/>
  <c r="E63" i="7"/>
  <c r="I49" i="7"/>
  <c r="C63" i="7"/>
  <c r="I63" i="7"/>
  <c r="J63" i="7"/>
  <c r="G59" i="7"/>
  <c r="I59" i="7"/>
  <c r="K257" i="6"/>
  <c r="E76" i="7"/>
  <c r="D138" i="7"/>
  <c r="E79" i="7"/>
  <c r="E73" i="7"/>
  <c r="C79" i="7"/>
  <c r="K329" i="6"/>
  <c r="H328" i="6"/>
  <c r="D328" i="6"/>
  <c r="F329" i="6"/>
  <c r="H329" i="6"/>
  <c r="E77" i="7"/>
  <c r="G328" i="6"/>
  <c r="F328" i="6"/>
  <c r="C75" i="7"/>
  <c r="E328" i="6"/>
  <c r="K328" i="6"/>
  <c r="G49" i="7"/>
  <c r="C328" i="6"/>
  <c r="F49" i="7"/>
  <c r="K247" i="6"/>
  <c r="G329" i="6"/>
  <c r="C71" i="7"/>
  <c r="D53" i="7"/>
  <c r="D329" i="6"/>
  <c r="C59" i="7"/>
  <c r="E51" i="7"/>
  <c r="L328" i="6"/>
  <c r="E60" i="7"/>
  <c r="E61" i="7"/>
  <c r="E329" i="6"/>
  <c r="L329" i="6"/>
  <c r="C329" i="6"/>
  <c r="E72" i="7"/>
  <c r="E50" i="7"/>
  <c r="C313" i="6"/>
  <c r="E316" i="6"/>
  <c r="D308" i="6"/>
  <c r="D307" i="6"/>
  <c r="C308" i="6"/>
  <c r="C307" i="6"/>
  <c r="D26" i="51" l="1"/>
  <c r="E24" i="51"/>
  <c r="C29" i="51" s="1"/>
  <c r="E25" i="51"/>
  <c r="K61" i="7"/>
  <c r="J329" i="6"/>
  <c r="I329" i="6"/>
  <c r="G330" i="6"/>
  <c r="K330" i="6"/>
  <c r="D330" i="6"/>
  <c r="H330" i="6"/>
  <c r="F330" i="6"/>
  <c r="C330" i="6"/>
  <c r="L330" i="6"/>
  <c r="J328" i="6"/>
  <c r="I328" i="6"/>
  <c r="E330" i="6"/>
  <c r="K51" i="7"/>
  <c r="C316" i="6"/>
  <c r="L316" i="6"/>
  <c r="L317" i="6"/>
  <c r="C317" i="6"/>
  <c r="E26" i="51" l="1"/>
  <c r="C30" i="51"/>
  <c r="C32" i="51"/>
  <c r="E18" i="7"/>
  <c r="E17" i="7"/>
  <c r="C333" i="6"/>
  <c r="J330" i="6"/>
  <c r="I330" i="6"/>
  <c r="C332" i="6"/>
  <c r="C324" i="6"/>
  <c r="C323" i="6"/>
  <c r="E11" i="7" l="1"/>
  <c r="C334" i="6"/>
  <c r="L339" i="6"/>
  <c r="J339" i="6"/>
  <c r="G339" i="6"/>
  <c r="E339" i="6"/>
  <c r="K339" i="6"/>
  <c r="H339" i="6"/>
  <c r="I339" i="6"/>
  <c r="F339" i="6"/>
  <c r="C339" i="6"/>
  <c r="D339" i="6"/>
  <c r="I338" i="6"/>
  <c r="K338" i="6"/>
  <c r="C338" i="6"/>
  <c r="H338" i="6"/>
  <c r="G338" i="6"/>
  <c r="L338" i="6"/>
  <c r="D338" i="6"/>
  <c r="F338" i="6"/>
  <c r="J338" i="6"/>
  <c r="E338" i="6"/>
  <c r="E25" i="7" l="1"/>
  <c r="E26" i="7"/>
  <c r="K340" i="6"/>
  <c r="L340" i="6"/>
  <c r="E340" i="6"/>
  <c r="F340" i="6"/>
  <c r="C342" i="6"/>
  <c r="I340" i="6"/>
  <c r="G340" i="6"/>
  <c r="D340" i="6"/>
  <c r="H340" i="6"/>
  <c r="J340" i="6"/>
  <c r="C343" i="6"/>
  <c r="C340" i="6"/>
  <c r="E27" i="7" l="1"/>
  <c r="C344" i="6"/>
  <c r="C346" i="6" l="1"/>
  <c r="C142" i="7" l="1"/>
  <c r="C204" i="7" l="1"/>
  <c r="C31" i="7"/>
  <c r="C143" i="7"/>
  <c r="C205" i="7"/>
  <c r="C30" i="7"/>
  <c r="C144" i="7" l="1"/>
  <c r="C206" i="7"/>
  <c r="C38" i="7"/>
  <c r="C33" i="7"/>
  <c r="C108" i="7" l="1"/>
  <c r="C97" i="7"/>
  <c r="C130" i="7"/>
  <c r="D94" i="7"/>
  <c r="D97" i="7"/>
  <c r="D123" i="7" s="1"/>
  <c r="E110" i="7"/>
  <c r="E99" i="7"/>
  <c r="G90" i="7"/>
  <c r="E98" i="7"/>
  <c r="C37" i="7"/>
  <c r="C39" i="7" s="1"/>
  <c r="D95" i="7"/>
  <c r="E91" i="7"/>
  <c r="I97" i="7"/>
  <c r="E114" i="7"/>
  <c r="E109" i="7"/>
  <c r="C94" i="7"/>
  <c r="H97" i="7"/>
  <c r="E113" i="7"/>
  <c r="E92" i="7"/>
  <c r="C95" i="7"/>
  <c r="H90" i="7"/>
  <c r="C112" i="7"/>
  <c r="G97" i="7"/>
  <c r="G123" i="7" s="1"/>
  <c r="I90" i="7"/>
  <c r="J90" i="7" s="1"/>
  <c r="J122" i="7" s="1"/>
  <c r="F90" i="7"/>
  <c r="F97" i="7"/>
  <c r="D122" i="7" l="1"/>
  <c r="G122" i="7"/>
  <c r="E122" i="7"/>
  <c r="F130" i="7"/>
  <c r="J97" i="7"/>
  <c r="I123" i="7"/>
  <c r="E123" i="7"/>
  <c r="C122" i="7"/>
  <c r="C131" i="7"/>
  <c r="H122" i="7"/>
  <c r="C123" i="7"/>
  <c r="H123" i="7"/>
  <c r="F131" i="7"/>
  <c r="F122" i="7"/>
  <c r="I122" i="7"/>
  <c r="F123" i="7"/>
  <c r="D124" i="7" l="1"/>
  <c r="G124" i="7"/>
  <c r="F132" i="7"/>
  <c r="E124" i="7"/>
  <c r="C132" i="7"/>
  <c r="J123" i="7"/>
  <c r="C136" i="7"/>
  <c r="I124" i="7"/>
  <c r="H124" i="7"/>
  <c r="F124" i="7"/>
  <c r="C124" i="7"/>
  <c r="E136" i="7" l="1"/>
  <c r="J124" i="7"/>
  <c r="C137" i="7"/>
  <c r="C147" i="7" l="1"/>
  <c r="E147" i="7" s="1"/>
  <c r="C166" i="7" s="1"/>
  <c r="E137" i="7"/>
  <c r="C138" i="7"/>
  <c r="I162" i="7" l="1"/>
  <c r="J162" i="7"/>
  <c r="C180" i="7"/>
  <c r="C167" i="7"/>
  <c r="D166" i="7"/>
  <c r="E182" i="7"/>
  <c r="F162" i="7"/>
  <c r="D167" i="7"/>
  <c r="G162" i="7"/>
  <c r="H162" i="7"/>
  <c r="E164" i="7"/>
  <c r="E181" i="7"/>
  <c r="E163" i="7"/>
  <c r="E138" i="7"/>
  <c r="C148" i="7"/>
  <c r="H194" i="7" l="1"/>
  <c r="I194" i="7"/>
  <c r="J194" i="7"/>
  <c r="G194" i="7"/>
  <c r="D194" i="7"/>
  <c r="K194" i="7"/>
  <c r="C194" i="7"/>
  <c r="F194" i="7"/>
  <c r="L194" i="7"/>
  <c r="E194" i="7"/>
  <c r="E148" i="7"/>
  <c r="C169" i="7" s="1"/>
  <c r="C149" i="7"/>
  <c r="C198" i="7" l="1"/>
  <c r="G169" i="7"/>
  <c r="E171" i="7"/>
  <c r="C184" i="7"/>
  <c r="E170" i="7"/>
  <c r="H169" i="7"/>
  <c r="E186" i="7"/>
  <c r="D169" i="7"/>
  <c r="F169" i="7"/>
  <c r="J169" i="7"/>
  <c r="E185" i="7"/>
  <c r="I169" i="7"/>
  <c r="C209" i="7" l="1"/>
  <c r="E209" i="7" s="1"/>
  <c r="D195" i="7"/>
  <c r="E195" i="7"/>
  <c r="K195" i="7"/>
  <c r="C195" i="7"/>
  <c r="I195" i="7"/>
  <c r="J195" i="7"/>
  <c r="L195" i="7"/>
  <c r="F195" i="7"/>
  <c r="H195" i="7"/>
  <c r="G195" i="7"/>
  <c r="F196" i="7" l="1"/>
  <c r="E196" i="7"/>
  <c r="H196" i="7"/>
  <c r="J196" i="7"/>
  <c r="I196" i="7"/>
  <c r="K196" i="7"/>
  <c r="G196" i="7"/>
  <c r="L196" i="7"/>
  <c r="C199" i="7"/>
  <c r="C196" i="7"/>
  <c r="D196" i="7"/>
  <c r="C210" i="7" l="1"/>
  <c r="C200" i="7"/>
  <c r="C211" i="7" l="1"/>
  <c r="E210" i="7"/>
  <c r="E211" i="7" l="1"/>
</calcChain>
</file>

<file path=xl/sharedStrings.xml><?xml version="1.0" encoding="utf-8"?>
<sst xmlns="http://schemas.openxmlformats.org/spreadsheetml/2006/main" count="1631" uniqueCount="616">
  <si>
    <t>RS</t>
  </si>
  <si>
    <t>RHS</t>
  </si>
  <si>
    <t>RLM</t>
  </si>
  <si>
    <t>WH</t>
  </si>
  <si>
    <t>WHS</t>
  </si>
  <si>
    <t>GLP</t>
  </si>
  <si>
    <t>HS</t>
  </si>
  <si>
    <t>January</t>
  </si>
  <si>
    <t>February</t>
  </si>
  <si>
    <t>March</t>
  </si>
  <si>
    <t>April</t>
  </si>
  <si>
    <t>May</t>
  </si>
  <si>
    <t>June</t>
  </si>
  <si>
    <t>July</t>
  </si>
  <si>
    <t>August</t>
  </si>
  <si>
    <t>September</t>
  </si>
  <si>
    <t>October</t>
  </si>
  <si>
    <t>November</t>
  </si>
  <si>
    <t>December</t>
  </si>
  <si>
    <t>Total</t>
  </si>
  <si>
    <t>On-Peak</t>
  </si>
  <si>
    <t>Off-Peak</t>
  </si>
  <si>
    <t>Annual</t>
  </si>
  <si>
    <t>Summer - all hrs</t>
  </si>
  <si>
    <t>Winter - all hrs</t>
  </si>
  <si>
    <t>Gen Obl - MW</t>
  </si>
  <si>
    <t>Trans Obl - MW</t>
  </si>
  <si>
    <t>Assumptions:</t>
  </si>
  <si>
    <t>Gen Cost</t>
  </si>
  <si>
    <t>Trans cost</t>
  </si>
  <si>
    <t>per MW-yr</t>
  </si>
  <si>
    <t>PLUS:</t>
  </si>
  <si>
    <t>DEMAND RATES</t>
  </si>
  <si>
    <t>Usage patterns =</t>
  </si>
  <si>
    <t>Gen Cost =</t>
  </si>
  <si>
    <t>Trans cost =</t>
  </si>
  <si>
    <t>LPL-S</t>
  </si>
  <si>
    <t>PSAL</t>
  </si>
  <si>
    <t>BPL</t>
  </si>
  <si>
    <t>Forwards Prices - Energy Only @ bulk system</t>
  </si>
  <si>
    <t>in $/MWh</t>
  </si>
  <si>
    <t>NON-DEMAND RATES</t>
  </si>
  <si>
    <t>Losses</t>
  </si>
  <si>
    <t xml:space="preserve"> -- Other Analysis --</t>
  </si>
  <si>
    <t>per MWh at customer (per customer metered MWh)</t>
  </si>
  <si>
    <t>Obligations =</t>
  </si>
  <si>
    <t>Losses =</t>
  </si>
  <si>
    <t>summer</t>
  </si>
  <si>
    <t>winter</t>
  </si>
  <si>
    <t>all months</t>
  </si>
  <si>
    <t>Profile Meter Data</t>
  </si>
  <si>
    <t>per kW of G obl /month</t>
  </si>
  <si>
    <t>per kW of T obl /month</t>
  </si>
  <si>
    <t>Summer</t>
  </si>
  <si>
    <t>Winter</t>
  </si>
  <si>
    <t>Total Costs - in $1000</t>
  </si>
  <si>
    <t>% of Annual Total $</t>
  </si>
  <si>
    <t>% of Annual Total $ by Rate</t>
  </si>
  <si>
    <t>Total Costs by Rate - in $1000</t>
  </si>
  <si>
    <t>Grand Total Cost in $1000 =</t>
  </si>
  <si>
    <t>On-Peak periods defined as the 16 hr PJM Trading period, adj for NERC holidays</t>
  </si>
  <si>
    <t>winter MWh =</t>
  </si>
  <si>
    <t>summer MWh =</t>
  </si>
  <si>
    <t>PJM Time Periods =</t>
  </si>
  <si>
    <t>Table #1</t>
  </si>
  <si>
    <t>Table #2</t>
  </si>
  <si>
    <t>Table #5</t>
  </si>
  <si>
    <t>Table #6</t>
  </si>
  <si>
    <t>Table #7</t>
  </si>
  <si>
    <t>Table #8</t>
  </si>
  <si>
    <t>Table #9</t>
  </si>
  <si>
    <t>Table #10</t>
  </si>
  <si>
    <t>Table #11</t>
  </si>
  <si>
    <t>Table #13</t>
  </si>
  <si>
    <t>Table #12</t>
  </si>
  <si>
    <t>Table #3</t>
  </si>
  <si>
    <t>Table #4</t>
  </si>
  <si>
    <t>in MW</t>
  </si>
  <si>
    <t>in MWh</t>
  </si>
  <si>
    <t>N/A</t>
  </si>
  <si>
    <t>PJM on pk</t>
  </si>
  <si>
    <t>PJM off pk</t>
  </si>
  <si>
    <t>in $1000</t>
  </si>
  <si>
    <t>System Total</t>
  </si>
  <si>
    <t>PSE&amp;G On pk</t>
  </si>
  <si>
    <t>PSE&amp;G Off pk</t>
  </si>
  <si>
    <t>Annual Average</t>
  </si>
  <si>
    <t>System Average</t>
  </si>
  <si>
    <t>includes energy, G&amp;T obligations, and Ancillary Services - adjusted to billing time periods</t>
  </si>
  <si>
    <t>includes energy and Ancillary Services, G&amp;T obligations charged separately - adjusted to billing time periods</t>
  </si>
  <si>
    <t>PSE&amp;G Billing time periods =</t>
  </si>
  <si>
    <t>Adjusted to Billing Time Periods</t>
  </si>
  <si>
    <t>Table #14</t>
  </si>
  <si>
    <t>Table #15</t>
  </si>
  <si>
    <t xml:space="preserve"> PJM trading time periods - 7 AM to 11 PM weekdays, local time, x NERC </t>
  </si>
  <si>
    <t xml:space="preserve"> as per specific rate schedule</t>
  </si>
  <si>
    <t xml:space="preserve">   --- Other Analysis ---</t>
  </si>
  <si>
    <t xml:space="preserve">     holidays - New Year's, Memorial, 4th of July, Labor Day, Thanksgiving &amp; Christmas</t>
  </si>
  <si>
    <t>$/MW/day</t>
  </si>
  <si>
    <t>per kW/yr</t>
  </si>
  <si>
    <t xml:space="preserve">Resulting average generation capacity cost = </t>
  </si>
  <si>
    <t>Transmission Cost</t>
  </si>
  <si>
    <t>Generation Capacity cost</t>
  </si>
  <si>
    <t># of summer days =</t>
  </si>
  <si>
    <t># of winter days =</t>
  </si>
  <si>
    <t># of summer months =</t>
  </si>
  <si>
    <t># of winter months =</t>
  </si>
  <si>
    <t>annual  &gt;&gt;</t>
  </si>
  <si>
    <t>ALL RATES</t>
  </si>
  <si>
    <t>Annual - including T&amp;G Obl $</t>
  </si>
  <si>
    <t># of Months and Days used in this analysis</t>
  </si>
  <si>
    <t>total # months =</t>
  </si>
  <si>
    <t>Annual -all hrs</t>
  </si>
  <si>
    <t>Annual - all hrs</t>
  </si>
  <si>
    <t>Annual - all hrs per MWh only</t>
  </si>
  <si>
    <t>Analysis time period =</t>
  </si>
  <si>
    <t>summer months</t>
  </si>
  <si>
    <t>winter months</t>
  </si>
  <si>
    <t>Transmission Obl - all months</t>
  </si>
  <si>
    <t>on-peak</t>
  </si>
  <si>
    <t>off-peak</t>
  </si>
  <si>
    <t>Note: Obligation $ included in On pk costs</t>
  </si>
  <si>
    <t>Multiplier</t>
  </si>
  <si>
    <t>Total Rate Revenue - in $1000</t>
  </si>
  <si>
    <t>Total Supplier Payment - in $1000</t>
  </si>
  <si>
    <t>Assumed Winning Bid Price =</t>
  </si>
  <si>
    <t>Payment Ratio - Winter =</t>
  </si>
  <si>
    <t>Payment Ratio - Summer =</t>
  </si>
  <si>
    <t>Table #16</t>
  </si>
  <si>
    <t>% Usage During PJM On-Peak Period</t>
  </si>
  <si>
    <t>% Usage During PSE&amp;G On-Peak Billing Period</t>
  </si>
  <si>
    <t>Class Usage @ customer</t>
  </si>
  <si>
    <t>Summary of Average BGS Energy Only Costs @ customer - PJM Time Periods</t>
  </si>
  <si>
    <t>Summary of Average BGS Energy Only Unit Costs @ customer - PSE&amp;G Time Periods</t>
  </si>
  <si>
    <t>Summary of BGS Unit Costs @ customer</t>
  </si>
  <si>
    <t>Summary of Total BGS Costs by Season</t>
  </si>
  <si>
    <t>Ratio to All-In Cost &gt;&gt;&gt;</t>
  </si>
  <si>
    <t>Energy Costs =</t>
  </si>
  <si>
    <t>Summary of Average BGS Energy Only Unit Costs @ customer - PJM Time Periods</t>
  </si>
  <si>
    <t>Summary of Obligation Costs Expressed as $/MWh @ customer (for non-demand rates only)</t>
  </si>
  <si>
    <t>All-In Average cost @ customer =</t>
  </si>
  <si>
    <t>per MWh</t>
  </si>
  <si>
    <t>per MWh @  bulk system</t>
  </si>
  <si>
    <t>MWhs in PJM time periods</t>
  </si>
  <si>
    <t>MWhs in PSE&amp;G time periods</t>
  </si>
  <si>
    <t>Difference in MWhs</t>
  </si>
  <si>
    <t>(PJM - PSE&amp;G)</t>
  </si>
  <si>
    <t>Check on total $ recovered</t>
  </si>
  <si>
    <t>PSE&amp;G time periods</t>
  </si>
  <si>
    <t>PJM time periods (Table #8)</t>
  </si>
  <si>
    <t>summer =</t>
  </si>
  <si>
    <t>winter =</t>
  </si>
  <si>
    <t xml:space="preserve">Generation Obl -                </t>
  </si>
  <si>
    <t>per annual MWh</t>
  </si>
  <si>
    <t>recovery per summer MWh</t>
  </si>
  <si>
    <t>recovery per winter MWh</t>
  </si>
  <si>
    <t xml:space="preserve">For RLM, per </t>
  </si>
  <si>
    <t>on-peak kWh only</t>
  </si>
  <si>
    <t>Generation &amp; Transmission Obligations and Costs and Other Adjustments</t>
  </si>
  <si>
    <t>Block 2 (&gt;600 kWh/m)</t>
  </si>
  <si>
    <t>Block 1 (0-600 kWh/m)</t>
  </si>
  <si>
    <t>¢/kWh</t>
  </si>
  <si>
    <t>Block 1</t>
  </si>
  <si>
    <t>Block 2</t>
  </si>
  <si>
    <t>All usage Multiplier</t>
  </si>
  <si>
    <t>for Block 1 (0-600 kWh/m) usage</t>
  </si>
  <si>
    <t>for Block 2 (&gt;600 kWh/m) usage</t>
  </si>
  <si>
    <t>Use weighted average</t>
  </si>
  <si>
    <t>for all streetlighting =</t>
  </si>
  <si>
    <t>Total Summer</t>
  </si>
  <si>
    <t>Total Winter</t>
  </si>
  <si>
    <t>Grand Total</t>
  </si>
  <si>
    <t>Constant (in $/MWh)</t>
  </si>
  <si>
    <t>% usage during Off-Peak period</t>
  </si>
  <si>
    <t xml:space="preserve"> based on Forwards @ PJM West - corrected for congestion</t>
  </si>
  <si>
    <t>LMP ratio</t>
  </si>
  <si>
    <t>Resulting</t>
  </si>
  <si>
    <t>Off/On Pk</t>
  </si>
  <si>
    <t>Zone to Western Hub Basis Differential</t>
  </si>
  <si>
    <t>year round =</t>
  </si>
  <si>
    <t xml:space="preserve">/MW day </t>
  </si>
  <si>
    <t>Difference ( in $1000) =</t>
  </si>
  <si>
    <t>rounded to 4 decimal places</t>
  </si>
  <si>
    <t>Note: Minor differences in totals are due to rounding of Bid Factors and Payment Factors</t>
  </si>
  <si>
    <t>Required summer inversion =</t>
  </si>
  <si>
    <t>Block 2  (&gt;600 kWh/m)</t>
  </si>
  <si>
    <t>% usage in Summer Blocks</t>
  </si>
  <si>
    <t>(same as 2003/2004 BGS blocking inversion)</t>
  </si>
  <si>
    <t>Usage by season - PSE&amp;G periods</t>
  </si>
  <si>
    <t>Usage by season/period - PJM periods</t>
  </si>
  <si>
    <t>in MWhs</t>
  </si>
  <si>
    <t>Total on-peak</t>
  </si>
  <si>
    <t>Total off-peak</t>
  </si>
  <si>
    <t>%</t>
  </si>
  <si>
    <t>kWh</t>
  </si>
  <si>
    <t>% of</t>
  </si>
  <si>
    <t>Gen Obl</t>
  </si>
  <si>
    <t>Trans Obl</t>
  </si>
  <si>
    <t>Adj for PLS</t>
  </si>
  <si>
    <t>from Table #14 of the bid factor spreadsheet ---</t>
  </si>
  <si>
    <t>NON-DEMAND RATES -----------------------------------------------------------------------------------------------------------------------------------------------------------------------</t>
  </si>
  <si>
    <t>DEMAND RATES --------------------------------------------------------------------------------------------------------------------------------------------------------------------------------</t>
  </si>
  <si>
    <t>line #</t>
  </si>
  <si>
    <t>Notes:</t>
  </si>
  <si>
    <t>Winning Bid - in $/MWh</t>
  </si>
  <si>
    <t>from then current Bid</t>
  </si>
  <si>
    <t>Payment Factors</t>
  </si>
  <si>
    <t xml:space="preserve">                           Summer</t>
  </si>
  <si>
    <t xml:space="preserve">                           Winter</t>
  </si>
  <si>
    <t xml:space="preserve">                           Summer MWh</t>
  </si>
  <si>
    <t xml:space="preserve">                           Winter MWh</t>
  </si>
  <si>
    <t xml:space="preserve">                           Total</t>
  </si>
  <si>
    <t>= sum(line 10) / [ (6) + (7)]</t>
  </si>
  <si>
    <t xml:space="preserve">   &lt;&lt;&lt; used in calculation of</t>
  </si>
  <si>
    <t xml:space="preserve">           Customer Rates</t>
  </si>
  <si>
    <t xml:space="preserve">                Total weighted average</t>
  </si>
  <si>
    <t>Difference =</t>
  </si>
  <si>
    <t>Total Payment to Suppliers =</t>
  </si>
  <si>
    <t>= sum (line 10)</t>
  </si>
  <si>
    <t>= line (14) - line (15)</t>
  </si>
  <si>
    <t>= (13) * [(6)+(7)] / 1000</t>
  </si>
  <si>
    <t>Actual Billed Sales</t>
  </si>
  <si>
    <r>
      <t xml:space="preserve">Spreadsheet Error Checking - </t>
    </r>
    <r>
      <rPr>
        <i/>
        <sz val="10"/>
        <rFont val="Arial"/>
        <family val="2"/>
      </rPr>
      <t>Reconciliation of Customer Revenue and Supplier Payments, based on above data only</t>
    </r>
  </si>
  <si>
    <t>Differences - in $1000</t>
  </si>
  <si>
    <t xml:space="preserve">   rounded to 4 decimal places</t>
  </si>
  <si>
    <t xml:space="preserve">Note: These differences are due to rounding and seasonal differences in Bidder Payments (which are based on prior </t>
  </si>
  <si>
    <t xml:space="preserve">          wining bids and Seasonal Payment Factors) and current Rates (based on current seasonal market differentials)</t>
  </si>
  <si>
    <t>% difference</t>
  </si>
  <si>
    <t>Total Supplier Energy</t>
  </si>
  <si>
    <t>Table #17</t>
  </si>
  <si>
    <t xml:space="preserve"> Delivery losses from tariff, PJM losses based on 3 year average %</t>
  </si>
  <si>
    <t xml:space="preserve"> class totals in effect as of filing date</t>
  </si>
  <si>
    <t>in $/MWh, not including PJM losses</t>
  </si>
  <si>
    <t>(data rounded to nearest .01%)</t>
  </si>
  <si>
    <t>based on Forwards prices corrected for congestion &amp; all losses - PJM time periods</t>
  </si>
  <si>
    <t>based on Forwards prices corrected for congestion &amp; all losses</t>
  </si>
  <si>
    <t>based on Forwards prices corrected for congestion &amp; all losses - PSE&amp;G billing time periods</t>
  </si>
  <si>
    <r>
      <t>Reconciliation of amounts</t>
    </r>
    <r>
      <rPr>
        <i/>
        <sz val="10"/>
        <rFont val="Arial"/>
        <family val="2"/>
      </rPr>
      <t xml:space="preserve"> - in $1000</t>
    </r>
  </si>
  <si>
    <t>Weighted Average * Total MWh =</t>
  </si>
  <si>
    <t>MW</t>
  </si>
  <si>
    <t>MWh</t>
  </si>
  <si>
    <t>Table A</t>
  </si>
  <si>
    <t>Table B</t>
  </si>
  <si>
    <t>Table C</t>
  </si>
  <si>
    <t>Table D</t>
  </si>
  <si>
    <r>
      <t xml:space="preserve">Revenue Recovery Calculations - </t>
    </r>
    <r>
      <rPr>
        <i/>
        <sz val="10"/>
        <rFont val="Arial"/>
        <family val="2"/>
      </rPr>
      <t>Reconciliation of seasonal Customer Revenue and Supplier Payments, based on actual anticipated revenues and payments</t>
    </r>
  </si>
  <si>
    <t>Total Preliminary Rate Revenue - in $1000</t>
  </si>
  <si>
    <t>Adjustment</t>
  </si>
  <si>
    <t>Factors</t>
  </si>
  <si>
    <t>includes energy, G&amp;T obligations, and Ancillary Services - adjusted to billing time periods &amp; adjustment to energy price</t>
  </si>
  <si>
    <t>includes energy and Ancillary Services, G&amp;T obligations charged separately - adjusted to billing time periods &amp; adjustment to energy price</t>
  </si>
  <si>
    <t xml:space="preserve">   rounded to 5 decimal places</t>
  </si>
  <si>
    <t>Energy $</t>
  </si>
  <si>
    <t>Obligation $</t>
  </si>
  <si>
    <t>Total $</t>
  </si>
  <si>
    <t>kWh Rate</t>
  </si>
  <si>
    <t>Table E</t>
  </si>
  <si>
    <r>
      <t>Spreadsheet Error Checking</t>
    </r>
    <r>
      <rPr>
        <i/>
        <sz val="10"/>
        <rFont val="Arial"/>
        <family val="2"/>
      </rPr>
      <t xml:space="preserve"> - Checking of seasonal Customer Revenue and Supplier Payments, based on final actual anticipated revenues and payments</t>
    </r>
  </si>
  <si>
    <r>
      <t xml:space="preserve">Preliminary Resulting BGS Rates (in cents per kWh) - </t>
    </r>
    <r>
      <rPr>
        <i/>
        <sz val="10"/>
        <rFont val="Arial"/>
        <family val="2"/>
      </rPr>
      <t>equal to bid factors times weighted average bid price</t>
    </r>
  </si>
  <si>
    <t>Table F</t>
  </si>
  <si>
    <t xml:space="preserve">   rounded to 3 decimal places</t>
  </si>
  <si>
    <t>= sum(line 8) / (6) - rounded to 3 decimal places</t>
  </si>
  <si>
    <t>= sum(line 9) / (7) - rounded to 3 decimal places</t>
  </si>
  <si>
    <t>Auction Results</t>
  </si>
  <si>
    <t xml:space="preserve">     Loss Factors =</t>
  </si>
  <si>
    <t xml:space="preserve">     Expansion Factor =</t>
  </si>
  <si>
    <t xml:space="preserve">     1 / Expansion Factor =</t>
  </si>
  <si>
    <t>per MWh at transmission nodes (per metered MWh at transmission node)</t>
  </si>
  <si>
    <r>
      <t>Ratio of BGS Unit Costs @ customer to All-In Average Cost @ transmission nodes -</t>
    </r>
    <r>
      <rPr>
        <i/>
        <sz val="10"/>
        <rFont val="Arial"/>
        <family val="2"/>
      </rPr>
      <t xml:space="preserve"> rounded to 3 decimal places, unit obligation $ rounded to 4 decimal places</t>
    </r>
  </si>
  <si>
    <t>@ transmission nodes</t>
  </si>
  <si>
    <r>
      <t xml:space="preserve">Applicable Customer Usage @ transmission nodes </t>
    </r>
    <r>
      <rPr>
        <b/>
        <i/>
        <sz val="10"/>
        <rFont val="Arial"/>
        <family val="2"/>
      </rPr>
      <t xml:space="preserve">- </t>
    </r>
    <r>
      <rPr>
        <i/>
        <sz val="10"/>
        <rFont val="Arial"/>
        <family val="2"/>
      </rPr>
      <t>in MWh</t>
    </r>
  </si>
  <si>
    <r>
      <t xml:space="preserve">Total Payment to Suppliers </t>
    </r>
    <r>
      <rPr>
        <i/>
        <sz val="10"/>
        <rFont val="Arial"/>
        <family val="2"/>
      </rPr>
      <t xml:space="preserve">- in $1000 </t>
    </r>
  </si>
  <si>
    <r>
      <t xml:space="preserve">Average Payment to Suppliers </t>
    </r>
    <r>
      <rPr>
        <i/>
        <sz val="10"/>
        <rFont val="Arial"/>
        <family val="2"/>
      </rPr>
      <t>- in $/MWh</t>
    </r>
  </si>
  <si>
    <t>Ratio of BGS Unit Costs @ customer to All-In Average Cost @ transmission nodes</t>
  </si>
  <si>
    <t>Note: $ reflect total payment</t>
  </si>
  <si>
    <t xml:space="preserve">      (includes all payments, including impact of PJM marginal losses)</t>
  </si>
  <si>
    <t xml:space="preserve">         If total $ were split on a per MWh basis (on transmission node MWhs):</t>
  </si>
  <si>
    <t>per MWh @ trans nodes</t>
  </si>
  <si>
    <t>(bid includes payments for all losses)</t>
  </si>
  <si>
    <t>from meter to transmission node (includes Delivery less mean hourly PJM marginal losses)</t>
  </si>
  <si>
    <t>from meter to bulk system (includes Delivery &amp; PJM EHV losses)</t>
  </si>
  <si>
    <t>from Table #17 of the current Bid Factor Spreadsheet</t>
  </si>
  <si>
    <t>All-In Average costs @ transmission nodes =</t>
  </si>
  <si>
    <t xml:space="preserve"> </t>
  </si>
  <si>
    <t>rounded to 3 decimal places, unit obligation $ rounded to 4 decimal places</t>
  </si>
  <si>
    <t>June - September (0-600)</t>
  </si>
  <si>
    <t>June - September (600+)</t>
  </si>
  <si>
    <t>Total Summer Usage</t>
  </si>
  <si>
    <t>Tranmsission Obligation</t>
  </si>
  <si>
    <t>Final Zonal RPM Scaling Factor</t>
  </si>
  <si>
    <r>
      <t xml:space="preserve">Final Resulting BGS Rates from Auctions (in cents per kWh) - </t>
    </r>
    <r>
      <rPr>
        <i/>
        <sz val="10"/>
        <rFont val="Arial"/>
        <family val="2"/>
      </rPr>
      <t>with preliminary kWh rates adjusted by the kWh Rate Adjustment Factor</t>
    </r>
  </si>
  <si>
    <t>annual</t>
  </si>
  <si>
    <t>Delivery Losses</t>
  </si>
  <si>
    <t>EHV Losses</t>
  </si>
  <si>
    <t>Source</t>
  </si>
  <si>
    <t>Loss Type</t>
  </si>
  <si>
    <t>Percentage</t>
  </si>
  <si>
    <t>PJM</t>
  </si>
  <si>
    <t>NERA</t>
  </si>
  <si>
    <t>Marginal Loss Deration Factor</t>
  </si>
  <si>
    <t>Marginal Loss Factor</t>
  </si>
  <si>
    <t>LPL-S &gt; 500 kW PLS</t>
  </si>
  <si>
    <t>&lt; 500 kW</t>
  </si>
  <si>
    <t>&gt; 500 kW</t>
  </si>
  <si>
    <t>Generation Peak Load Share</t>
  </si>
  <si>
    <t># of Tranches for Bid</t>
  </si>
  <si>
    <t>Total # of Tranches</t>
  </si>
  <si>
    <t>Table 3</t>
  </si>
  <si>
    <t>Table 4</t>
  </si>
  <si>
    <t>Table 5</t>
  </si>
  <si>
    <t>Table 6</t>
  </si>
  <si>
    <t>Table 10</t>
  </si>
  <si>
    <t>Table 7</t>
  </si>
  <si>
    <t>Table 13</t>
  </si>
  <si>
    <t>Generation Peak Load Share RS</t>
  </si>
  <si>
    <t>Generation Peak Load Share RHS</t>
  </si>
  <si>
    <t>Generation Peak Load Share RLM</t>
  </si>
  <si>
    <t>Generation Peak Load Share WH</t>
  </si>
  <si>
    <t>Generation Peak Load Share WHS</t>
  </si>
  <si>
    <t>Generation Peak Load Share HS</t>
  </si>
  <si>
    <t>Generation Peak Load Share PSAL</t>
  </si>
  <si>
    <t>Generation Peak Load Share BPL</t>
  </si>
  <si>
    <t>Generation Peak Load Share GLP</t>
  </si>
  <si>
    <t>Generation Peak Load Share LPL-S</t>
  </si>
  <si>
    <t>Transmission Cost Used</t>
  </si>
  <si>
    <t>Avg Payment to Suppliers - Summer</t>
  </si>
  <si>
    <t>Avg Payment to Suppliers - Winter</t>
  </si>
  <si>
    <t>Avg Payment to Suppliers - Weighted Avg</t>
  </si>
  <si>
    <t>All Rate Classes Energy $ Totals</t>
  </si>
  <si>
    <t xml:space="preserve"> Summer RS - Block 1 (0-600 kWh/m) </t>
  </si>
  <si>
    <t xml:space="preserve"> Summer RS - Block 2 (&gt;600 kWh/m) </t>
  </si>
  <si>
    <t xml:space="preserve"> Summer RHS - Block 1 (0-600 kWh/m) </t>
  </si>
  <si>
    <t xml:space="preserve"> Summer RHS - Block 2 (&gt;600 kWh/m) </t>
  </si>
  <si>
    <t xml:space="preserve"> Summer - WH</t>
  </si>
  <si>
    <t xml:space="preserve"> Summer - WHS</t>
  </si>
  <si>
    <t xml:space="preserve"> Summer - HS</t>
  </si>
  <si>
    <t xml:space="preserve"> Summer - PSAL</t>
  </si>
  <si>
    <t xml:space="preserve"> Summer - BPL</t>
  </si>
  <si>
    <t xml:space="preserve"> Winter - RS</t>
  </si>
  <si>
    <t xml:space="preserve"> Winter - RHS</t>
  </si>
  <si>
    <t xml:space="preserve"> Winter - WH</t>
  </si>
  <si>
    <t xml:space="preserve"> Winter - WHS</t>
  </si>
  <si>
    <t xml:space="preserve"> Winter - HS</t>
  </si>
  <si>
    <t xml:space="preserve"> Winter - PSAL</t>
  </si>
  <si>
    <t xml:space="preserve"> Winter - BPL</t>
  </si>
  <si>
    <t xml:space="preserve"> Winter - RLM Off-Peak</t>
  </si>
  <si>
    <t xml:space="preserve"> Winter - RLM On-Peak</t>
  </si>
  <si>
    <t>Demand - GLP  Summer - all hrs</t>
  </si>
  <si>
    <t>Demand - LPL-S Summer - On pk</t>
  </si>
  <si>
    <t>Demand - LPL-S Summer - Off pk</t>
  </si>
  <si>
    <t>Demand - GLP  Winter - all hrs</t>
  </si>
  <si>
    <t>Demand - LPL-S Winter - On pk</t>
  </si>
  <si>
    <t>Demand - LPL-S Winter - Off pk</t>
  </si>
  <si>
    <t>Total Revenue</t>
  </si>
  <si>
    <t>Total - in $/MWh</t>
  </si>
  <si>
    <t>Class Usage @ customer - MWh's  - RS</t>
  </si>
  <si>
    <t>Class Usage @ customer - MWh's  - RHS</t>
  </si>
  <si>
    <t>Class Usage @ customer - MWh's  - RLM</t>
  </si>
  <si>
    <t>Class Usage @ customer - MWh's  - WH</t>
  </si>
  <si>
    <t>Class Usage @ customer - MWh's  - WHS</t>
  </si>
  <si>
    <t>Class Usage @ customer - MWh's  - HS</t>
  </si>
  <si>
    <t>Class Usage @ customer - MWh's  - PSAL</t>
  </si>
  <si>
    <t>Class Usage @ customer - MWh's  - BPL</t>
  </si>
  <si>
    <t>Class Usage @ customer - MWh's  - GLP</t>
  </si>
  <si>
    <t>Class Usage @ customer - MWh's  - LPL-S</t>
  </si>
  <si>
    <t>$000's</t>
  </si>
  <si>
    <t>$/MWh</t>
  </si>
  <si>
    <t>All in Avg Cost @ Trans Node</t>
  </si>
  <si>
    <t xml:space="preserve"> Summer - RLM On-Peak</t>
  </si>
  <si>
    <t xml:space="preserve"> Summer - RLM Off-Peak</t>
  </si>
  <si>
    <t>Demand - Capacity GLP &amp; LPL-S</t>
  </si>
  <si>
    <t>Demand - Trans GLP &amp; LPL-S</t>
  </si>
  <si>
    <t>$/Kw mth</t>
  </si>
  <si>
    <t>Est Markup %</t>
  </si>
  <si>
    <t>Calc</t>
  </si>
  <si>
    <t>Table</t>
  </si>
  <si>
    <t>Unit of Measure</t>
  </si>
  <si>
    <t>Description</t>
  </si>
  <si>
    <t>Base
Capacity</t>
  </si>
  <si>
    <t>Total Capacity</t>
  </si>
  <si>
    <t>$/MW-yr</t>
  </si>
  <si>
    <t>Typical GLP</t>
  </si>
  <si>
    <t>Typical LPL-S</t>
  </si>
  <si>
    <t>Ratio</t>
  </si>
  <si>
    <t>On-Peak Shoulder: Zone to Western Hub Basis Differential</t>
  </si>
  <si>
    <t>Off-Peak Shoulder: Zone to Western Hub Basis Differential</t>
  </si>
  <si>
    <t>On-Peak Summer: Zone to Western Hub Basis Differential</t>
  </si>
  <si>
    <t>Off-Peak Summer: Zone to Western Hub Basis Differential</t>
  </si>
  <si>
    <t>Annual LMP On-Peak</t>
  </si>
  <si>
    <t>Annual LMP Off-Peak</t>
  </si>
  <si>
    <t>Average BGS Energy Only Unit Costs @ customer - PJM Time Periods</t>
  </si>
  <si>
    <t>Typical RS Increase</t>
  </si>
  <si>
    <t>¢/kwh</t>
  </si>
  <si>
    <t xml:space="preserve">Generation Capacity cost - Annual </t>
  </si>
  <si>
    <t xml:space="preserve">Summer Revenue Recovery $'s (Over) </t>
  </si>
  <si>
    <t xml:space="preserve">Winter Revenue Recovery $'s (Over) </t>
  </si>
  <si>
    <t>Summer Revenue Recovery Ratio</t>
  </si>
  <si>
    <t>Winter Revenue Recovery Ratio</t>
  </si>
  <si>
    <t>BGS - CIEP BRA Clearing Price ($ per MW/Day)</t>
  </si>
  <si>
    <t>Annual Obligation Clearing Price</t>
  </si>
  <si>
    <t>Bill Impacts</t>
  </si>
  <si>
    <t>Scenario Name</t>
  </si>
  <si>
    <t>Variance</t>
  </si>
  <si>
    <t>Enter column indexes for comparison here --&gt;</t>
  </si>
  <si>
    <t>Report year</t>
  </si>
  <si>
    <t>auction results and rates</t>
  </si>
  <si>
    <t>Scenario Descr</t>
  </si>
  <si>
    <t>Average Rate - RS</t>
  </si>
  <si>
    <t>Average Rate - RHS</t>
  </si>
  <si>
    <t>Average Rate - RLM</t>
  </si>
  <si>
    <t>Average Rate - WH</t>
  </si>
  <si>
    <t>Average Rate - WHS</t>
  </si>
  <si>
    <t>Average Rate - HS</t>
  </si>
  <si>
    <t>Average Rate - PSAL</t>
  </si>
  <si>
    <t>Average Rate - BPL</t>
  </si>
  <si>
    <t>Average Rate - GLP</t>
  </si>
  <si>
    <t>Average Rate - LPL-S</t>
  </si>
  <si>
    <t>Scenario Description</t>
  </si>
  <si>
    <t>values from most recent auction</t>
  </si>
  <si>
    <t>Incremental Change-RS Increase</t>
  </si>
  <si>
    <t>Incremental Change-GLP Increase</t>
  </si>
  <si>
    <t>Incremental Change-LPL-S Increase</t>
  </si>
  <si>
    <t>Data Type</t>
  </si>
  <si>
    <t>I</t>
  </si>
  <si>
    <t>O</t>
  </si>
  <si>
    <t xml:space="preserve">Congestion Factors &amp; On/Off Peak Ratios </t>
  </si>
  <si>
    <t>Cell</t>
  </si>
  <si>
    <t>E158</t>
  </si>
  <si>
    <t>Original Formula</t>
  </si>
  <si>
    <t>New Formula</t>
  </si>
  <si>
    <t>Input!E115</t>
  </si>
  <si>
    <t>SUM(auction_results_and_rates!C13:D13)/SUM(auction_results_and_rates!C13:E13)*Input!E115</t>
  </si>
  <si>
    <t>Description of Change</t>
  </si>
  <si>
    <t>Price is now traunch weighted to reflect application to two of three years</t>
  </si>
  <si>
    <t>Date</t>
  </si>
  <si>
    <t>Total Tranches</t>
  </si>
  <si>
    <t>M5:Q17</t>
  </si>
  <si>
    <t>Additional Detail</t>
  </si>
  <si>
    <t>Calculation of $/MWh cost for Incremental Capacity Cost</t>
  </si>
  <si>
    <t>Detail for incremental Capacity cost added</t>
  </si>
  <si>
    <t>C24:G25</t>
  </si>
  <si>
    <t>C$10*C$13/C$14*C16*C20/1000</t>
  </si>
  <si>
    <t>C$8*C$13/C$14*C16*C20/1000+C$9*C$13/C$14*C20/1000</t>
  </si>
  <si>
    <t>Adjusted to capture lack of seasonal;ity factor in Inc cost</t>
  </si>
  <si>
    <t>Tab</t>
  </si>
  <si>
    <t>auction_results_and_rates</t>
  </si>
  <si>
    <t>bid_factors</t>
  </si>
  <si>
    <t>Q160</t>
  </si>
  <si>
    <t>=(D158*E152+F159*E153)/1000</t>
  </si>
  <si>
    <t>=(F158*E152+F159*E153)/1000</t>
  </si>
  <si>
    <t>Revised to address incremental RPM costs</t>
  </si>
  <si>
    <t>Bid Factors</t>
  </si>
  <si>
    <t>I211:J213</t>
  </si>
  <si>
    <t>Various</t>
  </si>
  <si>
    <t>Revised formulas to include incremental PRM cost</t>
  </si>
  <si>
    <t>E8</t>
  </si>
  <si>
    <t>Input!E134</t>
  </si>
  <si>
    <t>Revised new winning bid to reflect a markup consistent with last winning bid</t>
  </si>
  <si>
    <t>?</t>
  </si>
  <si>
    <t>NITS DIFFJan-Dec15</t>
  </si>
  <si>
    <t>NEW</t>
  </si>
  <si>
    <t>New Tab added to enable dynamic transmission costing</t>
  </si>
  <si>
    <t>BGS RSCP w Auction results</t>
  </si>
  <si>
    <t>L42:M53</t>
  </si>
  <si>
    <t>Added M42:M53</t>
  </si>
  <si>
    <t>=SUM(I42:L42)</t>
  </si>
  <si>
    <t>N42:N53</t>
  </si>
  <si>
    <t>E156:E17</t>
  </si>
  <si>
    <t>bid_factors!L315</t>
  </si>
  <si>
    <t>=IF(LEFT(Input!$B$2,6)="rebase",Input!E138,bid_factors!L315)</t>
  </si>
  <si>
    <t>Account for Rebase variables vs Model Calc Variables</t>
  </si>
  <si>
    <t>IF(LEFT(Input!B2,6)="Rebase",Input!E134,(bid_factors!D234*(1+Overview!$G$87)*SUM(C20:C21)/1000-SUM(C26:D26))/(E$13/E$14/1000*(E16*$C20+E17*$C21)))</t>
  </si>
  <si>
    <t>=SUM(I42:K42)+IF(Input!$B$108="Updated",'BGS RSCP w Auction results'!M42,'BGS RSCP w Auction results'!L42)</t>
  </si>
  <si>
    <t>Input</t>
  </si>
  <si>
    <t>E136</t>
  </si>
  <si>
    <t>Yes or No</t>
  </si>
  <si>
    <t>Added If statement</t>
  </si>
  <si>
    <t>Added to maintain option for markup to be varied or not</t>
  </si>
  <si>
    <t>Notes to next year</t>
  </si>
  <si>
    <t>make sure rounding is consistient on input when updates are made.</t>
  </si>
  <si>
    <t>Add marginal loss factor to oversheet</t>
  </si>
  <si>
    <t>Ancillary Services &amp; Renewable Power Cost</t>
  </si>
  <si>
    <t xml:space="preserve">Ancillary Services </t>
  </si>
  <si>
    <t>Renewable Power Cost</t>
  </si>
  <si>
    <t>Total AncillaryServices &amp; Renewable Power Costs</t>
  </si>
  <si>
    <t>Basis</t>
  </si>
  <si>
    <t>remaining portion of 36 month bid - 2016 auction</t>
  </si>
  <si>
    <t>Ancillary Services &amp; RPS =</t>
  </si>
  <si>
    <t>NJ SUT (Sales &amp; Use Tax) =</t>
  </si>
  <si>
    <t>SUT excluded from all rates</t>
  </si>
  <si>
    <t>NJ Sales &amp; Use Tax (SUT) excluded</t>
  </si>
  <si>
    <t>Use Estimated amount in cell e136</t>
  </si>
  <si>
    <t>remaining portion of 36 month bid - 2017 auction</t>
  </si>
  <si>
    <t>REMOVED CP - Incremental RP Cost</t>
  </si>
  <si>
    <t>Tariff (Result of 2018 Rate Case Loss Study)</t>
  </si>
  <si>
    <t>Tariff (Result of 2018 Loss Study)</t>
  </si>
  <si>
    <t>(based on W/N actuals used in settlement and final rate design of 2018 Rate Case, rounded to .1%)</t>
  </si>
  <si>
    <t>(same as 2003/2004 BGS blocking inversion)(generally not updated)</t>
  </si>
  <si>
    <t>remaining portion of 36 month bid - 2019 auction</t>
  </si>
  <si>
    <t>remaining portion of 36 month bid - 2018 auction</t>
  </si>
  <si>
    <t>Base Capacity</t>
  </si>
  <si>
    <t>remaining portion of 36 month bid - 2020 auction</t>
  </si>
  <si>
    <t>Blocking Percentages based on Annualized W/N Usage Used in 2018 Electric Rate Case Settlement</t>
  </si>
  <si>
    <t>1A</t>
  </si>
  <si>
    <t>Capacity Proxy Price True-Up - in $/MWh</t>
  </si>
  <si>
    <t>1B</t>
  </si>
  <si>
    <t>1C</t>
  </si>
  <si>
    <t>= line 1 + line 1A - line 1B</t>
  </si>
  <si>
    <t>Eligible Tranches</t>
  </si>
  <si>
    <t>includes energy, Generation obligations, Ancillary Services and Renewable Power Costs- adjusted to billing time periods</t>
  </si>
  <si>
    <t>Including Generation Obligation $</t>
  </si>
  <si>
    <t>Annual - including Gen Obl $</t>
  </si>
  <si>
    <t>Development of  Capacity Proxy Price True-Up - $/MWh</t>
  </si>
  <si>
    <t>Capacity Proxy Price ($/MW-day)</t>
  </si>
  <si>
    <t>Capacity Proxy Price True-Up - $/MW-day</t>
  </si>
  <si>
    <t xml:space="preserve">= line 1 - line 2 </t>
  </si>
  <si>
    <t>BGS-RSCP Gen Obl - MW</t>
  </si>
  <si>
    <t>Days in Year</t>
  </si>
  <si>
    <t xml:space="preserve">Capacity Proxy Price True-Up Annual Cost </t>
  </si>
  <si>
    <t>= line 3 * line 4 * line 5</t>
  </si>
  <si>
    <t>from Table A</t>
  </si>
  <si>
    <t>% of tranches eligible for payment</t>
  </si>
  <si>
    <t>= line 7 / line 8</t>
  </si>
  <si>
    <t xml:space="preserve">Capacity Proxy Price True-Up Cost </t>
  </si>
  <si>
    <t>= line 6 * line 9</t>
  </si>
  <si>
    <t>Total Applicable Customer Usage @ bulk system - in MWh</t>
  </si>
  <si>
    <r>
      <t xml:space="preserve">Eligible Customer Usage @ bulk system </t>
    </r>
    <r>
      <rPr>
        <b/>
        <i/>
        <sz val="10"/>
        <rFont val="Arial"/>
        <family val="2"/>
      </rPr>
      <t>- in MWh</t>
    </r>
  </si>
  <si>
    <t>= line 9 * line 11</t>
  </si>
  <si>
    <t>Capacity Proxy Price True-Up - $/MWh</t>
  </si>
  <si>
    <t>= line 10/ line 12 - rounded to 2 decimal places</t>
  </si>
  <si>
    <t>Table A With Additional Line Item</t>
  </si>
  <si>
    <t>Specific BGS-RSCP Auction &gt;&gt;</t>
  </si>
  <si>
    <t>remaining portion of 36 month bid - 2021 auction</t>
  </si>
  <si>
    <t>winning Bids</t>
  </si>
  <si>
    <t>from then current Bid Factor Spreadsheet</t>
  </si>
  <si>
    <t>Applicable Customer Usage @ bulk system - in MWh</t>
  </si>
  <si>
    <t>from current Bid Factor Spreadsheet</t>
  </si>
  <si>
    <t>= sum(line 8) / (6) - rounded to 2 decimal places</t>
  </si>
  <si>
    <t>= sum(line 9) / (7) - rounded to 2 decimal places</t>
  </si>
  <si>
    <t xml:space="preserve">   rounded to 2 decimal places</t>
  </si>
  <si>
    <t>remaining portion of 36 month bid - 2022 auction</t>
  </si>
  <si>
    <t>Illustrative Purposes Only for PSE&amp;G</t>
  </si>
  <si>
    <t>Capacity Proxy True Up</t>
  </si>
  <si>
    <t>as may be determined by the RPM or its successor or otherwise</t>
  </si>
  <si>
    <t>Zonal Capacity Price ($/MW-day)</t>
  </si>
  <si>
    <t>Winning Bids</t>
  </si>
  <si>
    <t>Yes</t>
  </si>
  <si>
    <t xml:space="preserve">= ((1C * (2)/(3) * (4) * (6)) /1000 </t>
  </si>
  <si>
    <t>= ((1C * (2)/(3) * (5) * (7)) /1000</t>
  </si>
  <si>
    <t>Development of Capacity Proxy Price True-Up - $/MWh</t>
  </si>
  <si>
    <t>2025/2026 Delivery Year - Illustrative Data</t>
  </si>
  <si>
    <t>Capacity Proxy Price True-Up Development for Winning Suppliers from 2023 BGS-RSCP Auction</t>
  </si>
  <si>
    <t>2025/26
Delivery Year</t>
  </si>
  <si>
    <t>Calculation of June 2024 to May 2025 BGS-RSCP Rates</t>
  </si>
  <si>
    <t>remaining portion of 36 month bid - 2023 auction</t>
  </si>
  <si>
    <t>36 month bid - 2024 auction</t>
  </si>
  <si>
    <t>24/25 Capacity Proxy Price True-up - in $/MWh</t>
  </si>
  <si>
    <t>entered after 2024 BGS Auction</t>
  </si>
  <si>
    <t>= line 1 + line 1A</t>
  </si>
  <si>
    <t>= (1B * (2)/(3) * (4) * (6)) / 1000</t>
  </si>
  <si>
    <t>= (1B * (2)/(3) * (5) * (7)) / 1000</t>
  </si>
  <si>
    <t>this tab is still needed to show illustrative 2025/2026 Table A.</t>
  </si>
  <si>
    <t>Calculation of June 2025 to May 2026 BGS-RSCP Rates</t>
  </si>
  <si>
    <t>Illustrative Purposes Only</t>
  </si>
  <si>
    <t>remaining portion of 36 month bid - 2024 auction</t>
  </si>
  <si>
    <t>36 month bid - 2025 auction</t>
  </si>
  <si>
    <t>25/26 Capacity Proxy Price True-up - in $/MWh</t>
  </si>
  <si>
    <t>entered after 2025 BGS Auction</t>
  </si>
  <si>
    <t>NOTES:  Leap year (366 days )  was added for year 2023-2024 - this addition/ change occurs in tab</t>
  </si>
  <si>
    <t>as per screen shot here:</t>
  </si>
  <si>
    <t xml:space="preserve">In bid factors tab (attachment 3) on rows 152 &amp; 153 (approx).  </t>
  </si>
  <si>
    <t xml:space="preserve">Therefore we will not have another leap year until 27/28 bgs auction year </t>
  </si>
  <si>
    <t>2026/2027 Delivery Year - Illustrative Data</t>
  </si>
  <si>
    <t>2026/27
Delivery Year</t>
  </si>
  <si>
    <t>Calculation of June 2026 to May 2027 BGS-RSCP Rates</t>
  </si>
  <si>
    <t>remaining portion of 36 month bid - 2025 auction</t>
  </si>
  <si>
    <t>36 month bid - 2026 auction</t>
  </si>
  <si>
    <t>entered after 2026 BGS Auction</t>
  </si>
  <si>
    <t>26/27 Capacity Proxy Price True-up - in $/MWh</t>
  </si>
  <si>
    <t xml:space="preserve">calc is :     = 1 - </t>
  </si>
  <si>
    <t>divided by:</t>
  </si>
  <si>
    <t>(1 - EHV losses (.456%)</t>
  </si>
  <si>
    <t>(1 - marginal loss (1.3154%)</t>
  </si>
  <si>
    <t xml:space="preserve">Therefore:  1 - </t>
  </si>
  <si>
    <t>1-0.013154</t>
  </si>
  <si>
    <t>1-0.00456</t>
  </si>
  <si>
    <t>NERA - Updated per June 2024</t>
  </si>
  <si>
    <t>PJM - No update for 2024</t>
  </si>
  <si>
    <r>
      <t xml:space="preserve">Obligations - Peak Load shares eff 6/1/24, </t>
    </r>
    <r>
      <rPr>
        <i/>
        <sz val="10"/>
        <color rgb="FF143AF8"/>
        <rFont val="Arial"/>
        <family val="2"/>
      </rPr>
      <t>scaling factors eff 6/1/24</t>
    </r>
    <r>
      <rPr>
        <i/>
        <sz val="10"/>
        <color rgb="FF161BF6"/>
        <rFont val="Arial"/>
        <family val="2"/>
      </rPr>
      <t>, Transmission Loads eff 1/1/24; costs are market estimates</t>
    </r>
  </si>
  <si>
    <t>Illustrative Only</t>
  </si>
  <si>
    <t>NYMEX Forwards (June 3, 2024) from NERA</t>
  </si>
  <si>
    <t xml:space="preserve">  Summer Averages for June 2021 - Sept 2023</t>
  </si>
  <si>
    <t xml:space="preserve">  Winter Averages for Mar 2021 - Feb 2024</t>
  </si>
  <si>
    <t>2025 auction</t>
  </si>
  <si>
    <r>
      <t xml:space="preserve">per Board Orders dated 11/09/2022 and 11/17/2023 </t>
    </r>
    <r>
      <rPr>
        <sz val="10"/>
        <color rgb="FFFF0000"/>
        <rFont val="Arial"/>
        <family val="2"/>
      </rPr>
      <t>and XX/XX/2024</t>
    </r>
  </si>
  <si>
    <r>
      <t xml:space="preserve">Capacity Proxy Price True-Up Development for Winning Suppliers from 2025 BGS-RSCP Auction 
</t>
    </r>
    <r>
      <rPr>
        <sz val="10"/>
        <color rgb="FFFF0000"/>
        <rFont val="Arial"/>
        <family val="2"/>
      </rPr>
      <t>(if needed)</t>
    </r>
  </si>
  <si>
    <t>Capacity Proxy Price True-Up Development for Winning Suppliers from 2024 BGS-RSCP Auction</t>
  </si>
  <si>
    <r>
      <t xml:space="preserve">per Board Orders dated 11/17/2023 and </t>
    </r>
    <r>
      <rPr>
        <sz val="10"/>
        <color rgb="FFFF0000"/>
        <rFont val="Arial"/>
        <family val="2"/>
      </rPr>
      <t>XX/XX/2024</t>
    </r>
  </si>
  <si>
    <t>Capacity Proxy Price True-Up Development for Winning Suppliers from 2025 BGS-RSCP Auction 
(if needed)</t>
  </si>
  <si>
    <t>2027/2028 Delivery Year - Illustrative Data</t>
  </si>
  <si>
    <t>2027/28
Delivery Year</t>
  </si>
  <si>
    <r>
      <t xml:space="preserve">per Board Order dated </t>
    </r>
    <r>
      <rPr>
        <sz val="10"/>
        <color rgb="FFFF0000"/>
        <rFont val="Arial"/>
        <family val="2"/>
      </rPr>
      <t>XX/XX/2024</t>
    </r>
  </si>
  <si>
    <t>Calculation of June 2027 to May 2028 BGS-RSCP Rates</t>
  </si>
  <si>
    <t>remaining portion of 36 month bid - 2026 auction</t>
  </si>
  <si>
    <t>36 month bid - 2027 auction</t>
  </si>
  <si>
    <r>
      <rPr>
        <b/>
        <sz val="10"/>
        <color rgb="FFFF0000"/>
        <rFont val="Arial"/>
        <family val="2"/>
      </rPr>
      <t>27/28</t>
    </r>
    <r>
      <rPr>
        <b/>
        <sz val="10"/>
        <rFont val="Arial"/>
        <family val="2"/>
      </rPr>
      <t xml:space="preserve"> Capacity Proxy Price True-up - in $/MWh</t>
    </r>
  </si>
  <si>
    <t>entered after 2027 BGS Auction</t>
  </si>
  <si>
    <t>Development of Capacity Proxy Price True-Up - $/MW-day</t>
  </si>
  <si>
    <r>
      <t>per Board Order dated</t>
    </r>
    <r>
      <rPr>
        <sz val="10"/>
        <color rgb="FFFF0000"/>
        <rFont val="Arial"/>
        <family val="2"/>
      </rPr>
      <t xml:space="preserve"> XX/XX/2024</t>
    </r>
  </si>
  <si>
    <t>Winning Bid - in $/MW-day</t>
  </si>
  <si>
    <t>Payment to Suppliers - in $/MW-day</t>
  </si>
  <si>
    <t>= line 3 + line 4</t>
  </si>
  <si>
    <t>2025 Illustrative Only</t>
  </si>
  <si>
    <t>entered after 2025 auction</t>
  </si>
  <si>
    <t>Capacity Proxy Price True-Up Development for Winning Suppliers from 2025 BGS-CIEP Auction
(if needed)</t>
  </si>
  <si>
    <t>Illustrative winning bid in 2025 BGS - CIEP Auction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</si>
</sst>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7">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0.00000"/>
    <numFmt numFmtId="166" formatCode="0.0000"/>
    <numFmt numFmtId="167" formatCode="0.0000%"/>
    <numFmt numFmtId="168" formatCode="#,##0.0"/>
    <numFmt numFmtId="169" formatCode="_(&quot;$&quot;* #,##0_);_(&quot;$&quot;* \(#,##0\);_(&quot;$&quot;* &quot;-&quot;??_);_(@_)"/>
    <numFmt numFmtId="170" formatCode="0.000000"/>
    <numFmt numFmtId="171" formatCode="_(&quot;$&quot;* #,##0.000_);_(&quot;$&quot;* \(#,##0.000\);_(&quot;$&quot;* &quot;-&quot;??_);_(@_)"/>
    <numFmt numFmtId="172" formatCode="_(&quot;$&quot;* #,##0.0000_);_(&quot;$&quot;* \(#,##0.0000\);_(&quot;$&quot;* &quot;-&quot;??_);_(@_)"/>
    <numFmt numFmtId="173" formatCode="0.0%"/>
    <numFmt numFmtId="174" formatCode="_(* #,##0_);_(* \(#,##0\);_(* &quot;-&quot;??_);_(@_)"/>
    <numFmt numFmtId="175" formatCode="_(* #,##0.000_);_(* \(#,##0.000\);_(* &quot;-&quot;??_);_(@_)"/>
    <numFmt numFmtId="176" formatCode="_(* #,##0.0000_);_(* \(#,##0.0000\);_(* &quot;-&quot;??_);_(@_)"/>
    <numFmt numFmtId="177" formatCode="#,##0.000"/>
    <numFmt numFmtId="178" formatCode="&quot;$&quot;#,##0.00"/>
    <numFmt numFmtId="179" formatCode="&quot;$&quot;#,##0\ ;\(&quot;$&quot;#,##0\)"/>
    <numFmt numFmtId="180" formatCode="&quot;$&quot;#,##0.0000"/>
    <numFmt numFmtId="181" formatCode="0.00000%"/>
    <numFmt numFmtId="182" formatCode="&quot;$&quot;#,##0"/>
    <numFmt numFmtId="183" formatCode="0.00000000"/>
    <numFmt numFmtId="184" formatCode="_(* #,##0.0_);_(* \(#,##0.0\);_(* &quot;-&quot;??_);_(@_)"/>
    <numFmt numFmtId="185" formatCode="0.000%"/>
    <numFmt numFmtId="186" formatCode="#,##0.0_);[Red]\(#,##0.0\)"/>
  </numFmts>
  <fonts count="8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sz val="10"/>
      <color indexed="12"/>
      <name val="Arial"/>
      <family val="2"/>
    </font>
    <font>
      <i/>
      <sz val="10"/>
      <name val="Arial"/>
      <family val="2"/>
    </font>
    <font>
      <b/>
      <sz val="12"/>
      <name val="Arial"/>
      <family val="2"/>
    </font>
    <font>
      <i/>
      <u/>
      <sz val="10"/>
      <name val="Arial"/>
      <family val="2"/>
    </font>
    <font>
      <b/>
      <i/>
      <sz val="10"/>
      <name val="Arial"/>
      <family val="2"/>
    </font>
    <font>
      <u/>
      <sz val="10"/>
      <name val="Arial"/>
      <family val="2"/>
    </font>
    <font>
      <b/>
      <sz val="10"/>
      <color indexed="54"/>
      <name val="Arial"/>
      <family val="2"/>
    </font>
    <font>
      <u/>
      <sz val="10"/>
      <color indexed="12"/>
      <name val="Arial"/>
      <family val="2"/>
    </font>
    <font>
      <u val="singleAccounting"/>
      <sz val="10"/>
      <name val="Arial"/>
      <family val="2"/>
    </font>
    <font>
      <sz val="8"/>
      <name val="Arial"/>
      <family val="2"/>
    </font>
    <font>
      <sz val="10"/>
      <color indexed="12"/>
      <name val="Arial"/>
      <family val="2"/>
    </font>
    <font>
      <sz val="10"/>
      <color indexed="22"/>
      <name val="Arial"/>
      <family val="2"/>
    </font>
    <font>
      <sz val="10"/>
      <color indexed="10"/>
      <name val="Arial"/>
      <family val="2"/>
    </font>
    <font>
      <b/>
      <sz val="18"/>
      <color indexed="22"/>
      <name val="Arial"/>
      <family val="2"/>
    </font>
    <font>
      <b/>
      <sz val="12"/>
      <color indexed="22"/>
      <name val="Arial"/>
      <family val="2"/>
    </font>
    <font>
      <b/>
      <u/>
      <sz val="10"/>
      <name val="Arial"/>
      <family val="2"/>
    </font>
    <font>
      <sz val="10"/>
      <name val="Arial"/>
      <family val="2"/>
    </font>
    <font>
      <b/>
      <sz val="18"/>
      <color indexed="56"/>
      <name val="Cambria"/>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0"/>
      <color indexed="8"/>
      <name val="Arial"/>
      <family val="2"/>
    </font>
    <font>
      <sz val="10"/>
      <name val="Arial"/>
      <family val="2"/>
    </font>
    <font>
      <sz val="10"/>
      <name val="Arial"/>
      <family val="2"/>
    </font>
    <font>
      <sz val="11"/>
      <color theme="1"/>
      <name val="Calibri"/>
      <family val="2"/>
      <scheme val="minor"/>
    </font>
    <font>
      <sz val="10"/>
      <name val="Arial"/>
      <family val="2"/>
    </font>
    <font>
      <sz val="10"/>
      <color theme="1"/>
      <name val="Arial"/>
      <family val="2"/>
    </font>
    <font>
      <b/>
      <sz val="10"/>
      <color indexed="12"/>
      <name val="Arial"/>
      <family val="2"/>
    </font>
    <font>
      <sz val="12"/>
      <name val="Arial"/>
      <family val="2"/>
    </font>
    <font>
      <b/>
      <sz val="12"/>
      <color rgb="FFFF0000"/>
      <name val="Arial"/>
      <family val="2"/>
    </font>
    <font>
      <u/>
      <sz val="12"/>
      <color indexed="12"/>
      <name val="Arial"/>
      <family val="2"/>
    </font>
    <font>
      <b/>
      <sz val="9"/>
      <name val="Arial"/>
      <family val="2"/>
    </font>
    <font>
      <b/>
      <sz val="12"/>
      <color indexed="8"/>
      <name val="Arial"/>
      <family val="2"/>
    </font>
    <font>
      <b/>
      <sz val="10"/>
      <color rgb="FFFF0000"/>
      <name val="Arial"/>
      <family val="2"/>
    </font>
    <font>
      <sz val="10"/>
      <color rgb="FF0000FF"/>
      <name val="Arial Black"/>
      <family val="2"/>
    </font>
    <font>
      <sz val="10"/>
      <name val="Times New Roman"/>
      <family val="1"/>
    </font>
    <font>
      <sz val="10"/>
      <color indexed="39"/>
      <name val="Arial"/>
      <family val="2"/>
    </font>
    <font>
      <b/>
      <sz val="16"/>
      <color indexed="23"/>
      <name val="Arial"/>
      <family val="2"/>
    </font>
    <font>
      <i/>
      <sz val="10"/>
      <color rgb="FF161BF6"/>
      <name val="Arial"/>
      <family val="2"/>
    </font>
    <font>
      <b/>
      <sz val="16"/>
      <name val="Arial"/>
      <family val="2"/>
    </font>
    <font>
      <b/>
      <i/>
      <sz val="10"/>
      <color rgb="FFFF0000"/>
      <name val="Arial"/>
      <family val="2"/>
    </font>
    <font>
      <sz val="10"/>
      <color rgb="FFFF0000"/>
      <name val="Arial"/>
      <family val="2"/>
    </font>
    <font>
      <b/>
      <sz val="10"/>
      <color rgb="FF143AF8"/>
      <name val="Arial"/>
      <family val="2"/>
    </font>
    <font>
      <sz val="10"/>
      <color theme="0"/>
      <name val="Arial"/>
      <family val="2"/>
    </font>
    <font>
      <i/>
      <sz val="10"/>
      <color rgb="FF143AF8"/>
      <name val="Arial"/>
      <family val="2"/>
    </font>
    <font>
      <i/>
      <sz val="10"/>
      <color theme="0"/>
      <name val="Arial"/>
      <family val="2"/>
    </font>
    <font>
      <b/>
      <sz val="10"/>
      <color theme="0"/>
      <name val="Arial"/>
      <family val="2"/>
    </font>
    <font>
      <sz val="10"/>
      <color rgb="FF0070C0"/>
      <name val="Arial"/>
      <family val="2"/>
    </font>
    <font>
      <b/>
      <sz val="10"/>
      <color rgb="FF0070C0"/>
      <name val="Arial"/>
      <family val="2"/>
    </font>
    <font>
      <sz val="10"/>
      <color theme="3"/>
      <name val="Arial"/>
      <family val="2"/>
    </font>
    <font>
      <b/>
      <sz val="10"/>
      <color theme="3"/>
      <name val="Arial"/>
      <family val="2"/>
    </font>
    <font>
      <b/>
      <i/>
      <sz val="8"/>
      <name val="Arial"/>
      <family val="2"/>
    </font>
    <font>
      <sz val="10"/>
      <color theme="0" tint="-0.499984740745262"/>
      <name val="Arial"/>
      <family val="2"/>
    </font>
    <font>
      <i/>
      <sz val="9"/>
      <name val="Arial"/>
      <family val="2"/>
    </font>
    <font>
      <i/>
      <sz val="8"/>
      <name val="Arial"/>
      <family val="2"/>
    </font>
    <font>
      <sz val="8"/>
      <color rgb="FFFF0000"/>
      <name val="Arial"/>
      <family val="2"/>
    </font>
    <font>
      <i/>
      <sz val="10"/>
      <color rgb="FFFF0000"/>
      <name val="Arial"/>
      <family val="2"/>
    </font>
    <font>
      <i/>
      <sz val="8"/>
      <color rgb="FFFF0000"/>
      <name val="Arial"/>
      <family val="2"/>
    </font>
    <font>
      <sz val="11"/>
      <color rgb="FFFF0000"/>
      <name val="Arial"/>
      <family val="2"/>
    </font>
    <font>
      <i/>
      <sz val="9"/>
      <color rgb="FF161BF6"/>
      <name val="Arial"/>
      <family val="2"/>
    </font>
    <font>
      <sz val="10"/>
      <color rgb="FF143AF8"/>
      <name val="Arial"/>
      <family val="2"/>
    </font>
    <font>
      <i/>
      <sz val="9"/>
      <color rgb="FF143AF8"/>
      <name val="Arial"/>
      <family val="2"/>
    </font>
    <font>
      <i/>
      <sz val="9"/>
      <color theme="0" tint="-0.34998626667073579"/>
      <name val="Arial"/>
      <family val="2"/>
    </font>
    <font>
      <i/>
      <sz val="9"/>
      <color indexed="12"/>
      <name val="Arial"/>
      <family val="2"/>
    </font>
    <font>
      <b/>
      <sz val="8"/>
      <name val="Arial"/>
      <family val="2"/>
    </font>
    <font>
      <sz val="8"/>
      <color theme="0"/>
      <name val="Arial"/>
      <family val="2"/>
    </font>
    <font>
      <b/>
      <sz val="8"/>
      <color rgb="FF143AF8"/>
      <name val="Arial"/>
      <family val="2"/>
    </font>
    <font>
      <sz val="8"/>
      <color theme="3"/>
      <name val="Arial"/>
      <family val="2"/>
    </font>
    <font>
      <sz val="8"/>
      <color indexed="12"/>
      <name val="Arial"/>
      <family val="2"/>
    </font>
    <font>
      <sz val="8"/>
      <color theme="1"/>
      <name val="Arial"/>
      <family val="2"/>
    </font>
  </fonts>
  <fills count="5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theme="6" tint="0.79998168889431442"/>
        <bgColor indexed="64"/>
      </patternFill>
    </fill>
    <fill>
      <patternFill patternType="solid">
        <fgColor indexed="22"/>
        <bgColor indexed="64"/>
      </patternFill>
    </fill>
    <fill>
      <patternFill patternType="solid">
        <fgColor rgb="FFFFC000"/>
        <bgColor indexed="64"/>
      </patternFill>
    </fill>
    <fill>
      <patternFill patternType="solid">
        <fgColor theme="0" tint="-0.34998626667073579"/>
        <bgColor indexed="64"/>
      </patternFill>
    </fill>
    <fill>
      <patternFill patternType="solid">
        <fgColor indexed="23"/>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55"/>
        <bgColor indexed="64"/>
      </patternFill>
    </fill>
    <fill>
      <patternFill patternType="solid">
        <fgColor indexed="26"/>
        <bgColor indexed="64"/>
      </patternFill>
    </fill>
    <fill>
      <patternFill patternType="solid">
        <fgColor rgb="FF92D050"/>
        <bgColor indexed="64"/>
      </patternFill>
    </fill>
    <fill>
      <patternFill patternType="solid">
        <fgColor theme="1" tint="0.249977111117893"/>
        <bgColor indexed="64"/>
      </patternFill>
    </fill>
    <fill>
      <patternFill patternType="solid">
        <fgColor rgb="FFF5FEC2"/>
        <bgColor indexed="64"/>
      </patternFill>
    </fill>
    <fill>
      <patternFill patternType="solid">
        <fgColor theme="0" tint="-0.499984740745262"/>
        <bgColor indexed="64"/>
      </patternFill>
    </fill>
    <fill>
      <patternFill patternType="solid">
        <fgColor rgb="FFFFFFCC"/>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thin">
        <color indexed="63"/>
      </left>
      <right style="thin">
        <color indexed="63"/>
      </right>
      <top style="thin">
        <color indexed="64"/>
      </top>
      <bottom style="thin">
        <color indexed="63"/>
      </bottom>
      <diagonal/>
    </border>
    <border>
      <left style="medium">
        <color indexed="64"/>
      </left>
      <right/>
      <top style="medium">
        <color indexed="64"/>
      </top>
      <bottom style="medium">
        <color indexed="64"/>
      </bottom>
      <diagonal/>
    </border>
    <border>
      <left/>
      <right/>
      <top style="thin">
        <color auto="1"/>
      </top>
      <bottom/>
      <diagonal/>
    </border>
  </borders>
  <cellStyleXfs count="164">
    <xf numFmtId="0" fontId="0" fillId="0" borderId="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8" fillId="3" borderId="0" applyNumberFormat="0" applyBorder="0" applyAlignment="0" applyProtection="0"/>
    <xf numFmtId="0" fontId="29" fillId="20" borderId="1" applyNumberFormat="0" applyAlignment="0" applyProtection="0"/>
    <xf numFmtId="0" fontId="30" fillId="21" borderId="2" applyNumberFormat="0" applyAlignment="0" applyProtection="0"/>
    <xf numFmtId="43" fontId="5"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42" fillId="0" borderId="0" applyFont="0" applyFill="0" applyBorder="0" applyAlignment="0" applyProtection="0"/>
    <xf numFmtId="3" fontId="19" fillId="0" borderId="0" applyFont="0" applyFill="0" applyBorder="0" applyAlignment="0" applyProtection="0"/>
    <xf numFmtId="44" fontId="5"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41" fillId="0" borderId="0" applyFont="0" applyFill="0" applyBorder="0" applyAlignment="0" applyProtection="0"/>
    <xf numFmtId="44" fontId="42" fillId="0" borderId="0" applyFont="0" applyFill="0" applyBorder="0" applyAlignment="0" applyProtection="0"/>
    <xf numFmtId="179" fontId="19" fillId="0" borderId="0" applyFont="0" applyFill="0" applyBorder="0" applyAlignment="0" applyProtection="0"/>
    <xf numFmtId="0" fontId="19" fillId="0" borderId="0" applyFont="0" applyFill="0" applyBorder="0" applyAlignment="0" applyProtection="0"/>
    <xf numFmtId="0" fontId="31" fillId="0" borderId="0" applyNumberFormat="0" applyFill="0" applyBorder="0" applyAlignment="0" applyProtection="0"/>
    <xf numFmtId="2" fontId="19" fillId="0" borderId="0" applyFont="0" applyFill="0" applyBorder="0" applyAlignment="0" applyProtection="0"/>
    <xf numFmtId="0" fontId="32" fillId="4" borderId="0" applyNumberFormat="0" applyBorder="0" applyAlignment="0" applyProtection="0"/>
    <xf numFmtId="0" fontId="21" fillId="0" borderId="0" applyNumberFormat="0" applyFill="0" applyBorder="0" applyAlignment="0" applyProtection="0"/>
    <xf numFmtId="0" fontId="33" fillId="0" borderId="3" applyNumberFormat="0" applyFill="0" applyAlignment="0" applyProtection="0"/>
    <xf numFmtId="0" fontId="22" fillId="0" borderId="0" applyNumberFormat="0" applyFill="0" applyBorder="0" applyAlignment="0" applyProtection="0"/>
    <xf numFmtId="0" fontId="34" fillId="0" borderId="4" applyNumberFormat="0" applyFill="0" applyAlignment="0" applyProtection="0"/>
    <xf numFmtId="0" fontId="35" fillId="0" borderId="5" applyNumberFormat="0" applyFill="0" applyAlignment="0" applyProtection="0"/>
    <xf numFmtId="0" fontId="35" fillId="0" borderId="0" applyNumberFormat="0" applyFill="0" applyBorder="0" applyAlignment="0" applyProtection="0"/>
    <xf numFmtId="0" fontId="15" fillId="0" borderId="0" applyNumberFormat="0" applyFill="0" applyBorder="0" applyAlignment="0" applyProtection="0">
      <alignment vertical="top"/>
      <protection locked="0"/>
    </xf>
    <xf numFmtId="0" fontId="36" fillId="7" borderId="1" applyNumberFormat="0" applyAlignment="0" applyProtection="0"/>
    <xf numFmtId="0" fontId="37" fillId="0" borderId="6" applyNumberFormat="0" applyFill="0" applyAlignment="0" applyProtection="0"/>
    <xf numFmtId="0" fontId="38" fillId="22" borderId="0" applyNumberFormat="0" applyBorder="0" applyAlignment="0" applyProtection="0"/>
    <xf numFmtId="0" fontId="43" fillId="0" borderId="0"/>
    <xf numFmtId="0" fontId="17" fillId="0" borderId="0"/>
    <xf numFmtId="0" fontId="6" fillId="23" borderId="7" applyNumberFormat="0" applyFont="0" applyAlignment="0" applyProtection="0"/>
    <xf numFmtId="0" fontId="39" fillId="20" borderId="8" applyNumberFormat="0" applyAlignment="0" applyProtection="0"/>
    <xf numFmtId="9" fontId="5"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1" fillId="0" borderId="0" applyFont="0" applyFill="0" applyBorder="0" applyAlignment="0" applyProtection="0"/>
    <xf numFmtId="9" fontId="42" fillId="0" borderId="0" applyFont="0" applyFill="0" applyBorder="0" applyAlignment="0" applyProtection="0"/>
    <xf numFmtId="0" fontId="25" fillId="0" borderId="0" applyNumberFormat="0" applyFill="0" applyBorder="0" applyAlignment="0" applyProtection="0"/>
    <xf numFmtId="0" fontId="19" fillId="0" borderId="9" applyNumberFormat="0" applyFont="0" applyFill="0" applyAlignment="0" applyProtection="0"/>
    <xf numFmtId="0" fontId="40" fillId="0" borderId="10" applyNumberFormat="0" applyFill="0" applyAlignment="0" applyProtection="0"/>
    <xf numFmtId="0" fontId="20" fillId="0" borderId="0" applyNumberForma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4"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4" fillId="0" borderId="0"/>
    <xf numFmtId="0" fontId="4" fillId="0" borderId="0"/>
    <xf numFmtId="0" fontId="5" fillId="0" borderId="0"/>
    <xf numFmtId="0" fontId="5" fillId="23" borderId="7" applyNumberFormat="0" applyFont="0" applyAlignment="0" applyProtection="0"/>
    <xf numFmtId="9" fontId="5" fillId="0" borderId="0" applyFont="0" applyFill="0" applyBorder="0" applyAlignment="0" applyProtection="0"/>
    <xf numFmtId="0" fontId="47" fillId="0" borderId="0"/>
    <xf numFmtId="43" fontId="47" fillId="0" borderId="0" applyFont="0" applyFill="0" applyBorder="0" applyAlignment="0" applyProtection="0"/>
    <xf numFmtId="9" fontId="47" fillId="0" borderId="0" applyFont="0" applyFill="0" applyBorder="0" applyAlignment="0" applyProtection="0"/>
    <xf numFmtId="0" fontId="5" fillId="0" borderId="0"/>
    <xf numFmtId="0" fontId="5" fillId="0" borderId="0"/>
    <xf numFmtId="0" fontId="21"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5" fillId="0" borderId="0"/>
    <xf numFmtId="0" fontId="5" fillId="0" borderId="0"/>
    <xf numFmtId="4" fontId="26" fillId="32" borderId="8" applyNumberFormat="0" applyProtection="0">
      <alignment vertical="center"/>
    </xf>
    <xf numFmtId="0" fontId="19" fillId="0" borderId="9" applyNumberFormat="0" applyFont="0" applyFill="0" applyAlignment="0" applyProtection="0"/>
    <xf numFmtId="0" fontId="49" fillId="0" borderId="0" applyNumberFormat="0" applyFill="0" applyBorder="0" applyAlignment="0" applyProtection="0">
      <alignment vertical="top"/>
      <protection locked="0"/>
    </xf>
    <xf numFmtId="0" fontId="47" fillId="0" borderId="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7" fillId="0" borderId="0"/>
    <xf numFmtId="9" fontId="5" fillId="0" borderId="0" applyFont="0" applyFill="0" applyBorder="0" applyAlignment="0" applyProtection="0"/>
    <xf numFmtId="9" fontId="5" fillId="0" borderId="0" applyFont="0" applyFill="0" applyBorder="0" applyAlignment="0" applyProtection="0"/>
    <xf numFmtId="0" fontId="47" fillId="0" borderId="0"/>
    <xf numFmtId="0" fontId="47" fillId="0" borderId="0"/>
    <xf numFmtId="0" fontId="3" fillId="0" borderId="0"/>
    <xf numFmtId="0" fontId="2" fillId="0" borderId="0"/>
    <xf numFmtId="4" fontId="55" fillId="32" borderId="8" applyNumberFormat="0" applyProtection="0">
      <alignment vertical="center"/>
    </xf>
    <xf numFmtId="4" fontId="26" fillId="32" borderId="8" applyNumberFormat="0" applyProtection="0">
      <alignment horizontal="left" vertical="center" indent="1"/>
    </xf>
    <xf numFmtId="4" fontId="26" fillId="32" borderId="8" applyNumberFormat="0" applyProtection="0">
      <alignment horizontal="left" vertical="center" indent="1"/>
    </xf>
    <xf numFmtId="0" fontId="5" fillId="33" borderId="8" applyNumberFormat="0" applyProtection="0">
      <alignment horizontal="left" vertical="center" indent="1"/>
    </xf>
    <xf numFmtId="4" fontId="26" fillId="34" borderId="8" applyNumberFormat="0" applyProtection="0">
      <alignment horizontal="right" vertical="center"/>
    </xf>
    <xf numFmtId="4" fontId="26" fillId="35" borderId="8" applyNumberFormat="0" applyProtection="0">
      <alignment horizontal="right" vertical="center"/>
    </xf>
    <xf numFmtId="4" fontId="26" fillId="36" borderId="8" applyNumberFormat="0" applyProtection="0">
      <alignment horizontal="right" vertical="center"/>
    </xf>
    <xf numFmtId="4" fontId="26" fillId="37" borderId="8" applyNumberFormat="0" applyProtection="0">
      <alignment horizontal="right" vertical="center"/>
    </xf>
    <xf numFmtId="4" fontId="26" fillId="38" borderId="8" applyNumberFormat="0" applyProtection="0">
      <alignment horizontal="right" vertical="center"/>
    </xf>
    <xf numFmtId="4" fontId="26" fillId="39" borderId="8" applyNumberFormat="0" applyProtection="0">
      <alignment horizontal="right" vertical="center"/>
    </xf>
    <xf numFmtId="4" fontId="26" fillId="40" borderId="8" applyNumberFormat="0" applyProtection="0">
      <alignment horizontal="right" vertical="center"/>
    </xf>
    <xf numFmtId="4" fontId="26" fillId="41" borderId="8" applyNumberFormat="0" applyProtection="0">
      <alignment horizontal="right" vertical="center"/>
    </xf>
    <xf numFmtId="4" fontId="26" fillId="42" borderId="8" applyNumberFormat="0" applyProtection="0">
      <alignment horizontal="right" vertical="center"/>
    </xf>
    <xf numFmtId="4" fontId="40" fillId="43" borderId="8" applyNumberFormat="0" applyProtection="0">
      <alignment horizontal="left" vertical="center" indent="1"/>
    </xf>
    <xf numFmtId="4" fontId="26" fillId="44" borderId="36" applyNumberFormat="0" applyProtection="0">
      <alignment horizontal="left" vertical="center" indent="1"/>
    </xf>
    <xf numFmtId="4" fontId="51" fillId="45" borderId="0" applyNumberFormat="0" applyProtection="0">
      <alignment horizontal="left" vertical="center" indent="1"/>
    </xf>
    <xf numFmtId="0" fontId="5" fillId="33" borderId="8" applyNumberFormat="0" applyProtection="0">
      <alignment horizontal="left" vertical="center" indent="1"/>
    </xf>
    <xf numFmtId="4" fontId="26" fillId="44" borderId="8" applyNumberFormat="0" applyProtection="0">
      <alignment horizontal="left" vertical="center" indent="1"/>
    </xf>
    <xf numFmtId="4" fontId="26" fillId="31" borderId="8" applyNumberFormat="0" applyProtection="0">
      <alignment horizontal="left" vertical="center" indent="1"/>
    </xf>
    <xf numFmtId="0" fontId="5" fillId="31" borderId="8" applyNumberFormat="0" applyProtection="0">
      <alignment horizontal="left" vertical="center" indent="1"/>
    </xf>
    <xf numFmtId="0" fontId="5" fillId="31" borderId="8" applyNumberFormat="0" applyProtection="0">
      <alignment horizontal="left" vertical="center" indent="1"/>
    </xf>
    <xf numFmtId="0" fontId="5" fillId="46" borderId="8" applyNumberFormat="0" applyProtection="0">
      <alignment horizontal="left" vertical="center" indent="1"/>
    </xf>
    <xf numFmtId="0" fontId="5" fillId="46" borderId="8" applyNumberFormat="0" applyProtection="0">
      <alignment horizontal="left" vertical="center" indent="1"/>
    </xf>
    <xf numFmtId="0" fontId="5" fillId="28" borderId="8" applyNumberFormat="0" applyProtection="0">
      <alignment horizontal="left" vertical="center" indent="1"/>
    </xf>
    <xf numFmtId="0" fontId="5" fillId="28" borderId="8" applyNumberFormat="0" applyProtection="0">
      <alignment horizontal="left" vertical="center" indent="1"/>
    </xf>
    <xf numFmtId="0" fontId="5" fillId="33" borderId="8" applyNumberFormat="0" applyProtection="0">
      <alignment horizontal="left" vertical="center" indent="1"/>
    </xf>
    <xf numFmtId="0" fontId="5" fillId="33" borderId="8" applyNumberFormat="0" applyProtection="0">
      <alignment horizontal="left" vertical="center" indent="1"/>
    </xf>
    <xf numFmtId="4" fontId="26" fillId="47" borderId="8" applyNumberFormat="0" applyProtection="0">
      <alignment vertical="center"/>
    </xf>
    <xf numFmtId="4" fontId="55" fillId="47" borderId="8" applyNumberFormat="0" applyProtection="0">
      <alignment vertical="center"/>
    </xf>
    <xf numFmtId="4" fontId="26" fillId="47" borderId="8" applyNumberFormat="0" applyProtection="0">
      <alignment horizontal="left" vertical="center" indent="1"/>
    </xf>
    <xf numFmtId="4" fontId="26" fillId="47" borderId="8" applyNumberFormat="0" applyProtection="0">
      <alignment horizontal="left" vertical="center" indent="1"/>
    </xf>
    <xf numFmtId="4" fontId="26" fillId="44" borderId="8" applyNumberFormat="0" applyProtection="0">
      <alignment horizontal="right" vertical="center"/>
    </xf>
    <xf numFmtId="4" fontId="55" fillId="44" borderId="8" applyNumberFormat="0" applyProtection="0">
      <alignment horizontal="right" vertical="center"/>
    </xf>
    <xf numFmtId="0" fontId="5" fillId="33" borderId="8" applyNumberFormat="0" applyProtection="0">
      <alignment horizontal="left" vertical="center" indent="1"/>
    </xf>
    <xf numFmtId="0" fontId="5" fillId="33" borderId="8" applyNumberFormat="0" applyProtection="0">
      <alignment horizontal="left" vertical="center" indent="1"/>
    </xf>
    <xf numFmtId="0" fontId="56" fillId="0" borderId="0"/>
    <xf numFmtId="4" fontId="20" fillId="44" borderId="8" applyNumberFormat="0" applyProtection="0">
      <alignment horizontal="right" vertical="center"/>
    </xf>
    <xf numFmtId="43" fontId="5" fillId="0" borderId="0" applyFont="0" applyFill="0" applyBorder="0" applyAlignment="0" applyProtection="0"/>
    <xf numFmtId="4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9" fontId="5" fillId="0" borderId="0" applyFont="0" applyFill="0" applyBorder="0" applyAlignment="0" applyProtection="0"/>
    <xf numFmtId="9" fontId="47" fillId="0" borderId="0" applyFont="0" applyFill="0" applyBorder="0" applyAlignment="0" applyProtection="0"/>
    <xf numFmtId="43" fontId="5" fillId="0" borderId="0" applyFont="0" applyFill="0" applyBorder="0" applyAlignment="0" applyProtection="0"/>
    <xf numFmtId="4" fontId="26" fillId="44" borderId="8" applyNumberFormat="0" applyProtection="0">
      <alignment horizontal="left" vertical="center" indent="1"/>
    </xf>
    <xf numFmtId="4" fontId="26" fillId="31" borderId="8" applyNumberFormat="0" applyProtection="0">
      <alignment horizontal="left" vertical="center" indent="1"/>
    </xf>
    <xf numFmtId="0" fontId="5" fillId="0" borderId="0"/>
    <xf numFmtId="0" fontId="5" fillId="0" borderId="0"/>
    <xf numFmtId="0" fontId="5" fillId="0" borderId="0"/>
    <xf numFmtId="0" fontId="5" fillId="0" borderId="0"/>
  </cellStyleXfs>
  <cellXfs count="534">
    <xf numFmtId="0" fontId="0" fillId="0" borderId="0" xfId="0"/>
    <xf numFmtId="0" fontId="5" fillId="0" borderId="0" xfId="0" applyFont="1"/>
    <xf numFmtId="0" fontId="5" fillId="0" borderId="23" xfId="0" applyFont="1" applyBorder="1" applyAlignment="1">
      <alignment horizontal="left"/>
    </xf>
    <xf numFmtId="0" fontId="0" fillId="24" borderId="0" xfId="0" applyFill="1" applyAlignment="1">
      <alignment horizontal="left"/>
    </xf>
    <xf numFmtId="0" fontId="0" fillId="24" borderId="0" xfId="0" applyFill="1"/>
    <xf numFmtId="0" fontId="7" fillId="24" borderId="0" xfId="0" applyFont="1" applyFill="1" applyAlignment="1">
      <alignment horizontal="center"/>
    </xf>
    <xf numFmtId="0" fontId="11" fillId="24" borderId="0" xfId="0" applyFont="1" applyFill="1" applyAlignment="1">
      <alignment horizontal="left"/>
    </xf>
    <xf numFmtId="0" fontId="7" fillId="24" borderId="0" xfId="0" applyFont="1" applyFill="1"/>
    <xf numFmtId="0" fontId="9" fillId="24" borderId="0" xfId="0" applyFont="1" applyFill="1"/>
    <xf numFmtId="0" fontId="12" fillId="24" borderId="0" xfId="0" applyFont="1" applyFill="1" applyAlignment="1">
      <alignment horizontal="left"/>
    </xf>
    <xf numFmtId="0" fontId="7" fillId="24" borderId="0" xfId="0" quotePrefix="1" applyFont="1" applyFill="1"/>
    <xf numFmtId="0" fontId="9" fillId="24" borderId="0" xfId="0" applyFont="1" applyFill="1" applyAlignment="1">
      <alignment horizontal="left"/>
    </xf>
    <xf numFmtId="0" fontId="9" fillId="24" borderId="23" xfId="0" applyFont="1" applyFill="1" applyBorder="1" applyAlignment="1">
      <alignment horizontal="center" wrapText="1"/>
    </xf>
    <xf numFmtId="0" fontId="9" fillId="24" borderId="23" xfId="0" applyFont="1" applyFill="1" applyBorder="1"/>
    <xf numFmtId="0" fontId="9" fillId="24" borderId="0" xfId="0" applyFont="1" applyFill="1" applyAlignment="1">
      <alignment horizontal="center" wrapText="1"/>
    </xf>
    <xf numFmtId="0" fontId="9" fillId="24" borderId="23" xfId="0" quotePrefix="1" applyFont="1" applyFill="1" applyBorder="1"/>
    <xf numFmtId="0" fontId="7" fillId="24" borderId="23" xfId="0" applyFont="1" applyFill="1" applyBorder="1" applyAlignment="1">
      <alignment horizontal="center"/>
    </xf>
    <xf numFmtId="0" fontId="14" fillId="24" borderId="0" xfId="0" applyFont="1" applyFill="1" applyAlignment="1">
      <alignment horizontal="center"/>
    </xf>
    <xf numFmtId="0" fontId="9" fillId="24" borderId="0" xfId="0" applyFont="1" applyFill="1" applyAlignment="1">
      <alignment horizontal="center"/>
    </xf>
    <xf numFmtId="0" fontId="0" fillId="24" borderId="23" xfId="0" applyFill="1" applyBorder="1"/>
    <xf numFmtId="17" fontId="0" fillId="24" borderId="23" xfId="0" applyNumberFormat="1" applyFill="1" applyBorder="1"/>
    <xf numFmtId="173" fontId="8" fillId="24" borderId="0" xfId="57" quotePrefix="1" applyNumberFormat="1" applyFont="1" applyFill="1" applyBorder="1"/>
    <xf numFmtId="9" fontId="8" fillId="24" borderId="0" xfId="57" quotePrefix="1" applyFont="1" applyFill="1" applyBorder="1"/>
    <xf numFmtId="17" fontId="0" fillId="24" borderId="0" xfId="0" applyNumberFormat="1" applyFill="1"/>
    <xf numFmtId="9" fontId="8" fillId="24" borderId="0" xfId="57" applyFont="1" applyFill="1" applyBorder="1"/>
    <xf numFmtId="1" fontId="8" fillId="24" borderId="0" xfId="57" quotePrefix="1" applyNumberFormat="1" applyFont="1" applyFill="1" applyBorder="1"/>
    <xf numFmtId="17" fontId="7" fillId="24" borderId="0" xfId="0" applyNumberFormat="1" applyFont="1" applyFill="1"/>
    <xf numFmtId="0" fontId="15" fillId="24" borderId="0" xfId="49" applyFill="1" applyBorder="1" applyAlignment="1" applyProtection="1"/>
    <xf numFmtId="0" fontId="0" fillId="24" borderId="0" xfId="0" applyFill="1" applyAlignment="1">
      <alignment horizontal="center"/>
    </xf>
    <xf numFmtId="3" fontId="0" fillId="24" borderId="0" xfId="0" applyNumberFormat="1" applyFill="1"/>
    <xf numFmtId="0" fontId="0" fillId="24" borderId="23" xfId="0" applyFill="1" applyBorder="1" applyAlignment="1">
      <alignment horizontal="center"/>
    </xf>
    <xf numFmtId="3" fontId="0" fillId="24" borderId="0" xfId="0" quotePrefix="1" applyNumberFormat="1" applyFill="1"/>
    <xf numFmtId="9" fontId="0" fillId="24" borderId="0" xfId="57" applyFont="1" applyFill="1" applyBorder="1" applyAlignment="1"/>
    <xf numFmtId="0" fontId="0" fillId="24" borderId="0" xfId="0" applyFill="1" applyAlignment="1">
      <alignment horizontal="right"/>
    </xf>
    <xf numFmtId="9" fontId="0" fillId="24" borderId="0" xfId="0" applyNumberFormat="1" applyFill="1"/>
    <xf numFmtId="17" fontId="0" fillId="24" borderId="0" xfId="0" applyNumberFormat="1" applyFill="1" applyAlignment="1">
      <alignment horizontal="center"/>
    </xf>
    <xf numFmtId="10" fontId="0" fillId="24" borderId="0" xfId="0" applyNumberFormat="1" applyFill="1"/>
    <xf numFmtId="166" fontId="0" fillId="24" borderId="0" xfId="0" applyNumberFormat="1" applyFill="1"/>
    <xf numFmtId="9" fontId="0" fillId="24" borderId="0" xfId="57" applyFont="1" applyFill="1" applyBorder="1"/>
    <xf numFmtId="4" fontId="8" fillId="24" borderId="0" xfId="0" applyNumberFormat="1" applyFont="1" applyFill="1"/>
    <xf numFmtId="167" fontId="8" fillId="24" borderId="0" xfId="0" applyNumberFormat="1" applyFont="1" applyFill="1"/>
    <xf numFmtId="0" fontId="0" fillId="24" borderId="0" xfId="0" quotePrefix="1" applyFill="1"/>
    <xf numFmtId="170" fontId="0" fillId="24" borderId="0" xfId="0" applyNumberFormat="1" applyFill="1"/>
    <xf numFmtId="165" fontId="0" fillId="24" borderId="0" xfId="0" applyNumberFormat="1" applyFill="1"/>
    <xf numFmtId="165" fontId="0" fillId="24" borderId="0" xfId="0" quotePrefix="1" applyNumberFormat="1" applyFill="1"/>
    <xf numFmtId="168" fontId="7" fillId="24" borderId="0" xfId="0" applyNumberFormat="1" applyFont="1" applyFill="1"/>
    <xf numFmtId="168" fontId="0" fillId="24" borderId="0" xfId="0" applyNumberFormat="1" applyFill="1"/>
    <xf numFmtId="178" fontId="0" fillId="24" borderId="0" xfId="0" applyNumberFormat="1" applyFill="1"/>
    <xf numFmtId="168" fontId="8" fillId="24" borderId="0" xfId="0" applyNumberFormat="1" applyFont="1" applyFill="1"/>
    <xf numFmtId="0" fontId="5" fillId="24" borderId="0" xfId="0" applyFont="1" applyFill="1"/>
    <xf numFmtId="0" fontId="0" fillId="24" borderId="0" xfId="0" quotePrefix="1" applyFill="1" applyAlignment="1">
      <alignment horizontal="right"/>
    </xf>
    <xf numFmtId="44" fontId="0" fillId="24" borderId="0" xfId="33" quotePrefix="1" applyFont="1" applyFill="1" applyBorder="1"/>
    <xf numFmtId="0" fontId="9" fillId="24" borderId="0" xfId="0" quotePrefix="1" applyFont="1" applyFill="1"/>
    <xf numFmtId="44" fontId="0" fillId="24" borderId="0" xfId="33" applyFont="1" applyFill="1" applyBorder="1"/>
    <xf numFmtId="169" fontId="8" fillId="24" borderId="0" xfId="33" applyNumberFormat="1" applyFont="1" applyFill="1" applyBorder="1"/>
    <xf numFmtId="44" fontId="0" fillId="24" borderId="0" xfId="33" quotePrefix="1" applyFont="1" applyFill="1" applyBorder="1" applyAlignment="1">
      <alignment horizontal="right"/>
    </xf>
    <xf numFmtId="17" fontId="0" fillId="24" borderId="0" xfId="0" applyNumberFormat="1" applyFill="1" applyAlignment="1">
      <alignment horizontal="right"/>
    </xf>
    <xf numFmtId="44" fontId="0" fillId="24" borderId="0" xfId="0" applyNumberFormat="1" applyFill="1"/>
    <xf numFmtId="0" fontId="13" fillId="24" borderId="0" xfId="0" applyFont="1" applyFill="1" applyAlignment="1">
      <alignment horizontal="left"/>
    </xf>
    <xf numFmtId="43" fontId="0" fillId="24" borderId="0" xfId="0" applyNumberFormat="1" applyFill="1"/>
    <xf numFmtId="172" fontId="0" fillId="24" borderId="0" xfId="0" applyNumberFormat="1" applyFill="1"/>
    <xf numFmtId="17" fontId="13" fillId="24" borderId="0" xfId="0" applyNumberFormat="1" applyFont="1" applyFill="1" applyAlignment="1">
      <alignment horizontal="left"/>
    </xf>
    <xf numFmtId="169" fontId="0" fillId="24" borderId="0" xfId="33" applyNumberFormat="1" applyFont="1" applyFill="1" applyBorder="1"/>
    <xf numFmtId="169" fontId="0" fillId="24" borderId="0" xfId="0" applyNumberFormat="1" applyFill="1"/>
    <xf numFmtId="175" fontId="7" fillId="24" borderId="0" xfId="28" quotePrefix="1" applyNumberFormat="1" applyFont="1" applyFill="1" applyBorder="1"/>
    <xf numFmtId="43" fontId="7" fillId="24" borderId="0" xfId="28" quotePrefix="1" applyFont="1" applyFill="1" applyBorder="1"/>
    <xf numFmtId="175" fontId="0" fillId="24" borderId="0" xfId="0" applyNumberFormat="1" applyFill="1"/>
    <xf numFmtId="175" fontId="7" fillId="24" borderId="0" xfId="0" applyNumberFormat="1" applyFont="1" applyFill="1"/>
    <xf numFmtId="0" fontId="7" fillId="24" borderId="0" xfId="0" applyFont="1" applyFill="1" applyAlignment="1">
      <alignment horizontal="right"/>
    </xf>
    <xf numFmtId="171" fontId="7" fillId="24" borderId="0" xfId="33" quotePrefix="1" applyNumberFormat="1" applyFont="1" applyFill="1" applyBorder="1"/>
    <xf numFmtId="0" fontId="7" fillId="24" borderId="0" xfId="0" applyFont="1" applyFill="1" applyAlignment="1">
      <alignment horizontal="center" wrapText="1"/>
    </xf>
    <xf numFmtId="174" fontId="0" fillId="24" borderId="0" xfId="28" applyNumberFormat="1" applyFont="1" applyFill="1" applyBorder="1"/>
    <xf numFmtId="0" fontId="5" fillId="24" borderId="0" xfId="0" applyFont="1" applyFill="1" applyAlignment="1">
      <alignment horizontal="left"/>
    </xf>
    <xf numFmtId="169" fontId="0" fillId="24" borderId="0" xfId="57" applyNumberFormat="1" applyFont="1" applyFill="1" applyBorder="1"/>
    <xf numFmtId="0" fontId="9" fillId="24" borderId="0" xfId="0" applyFont="1" applyFill="1" applyAlignment="1">
      <alignment horizontal="right"/>
    </xf>
    <xf numFmtId="176" fontId="7" fillId="24" borderId="0" xfId="28" applyNumberFormat="1" applyFont="1" applyFill="1" applyBorder="1"/>
    <xf numFmtId="43" fontId="9" fillId="24" borderId="0" xfId="28" applyFont="1" applyFill="1" applyBorder="1"/>
    <xf numFmtId="169" fontId="0" fillId="24" borderId="0" xfId="33" quotePrefix="1" applyNumberFormat="1" applyFont="1" applyFill="1" applyBorder="1"/>
    <xf numFmtId="3" fontId="13" fillId="24" borderId="0" xfId="0" applyNumberFormat="1" applyFont="1" applyFill="1"/>
    <xf numFmtId="0" fontId="7" fillId="24" borderId="0" xfId="0" applyFont="1" applyFill="1" applyAlignment="1">
      <alignment horizontal="left"/>
    </xf>
    <xf numFmtId="0" fontId="0" fillId="24" borderId="0" xfId="0" applyFill="1" applyAlignment="1">
      <alignment horizontal="center" wrapText="1"/>
    </xf>
    <xf numFmtId="44" fontId="5" fillId="24" borderId="0" xfId="0" applyNumberFormat="1" applyFont="1" applyFill="1"/>
    <xf numFmtId="168" fontId="0" fillId="24" borderId="0" xfId="0" applyNumberFormat="1" applyFill="1" applyAlignment="1">
      <alignment horizontal="right"/>
    </xf>
    <xf numFmtId="0" fontId="23" fillId="24" borderId="0" xfId="0" applyFont="1" applyFill="1"/>
    <xf numFmtId="6" fontId="0" fillId="24" borderId="0" xfId="0" applyNumberFormat="1" applyFill="1"/>
    <xf numFmtId="8" fontId="0" fillId="24" borderId="0" xfId="0" applyNumberFormat="1" applyFill="1"/>
    <xf numFmtId="182" fontId="0" fillId="24" borderId="0" xfId="0" applyNumberFormat="1" applyFill="1"/>
    <xf numFmtId="0" fontId="0" fillId="24" borderId="23" xfId="0" quotePrefix="1" applyFill="1" applyBorder="1"/>
    <xf numFmtId="0" fontId="5" fillId="24" borderId="23" xfId="0" applyFont="1" applyFill="1" applyBorder="1" applyAlignment="1">
      <alignment horizontal="left"/>
    </xf>
    <xf numFmtId="0" fontId="5" fillId="0" borderId="23" xfId="0" applyFont="1" applyBorder="1"/>
    <xf numFmtId="0" fontId="5" fillId="0" borderId="25" xfId="0" applyFont="1" applyBorder="1"/>
    <xf numFmtId="0" fontId="7" fillId="27" borderId="23" xfId="0" applyFont="1" applyFill="1" applyBorder="1" applyAlignment="1">
      <alignment horizontal="center" wrapText="1"/>
    </xf>
    <xf numFmtId="0" fontId="5" fillId="0" borderId="0" xfId="85"/>
    <xf numFmtId="0" fontId="5" fillId="27" borderId="30" xfId="0" applyFont="1" applyFill="1" applyBorder="1" applyProtection="1">
      <protection locked="0"/>
    </xf>
    <xf numFmtId="0" fontId="5" fillId="27" borderId="31" xfId="0" applyFont="1" applyFill="1" applyBorder="1" applyProtection="1">
      <protection locked="0"/>
    </xf>
    <xf numFmtId="0" fontId="5" fillId="0" borderId="23" xfId="0" applyFont="1" applyBorder="1" applyProtection="1">
      <protection locked="0"/>
    </xf>
    <xf numFmtId="0" fontId="5" fillId="30" borderId="23" xfId="0" applyFont="1" applyFill="1" applyBorder="1" applyProtection="1">
      <protection locked="0"/>
    </xf>
    <xf numFmtId="0" fontId="5" fillId="0" borderId="32" xfId="0" applyFont="1" applyBorder="1" applyProtection="1">
      <protection locked="0"/>
    </xf>
    <xf numFmtId="0" fontId="5" fillId="30" borderId="20" xfId="0" applyFont="1" applyFill="1" applyBorder="1" applyProtection="1">
      <protection locked="0"/>
    </xf>
    <xf numFmtId="10" fontId="5" fillId="0" borderId="23" xfId="57" applyNumberFormat="1" applyFont="1" applyFill="1" applyBorder="1"/>
    <xf numFmtId="0" fontId="12" fillId="24" borderId="0" xfId="0" applyFont="1" applyFill="1" applyAlignment="1">
      <alignment horizontal="left" wrapText="1"/>
    </xf>
    <xf numFmtId="0" fontId="10" fillId="24" borderId="0" xfId="0" applyFont="1" applyFill="1" applyAlignment="1">
      <alignment wrapText="1"/>
    </xf>
    <xf numFmtId="39" fontId="5" fillId="24" borderId="0" xfId="0" quotePrefix="1" applyNumberFormat="1" applyFont="1" applyFill="1"/>
    <xf numFmtId="0" fontId="5" fillId="24" borderId="23" xfId="0" applyFont="1" applyFill="1" applyBorder="1"/>
    <xf numFmtId="0" fontId="5" fillId="24" borderId="23" xfId="0" applyFont="1" applyFill="1" applyBorder="1" applyAlignment="1">
      <alignment wrapText="1"/>
    </xf>
    <xf numFmtId="0" fontId="5" fillId="24" borderId="0" xfId="0" applyFont="1" applyFill="1" applyAlignment="1">
      <alignment wrapText="1"/>
    </xf>
    <xf numFmtId="9" fontId="5" fillId="24" borderId="0" xfId="57" quotePrefix="1" applyFont="1" applyFill="1" applyBorder="1"/>
    <xf numFmtId="0" fontId="5" fillId="24" borderId="23" xfId="0" applyFont="1" applyFill="1" applyBorder="1" applyAlignment="1">
      <alignment horizontal="center"/>
    </xf>
    <xf numFmtId="174" fontId="8" fillId="24" borderId="0" xfId="28" applyNumberFormat="1" applyFont="1" applyFill="1" applyBorder="1" applyAlignment="1">
      <alignment horizontal="center"/>
    </xf>
    <xf numFmtId="173" fontId="5" fillId="24" borderId="0" xfId="0" applyNumberFormat="1" applyFont="1" applyFill="1"/>
    <xf numFmtId="0" fontId="5" fillId="24" borderId="0" xfId="0" quotePrefix="1" applyFont="1" applyFill="1"/>
    <xf numFmtId="177" fontId="5" fillId="24" borderId="0" xfId="0" applyNumberFormat="1" applyFont="1" applyFill="1"/>
    <xf numFmtId="166" fontId="5" fillId="24" borderId="0" xfId="0" applyNumberFormat="1" applyFont="1" applyFill="1"/>
    <xf numFmtId="9" fontId="5" fillId="24" borderId="0" xfId="57" applyFont="1" applyFill="1" applyBorder="1"/>
    <xf numFmtId="167" fontId="5" fillId="24" borderId="0" xfId="0" applyNumberFormat="1" applyFont="1" applyFill="1"/>
    <xf numFmtId="168" fontId="5" fillId="24" borderId="0" xfId="0" applyNumberFormat="1" applyFont="1" applyFill="1"/>
    <xf numFmtId="3" fontId="5" fillId="24" borderId="0" xfId="0" applyNumberFormat="1" applyFont="1" applyFill="1" applyAlignment="1">
      <alignment horizontal="right"/>
    </xf>
    <xf numFmtId="168" fontId="5" fillId="24" borderId="0" xfId="0" applyNumberFormat="1" applyFont="1" applyFill="1" applyAlignment="1">
      <alignment horizontal="right"/>
    </xf>
    <xf numFmtId="0" fontId="5" fillId="24" borderId="0" xfId="0" applyFont="1" applyFill="1" applyAlignment="1">
      <alignment horizontal="right"/>
    </xf>
    <xf numFmtId="44" fontId="5" fillId="24" borderId="0" xfId="33" quotePrefix="1" applyFont="1" applyFill="1" applyBorder="1"/>
    <xf numFmtId="172" fontId="5" fillId="24" borderId="0" xfId="33" applyNumberFormat="1" applyFont="1" applyFill="1" applyBorder="1"/>
    <xf numFmtId="169" fontId="5" fillId="24" borderId="0" xfId="33" quotePrefix="1" applyNumberFormat="1" applyFont="1" applyFill="1" applyBorder="1"/>
    <xf numFmtId="175" fontId="5" fillId="24" borderId="0" xfId="28" quotePrefix="1" applyNumberFormat="1" applyFont="1" applyFill="1" applyBorder="1"/>
    <xf numFmtId="43" fontId="5" fillId="24" borderId="0" xfId="28" quotePrefix="1" applyFont="1" applyFill="1" applyBorder="1"/>
    <xf numFmtId="43" fontId="5" fillId="24" borderId="0" xfId="28" applyFont="1" applyFill="1" applyBorder="1" applyAlignment="1">
      <alignment horizontal="right"/>
    </xf>
    <xf numFmtId="172" fontId="5" fillId="24" borderId="0" xfId="33" quotePrefix="1" applyNumberFormat="1" applyFont="1" applyFill="1" applyBorder="1"/>
    <xf numFmtId="169" fontId="5" fillId="24" borderId="0" xfId="33" applyNumberFormat="1" applyFont="1" applyFill="1" applyBorder="1"/>
    <xf numFmtId="176" fontId="5" fillId="24" borderId="0" xfId="28" quotePrefix="1" applyNumberFormat="1" applyFont="1" applyFill="1" applyBorder="1"/>
    <xf numFmtId="182" fontId="8" fillId="24" borderId="0" xfId="0" applyNumberFormat="1" applyFont="1" applyFill="1"/>
    <xf numFmtId="6" fontId="8" fillId="24" borderId="0" xfId="0" applyNumberFormat="1" applyFont="1" applyFill="1"/>
    <xf numFmtId="0" fontId="10" fillId="24" borderId="0" xfId="0" applyFont="1" applyFill="1" applyAlignment="1">
      <alignment horizontal="right" vertical="center" wrapText="1"/>
    </xf>
    <xf numFmtId="0" fontId="5" fillId="0" borderId="25" xfId="0" applyFont="1" applyBorder="1" applyAlignment="1">
      <alignment horizontal="left"/>
    </xf>
    <xf numFmtId="0" fontId="5" fillId="0" borderId="23" xfId="0" applyFont="1" applyBorder="1" applyAlignment="1">
      <alignment wrapText="1"/>
    </xf>
    <xf numFmtId="185" fontId="5" fillId="0" borderId="23" xfId="0" applyNumberFormat="1" applyFont="1" applyBorder="1"/>
    <xf numFmtId="185" fontId="5" fillId="0" borderId="23" xfId="0" applyNumberFormat="1" applyFont="1" applyBorder="1" applyAlignment="1">
      <alignment horizontal="left"/>
    </xf>
    <xf numFmtId="185" fontId="5" fillId="0" borderId="23" xfId="57" applyNumberFormat="1" applyFont="1" applyFill="1" applyBorder="1"/>
    <xf numFmtId="0" fontId="0" fillId="0" borderId="23" xfId="0" applyBorder="1" applyAlignment="1">
      <alignment horizontal="center" wrapText="1"/>
    </xf>
    <xf numFmtId="14" fontId="0" fillId="0" borderId="0" xfId="0" applyNumberFormat="1"/>
    <xf numFmtId="169" fontId="5" fillId="0" borderId="0" xfId="33" applyNumberFormat="1" applyFont="1" applyFill="1"/>
    <xf numFmtId="14" fontId="5" fillId="0" borderId="0" xfId="0" applyNumberFormat="1" applyFont="1"/>
    <xf numFmtId="44" fontId="45" fillId="0" borderId="0" xfId="33" quotePrefix="1" applyFont="1" applyFill="1"/>
    <xf numFmtId="0" fontId="5" fillId="0" borderId="0" xfId="0" quotePrefix="1" applyFont="1"/>
    <xf numFmtId="167" fontId="5" fillId="0" borderId="0" xfId="0" applyNumberFormat="1" applyFont="1"/>
    <xf numFmtId="185" fontId="5" fillId="0" borderId="23" xfId="57" applyNumberFormat="1" applyFont="1" applyBorder="1"/>
    <xf numFmtId="176" fontId="5" fillId="0" borderId="23" xfId="28" applyNumberFormat="1" applyFont="1" applyFill="1" applyBorder="1"/>
    <xf numFmtId="176" fontId="5" fillId="0" borderId="20" xfId="28" applyNumberFormat="1" applyFont="1" applyFill="1" applyBorder="1"/>
    <xf numFmtId="176" fontId="5" fillId="0" borderId="25" xfId="28" applyNumberFormat="1" applyFont="1" applyFill="1" applyBorder="1"/>
    <xf numFmtId="44" fontId="5" fillId="0" borderId="22" xfId="33" applyFont="1" applyBorder="1"/>
    <xf numFmtId="44" fontId="5" fillId="0" borderId="25" xfId="33" applyFont="1" applyBorder="1"/>
    <xf numFmtId="44" fontId="5" fillId="0" borderId="20" xfId="33" applyFont="1" applyBorder="1"/>
    <xf numFmtId="169" fontId="5" fillId="0" borderId="20" xfId="33" applyNumberFormat="1" applyFont="1" applyFill="1" applyBorder="1"/>
    <xf numFmtId="174" fontId="5" fillId="0" borderId="20" xfId="28" applyNumberFormat="1" applyFont="1" applyBorder="1"/>
    <xf numFmtId="174" fontId="5" fillId="0" borderId="23" xfId="28" applyNumberFormat="1" applyFont="1" applyBorder="1"/>
    <xf numFmtId="9" fontId="5" fillId="0" borderId="23" xfId="28" applyNumberFormat="1" applyFont="1" applyBorder="1"/>
    <xf numFmtId="184" fontId="5" fillId="0" borderId="23" xfId="28" applyNumberFormat="1" applyFont="1" applyBorder="1"/>
    <xf numFmtId="171" fontId="5" fillId="0" borderId="23" xfId="33" applyNumberFormat="1" applyFont="1" applyFill="1" applyBorder="1"/>
    <xf numFmtId="10" fontId="5" fillId="0" borderId="23" xfId="57" applyNumberFormat="1" applyFont="1" applyBorder="1"/>
    <xf numFmtId="174" fontId="5" fillId="0" borderId="25" xfId="28" applyNumberFormat="1" applyFont="1" applyBorder="1"/>
    <xf numFmtId="9" fontId="5" fillId="0" borderId="20" xfId="28" applyNumberFormat="1" applyFont="1" applyBorder="1"/>
    <xf numFmtId="9" fontId="5" fillId="0" borderId="25" xfId="28" applyNumberFormat="1" applyFont="1" applyBorder="1"/>
    <xf numFmtId="167" fontId="5" fillId="0" borderId="27" xfId="57" applyNumberFormat="1" applyFont="1" applyBorder="1"/>
    <xf numFmtId="184" fontId="5" fillId="0" borderId="27" xfId="28" applyNumberFormat="1" applyFont="1" applyBorder="1"/>
    <xf numFmtId="184" fontId="5" fillId="0" borderId="20" xfId="28" applyNumberFormat="1" applyFont="1" applyBorder="1"/>
    <xf numFmtId="184" fontId="5" fillId="0" borderId="25" xfId="28" applyNumberFormat="1" applyFont="1" applyBorder="1"/>
    <xf numFmtId="171" fontId="5" fillId="0" borderId="25" xfId="33" applyNumberFormat="1" applyFont="1" applyFill="1" applyBorder="1"/>
    <xf numFmtId="171" fontId="5" fillId="0" borderId="29" xfId="33" applyNumberFormat="1" applyFont="1" applyFill="1" applyBorder="1"/>
    <xf numFmtId="167" fontId="5" fillId="29" borderId="19" xfId="57" applyNumberFormat="1" applyFont="1" applyFill="1" applyBorder="1"/>
    <xf numFmtId="10" fontId="5" fillId="0" borderId="27" xfId="57" applyNumberFormat="1" applyFont="1" applyBorder="1"/>
    <xf numFmtId="9" fontId="5" fillId="0" borderId="23" xfId="57" applyFont="1" applyBorder="1"/>
    <xf numFmtId="173" fontId="5" fillId="0" borderId="23" xfId="57" applyNumberFormat="1" applyFont="1" applyBorder="1"/>
    <xf numFmtId="171" fontId="5" fillId="0" borderId="20" xfId="33" applyNumberFormat="1" applyFont="1" applyFill="1" applyBorder="1"/>
    <xf numFmtId="174" fontId="5" fillId="0" borderId="23" xfId="28" applyNumberFormat="1" applyFont="1" applyBorder="1" applyAlignment="1">
      <alignment wrapText="1"/>
    </xf>
    <xf numFmtId="176" fontId="5" fillId="0" borderId="22" xfId="28" applyNumberFormat="1" applyFont="1" applyFill="1" applyBorder="1"/>
    <xf numFmtId="2" fontId="5" fillId="0" borderId="23" xfId="33" applyNumberFormat="1" applyFont="1" applyFill="1" applyBorder="1"/>
    <xf numFmtId="44" fontId="5" fillId="0" borderId="25" xfId="33" applyFont="1" applyFill="1" applyBorder="1"/>
    <xf numFmtId="0" fontId="23" fillId="0" borderId="0" xfId="0" applyFont="1"/>
    <xf numFmtId="167" fontId="5" fillId="0" borderId="23" xfId="0" applyNumberFormat="1" applyFont="1" applyBorder="1"/>
    <xf numFmtId="167" fontId="7" fillId="0" borderId="0" xfId="0" applyNumberFormat="1" applyFont="1"/>
    <xf numFmtId="171" fontId="5" fillId="24" borderId="29" xfId="33" applyNumberFormat="1" applyFont="1" applyFill="1" applyBorder="1"/>
    <xf numFmtId="171" fontId="5" fillId="0" borderId="23" xfId="0" applyNumberFormat="1" applyFont="1" applyBorder="1" applyProtection="1">
      <protection locked="0"/>
    </xf>
    <xf numFmtId="44" fontId="5" fillId="0" borderId="26" xfId="33" applyFont="1" applyFill="1" applyBorder="1"/>
    <xf numFmtId="167" fontId="5" fillId="29" borderId="15" xfId="57" applyNumberFormat="1" applyFont="1" applyFill="1" applyBorder="1"/>
    <xf numFmtId="10" fontId="5" fillId="0" borderId="28" xfId="57" applyNumberFormat="1" applyFont="1" applyBorder="1"/>
    <xf numFmtId="167" fontId="7" fillId="29" borderId="19" xfId="57" applyNumberFormat="1" applyFont="1" applyFill="1" applyBorder="1"/>
    <xf numFmtId="172" fontId="5" fillId="0" borderId="25" xfId="33" applyNumberFormat="1" applyFont="1" applyFill="1" applyBorder="1"/>
    <xf numFmtId="0" fontId="5" fillId="25" borderId="23" xfId="0" applyFont="1" applyFill="1" applyBorder="1"/>
    <xf numFmtId="0" fontId="5" fillId="24" borderId="23" xfId="0" applyFont="1" applyFill="1" applyBorder="1" applyAlignment="1">
      <alignment horizontal="right"/>
    </xf>
    <xf numFmtId="0" fontId="54" fillId="24" borderId="23" xfId="85" applyFont="1" applyFill="1" applyBorder="1" applyAlignment="1">
      <alignment vertical="center"/>
    </xf>
    <xf numFmtId="10" fontId="8" fillId="24" borderId="23" xfId="57" applyNumberFormat="1" applyFont="1" applyFill="1" applyBorder="1"/>
    <xf numFmtId="167" fontId="8" fillId="24" borderId="23" xfId="57" applyNumberFormat="1" applyFont="1" applyFill="1" applyBorder="1"/>
    <xf numFmtId="0" fontId="8" fillId="24" borderId="0" xfId="0" applyFont="1" applyFill="1"/>
    <xf numFmtId="178" fontId="8" fillId="24" borderId="0" xfId="0" applyNumberFormat="1" applyFont="1" applyFill="1"/>
    <xf numFmtId="0" fontId="5" fillId="24" borderId="23" xfId="0" applyFont="1" applyFill="1" applyBorder="1" applyAlignment="1">
      <alignment horizontal="center" wrapText="1"/>
    </xf>
    <xf numFmtId="44" fontId="8" fillId="24" borderId="23" xfId="33" applyFont="1" applyFill="1" applyBorder="1"/>
    <xf numFmtId="44" fontId="8" fillId="24" borderId="14" xfId="33" applyFont="1" applyFill="1" applyBorder="1"/>
    <xf numFmtId="0" fontId="8" fillId="24" borderId="23" xfId="33" applyNumberFormat="1" applyFont="1" applyFill="1" applyBorder="1"/>
    <xf numFmtId="0" fontId="8" fillId="24" borderId="23" xfId="33" applyNumberFormat="1" applyFont="1" applyFill="1" applyBorder="1" applyAlignment="1">
      <alignment horizontal="right"/>
    </xf>
    <xf numFmtId="166" fontId="8" fillId="24" borderId="23" xfId="33" applyNumberFormat="1" applyFont="1" applyFill="1" applyBorder="1"/>
    <xf numFmtId="0" fontId="7" fillId="0" borderId="0" xfId="85" applyFont="1" applyAlignment="1">
      <alignment wrapText="1"/>
    </xf>
    <xf numFmtId="9" fontId="0" fillId="24" borderId="23" xfId="57" applyFont="1" applyFill="1" applyBorder="1"/>
    <xf numFmtId="10" fontId="8" fillId="24" borderId="14" xfId="57" applyNumberFormat="1" applyFont="1" applyFill="1" applyBorder="1"/>
    <xf numFmtId="44" fontId="5" fillId="24" borderId="0" xfId="33" quotePrefix="1" applyFont="1" applyFill="1" applyBorder="1" applyAlignment="1">
      <alignment horizontal="right"/>
    </xf>
    <xf numFmtId="186" fontId="46" fillId="24" borderId="0" xfId="0" applyNumberFormat="1" applyFont="1" applyFill="1" applyAlignment="1">
      <alignment horizontal="left"/>
    </xf>
    <xf numFmtId="44" fontId="7" fillId="24" borderId="0" xfId="33" applyFont="1" applyFill="1" applyBorder="1" applyAlignment="1">
      <alignment horizontal="center"/>
    </xf>
    <xf numFmtId="44" fontId="5" fillId="24" borderId="0" xfId="33" quotePrefix="1" applyFont="1" applyFill="1" applyBorder="1" applyAlignment="1">
      <alignment horizontal="left"/>
    </xf>
    <xf numFmtId="174" fontId="7" fillId="24" borderId="0" xfId="28" applyNumberFormat="1" applyFont="1" applyFill="1" applyBorder="1"/>
    <xf numFmtId="174" fontId="7" fillId="24" borderId="0" xfId="28" applyNumberFormat="1" applyFont="1" applyFill="1" applyBorder="1" applyAlignment="1">
      <alignment horizontal="center"/>
    </xf>
    <xf numFmtId="0" fontId="64" fillId="24" borderId="0" xfId="0" applyFont="1" applyFill="1"/>
    <xf numFmtId="44" fontId="62" fillId="24" borderId="0" xfId="33" quotePrefix="1" applyFont="1" applyFill="1" applyBorder="1" applyAlignment="1">
      <alignment horizontal="right"/>
    </xf>
    <xf numFmtId="44" fontId="62" fillId="24" borderId="0" xfId="33" applyFont="1" applyFill="1" applyBorder="1"/>
    <xf numFmtId="0" fontId="62" fillId="24" borderId="0" xfId="0" applyFont="1" applyFill="1"/>
    <xf numFmtId="0" fontId="62" fillId="24" borderId="0" xfId="0" applyFont="1" applyFill="1" applyAlignment="1">
      <alignment horizontal="right"/>
    </xf>
    <xf numFmtId="17" fontId="62" fillId="24" borderId="0" xfId="0" applyNumberFormat="1" applyFont="1" applyFill="1"/>
    <xf numFmtId="17" fontId="62" fillId="24" borderId="0" xfId="0" applyNumberFormat="1" applyFont="1" applyFill="1" applyAlignment="1">
      <alignment horizontal="right"/>
    </xf>
    <xf numFmtId="0" fontId="65" fillId="24" borderId="0" xfId="0" applyFont="1" applyFill="1"/>
    <xf numFmtId="44" fontId="66" fillId="24" borderId="0" xfId="33" quotePrefix="1" applyFont="1" applyFill="1" applyBorder="1" applyAlignment="1">
      <alignment horizontal="right"/>
    </xf>
    <xf numFmtId="44" fontId="66" fillId="24" borderId="0" xfId="33" applyFont="1" applyFill="1" applyBorder="1"/>
    <xf numFmtId="0" fontId="66" fillId="24" borderId="0" xfId="0" applyFont="1" applyFill="1"/>
    <xf numFmtId="0" fontId="66" fillId="24" borderId="0" xfId="0" applyFont="1" applyFill="1" applyAlignment="1">
      <alignment horizontal="right"/>
    </xf>
    <xf numFmtId="44" fontId="66" fillId="24" borderId="0" xfId="33" quotePrefix="1" applyFont="1" applyFill="1" applyBorder="1"/>
    <xf numFmtId="0" fontId="66" fillId="24" borderId="0" xfId="0" applyFont="1" applyFill="1" applyAlignment="1">
      <alignment horizontal="left"/>
    </xf>
    <xf numFmtId="174" fontId="66" fillId="24" borderId="0" xfId="28" applyNumberFormat="1" applyFont="1" applyFill="1" applyBorder="1"/>
    <xf numFmtId="174" fontId="66" fillId="24" borderId="0" xfId="28" quotePrefix="1" applyNumberFormat="1" applyFont="1" applyFill="1" applyBorder="1"/>
    <xf numFmtId="0" fontId="68" fillId="24" borderId="0" xfId="0" applyFont="1" applyFill="1"/>
    <xf numFmtId="44" fontId="68" fillId="24" borderId="0" xfId="33" quotePrefix="1" applyFont="1" applyFill="1" applyBorder="1"/>
    <xf numFmtId="0" fontId="69" fillId="24" borderId="0" xfId="0" applyFont="1" applyFill="1"/>
    <xf numFmtId="0" fontId="5" fillId="24" borderId="0" xfId="85" applyFill="1"/>
    <xf numFmtId="0" fontId="10" fillId="24" borderId="0" xfId="85" applyFont="1" applyFill="1" applyAlignment="1">
      <alignment horizontal="center"/>
    </xf>
    <xf numFmtId="0" fontId="52" fillId="24" borderId="0" xfId="85" applyFont="1" applyFill="1"/>
    <xf numFmtId="0" fontId="9" fillId="24" borderId="0" xfId="85" applyFont="1" applyFill="1"/>
    <xf numFmtId="0" fontId="7" fillId="24" borderId="0" xfId="85" applyFont="1" applyFill="1"/>
    <xf numFmtId="178" fontId="5" fillId="24" borderId="0" xfId="85" applyNumberFormat="1" applyFill="1"/>
    <xf numFmtId="178" fontId="5" fillId="24" borderId="17" xfId="85" quotePrefix="1" applyNumberFormat="1" applyFill="1" applyBorder="1" applyAlignment="1">
      <alignment horizontal="right"/>
    </xf>
    <xf numFmtId="0" fontId="5" fillId="24" borderId="0" xfId="85" quotePrefix="1" applyFill="1"/>
    <xf numFmtId="0" fontId="5" fillId="24" borderId="0" xfId="85" applyFill="1" applyAlignment="1">
      <alignment horizontal="center" wrapText="1"/>
    </xf>
    <xf numFmtId="178" fontId="5" fillId="24" borderId="0" xfId="85" quotePrefix="1" applyNumberFormat="1" applyFill="1" applyAlignment="1">
      <alignment horizontal="right"/>
    </xf>
    <xf numFmtId="168" fontId="5" fillId="24" borderId="0" xfId="85" applyNumberFormat="1" applyFill="1"/>
    <xf numFmtId="3" fontId="5" fillId="24" borderId="17" xfId="85" applyNumberFormat="1" applyFill="1" applyBorder="1"/>
    <xf numFmtId="182" fontId="5" fillId="24" borderId="0" xfId="85" quotePrefix="1" applyNumberFormat="1" applyFill="1" applyAlignment="1">
      <alignment horizontal="right"/>
    </xf>
    <xf numFmtId="182" fontId="5" fillId="24" borderId="0" xfId="85" applyNumberFormat="1" applyFill="1"/>
    <xf numFmtId="0" fontId="7" fillId="24" borderId="0" xfId="85" applyFont="1" applyFill="1" applyAlignment="1">
      <alignment wrapText="1"/>
    </xf>
    <xf numFmtId="174" fontId="5" fillId="24" borderId="0" xfId="28" applyNumberFormat="1" applyFont="1" applyFill="1"/>
    <xf numFmtId="174" fontId="5" fillId="24" borderId="17" xfId="28" applyNumberFormat="1" applyFont="1" applyFill="1" applyBorder="1"/>
    <xf numFmtId="10" fontId="5" fillId="24" borderId="0" xfId="57" applyNumberFormat="1" applyFont="1" applyFill="1"/>
    <xf numFmtId="0" fontId="7" fillId="24" borderId="0" xfId="160" applyFont="1" applyFill="1"/>
    <xf numFmtId="3" fontId="5" fillId="24" borderId="0" xfId="85" applyNumberFormat="1" applyFill="1"/>
    <xf numFmtId="178" fontId="7" fillId="24" borderId="35" xfId="85" applyNumberFormat="1" applyFont="1" applyFill="1" applyBorder="1"/>
    <xf numFmtId="0" fontId="48" fillId="24" borderId="0" xfId="85" applyFont="1" applyFill="1" applyAlignment="1">
      <alignment horizontal="center"/>
    </xf>
    <xf numFmtId="0" fontId="9" fillId="24" borderId="0" xfId="85" applyFont="1" applyFill="1" applyAlignment="1">
      <alignment horizontal="center" wrapText="1"/>
    </xf>
    <xf numFmtId="0" fontId="7" fillId="24" borderId="0" xfId="85" quotePrefix="1" applyFont="1" applyFill="1"/>
    <xf numFmtId="0" fontId="58" fillId="24" borderId="0" xfId="85" applyFont="1" applyFill="1"/>
    <xf numFmtId="0" fontId="70" fillId="24" borderId="0" xfId="85" applyFont="1" applyFill="1"/>
    <xf numFmtId="0" fontId="10" fillId="24" borderId="0" xfId="85" applyFont="1" applyFill="1"/>
    <xf numFmtId="0" fontId="59" fillId="24" borderId="0" xfId="85" applyFont="1" applyFill="1"/>
    <xf numFmtId="0" fontId="12" fillId="24" borderId="0" xfId="85" applyFont="1" applyFill="1" applyAlignment="1">
      <alignment horizontal="center"/>
    </xf>
    <xf numFmtId="0" fontId="5" fillId="24" borderId="0" xfId="85" applyFill="1" applyAlignment="1">
      <alignment horizontal="center"/>
    </xf>
    <xf numFmtId="44" fontId="5" fillId="24" borderId="0" xfId="33" applyFont="1" applyFill="1"/>
    <xf numFmtId="0" fontId="5" fillId="24" borderId="0" xfId="160" applyFill="1"/>
    <xf numFmtId="166" fontId="5" fillId="24" borderId="0" xfId="85" applyNumberFormat="1" applyFill="1"/>
    <xf numFmtId="44" fontId="5" fillId="24" borderId="0" xfId="100" applyFont="1" applyFill="1"/>
    <xf numFmtId="0" fontId="5" fillId="24" borderId="0" xfId="160" quotePrefix="1" applyFill="1"/>
    <xf numFmtId="9" fontId="0" fillId="24" borderId="0" xfId="57" applyFont="1" applyFill="1"/>
    <xf numFmtId="166" fontId="5" fillId="24" borderId="0" xfId="160" applyNumberFormat="1" applyFill="1"/>
    <xf numFmtId="166" fontId="8" fillId="24" borderId="0" xfId="85" applyNumberFormat="1" applyFont="1" applyFill="1"/>
    <xf numFmtId="169" fontId="5" fillId="24" borderId="0" xfId="100" applyNumberFormat="1" applyFont="1" applyFill="1"/>
    <xf numFmtId="169" fontId="5" fillId="24" borderId="0" xfId="85" applyNumberFormat="1" applyFill="1"/>
    <xf numFmtId="169" fontId="16" fillId="24" borderId="0" xfId="100" applyNumberFormat="1" applyFont="1" applyFill="1"/>
    <xf numFmtId="172" fontId="5" fillId="24" borderId="0" xfId="85" applyNumberFormat="1" applyFill="1"/>
    <xf numFmtId="172" fontId="5" fillId="24" borderId="0" xfId="100" applyNumberFormat="1" applyFont="1" applyFill="1"/>
    <xf numFmtId="44" fontId="7" fillId="24" borderId="0" xfId="100" quotePrefix="1" applyFont="1" applyFill="1"/>
    <xf numFmtId="0" fontId="7" fillId="24" borderId="0" xfId="85" applyFont="1" applyFill="1" applyAlignment="1">
      <alignment horizontal="left"/>
    </xf>
    <xf numFmtId="0" fontId="5" fillId="24" borderId="0" xfId="85" applyFill="1" applyAlignment="1">
      <alignment horizontal="right"/>
    </xf>
    <xf numFmtId="169" fontId="16" fillId="24" borderId="0" xfId="85" applyNumberFormat="1" applyFont="1" applyFill="1"/>
    <xf numFmtId="0" fontId="12" fillId="24" borderId="0" xfId="85" applyFont="1" applyFill="1" applyAlignment="1">
      <alignment horizontal="left"/>
    </xf>
    <xf numFmtId="0" fontId="7" fillId="24" borderId="0" xfId="85" applyFont="1" applyFill="1" applyAlignment="1">
      <alignment horizontal="center"/>
    </xf>
    <xf numFmtId="17" fontId="5" fillId="24" borderId="0" xfId="85" applyNumberFormat="1" applyFill="1"/>
    <xf numFmtId="43" fontId="5" fillId="24" borderId="0" xfId="28" quotePrefix="1" applyFont="1" applyFill="1"/>
    <xf numFmtId="17" fontId="5" fillId="24" borderId="0" xfId="85" applyNumberFormat="1" applyFill="1" applyAlignment="1">
      <alignment horizontal="right"/>
    </xf>
    <xf numFmtId="175" fontId="5" fillId="24" borderId="0" xfId="85" applyNumberFormat="1" applyFill="1"/>
    <xf numFmtId="175" fontId="7" fillId="24" borderId="0" xfId="85" applyNumberFormat="1" applyFont="1" applyFill="1"/>
    <xf numFmtId="0" fontId="7" fillId="24" borderId="0" xfId="85" applyFont="1" applyFill="1" applyAlignment="1">
      <alignment horizontal="right"/>
    </xf>
    <xf numFmtId="171" fontId="7" fillId="24" borderId="0" xfId="100" quotePrefix="1" applyNumberFormat="1" applyFont="1" applyFill="1" applyBorder="1"/>
    <xf numFmtId="0" fontId="5" fillId="24" borderId="0" xfId="85" applyFill="1" applyAlignment="1">
      <alignment horizontal="left"/>
    </xf>
    <xf numFmtId="175" fontId="5" fillId="24" borderId="0" xfId="28" quotePrefix="1" applyNumberFormat="1" applyFont="1" applyFill="1"/>
    <xf numFmtId="0" fontId="7" fillId="24" borderId="0" xfId="85" applyFont="1" applyFill="1" applyAlignment="1">
      <alignment horizontal="center" wrapText="1"/>
    </xf>
    <xf numFmtId="0" fontId="13" fillId="24" borderId="0" xfId="85" applyFont="1" applyFill="1" applyAlignment="1">
      <alignment horizontal="left"/>
    </xf>
    <xf numFmtId="172" fontId="5" fillId="24" borderId="0" xfId="100" quotePrefix="1" applyNumberFormat="1" applyFont="1" applyFill="1"/>
    <xf numFmtId="0" fontId="12" fillId="24" borderId="0" xfId="85" applyFont="1" applyFill="1"/>
    <xf numFmtId="166" fontId="12" fillId="24" borderId="0" xfId="85" applyNumberFormat="1" applyFont="1" applyFill="1"/>
    <xf numFmtId="172" fontId="7" fillId="24" borderId="0" xfId="100" quotePrefix="1" applyNumberFormat="1" applyFont="1" applyFill="1"/>
    <xf numFmtId="169" fontId="0" fillId="24" borderId="0" xfId="100" applyNumberFormat="1" applyFont="1" applyFill="1"/>
    <xf numFmtId="169" fontId="0" fillId="24" borderId="0" xfId="100" quotePrefix="1" applyNumberFormat="1" applyFont="1" applyFill="1"/>
    <xf numFmtId="169" fontId="16" fillId="24" borderId="0" xfId="100" quotePrefix="1" applyNumberFormat="1" applyFont="1" applyFill="1"/>
    <xf numFmtId="169" fontId="7" fillId="24" borderId="0" xfId="85" applyNumberFormat="1" applyFont="1" applyFill="1"/>
    <xf numFmtId="180" fontId="7" fillId="24" borderId="0" xfId="100" quotePrefix="1" applyNumberFormat="1" applyFont="1" applyFill="1"/>
    <xf numFmtId="0" fontId="13" fillId="24" borderId="0" xfId="85" applyFont="1" applyFill="1" applyAlignment="1">
      <alignment horizontal="center"/>
    </xf>
    <xf numFmtId="167" fontId="0" fillId="24" borderId="0" xfId="57" applyNumberFormat="1" applyFont="1" applyFill="1"/>
    <xf numFmtId="167" fontId="13" fillId="24" borderId="0" xfId="57" applyNumberFormat="1" applyFont="1" applyFill="1"/>
    <xf numFmtId="44" fontId="5" fillId="24" borderId="0" xfId="85" applyNumberFormat="1" applyFill="1"/>
    <xf numFmtId="169" fontId="16" fillId="24" borderId="0" xfId="100" applyNumberFormat="1" applyFont="1" applyFill="1" applyBorder="1"/>
    <xf numFmtId="169" fontId="5" fillId="24" borderId="17" xfId="85" applyNumberFormat="1" applyFill="1" applyBorder="1"/>
    <xf numFmtId="44" fontId="5" fillId="24" borderId="17" xfId="85" applyNumberFormat="1" applyFill="1" applyBorder="1"/>
    <xf numFmtId="0" fontId="65" fillId="24" borderId="0" xfId="85" applyFont="1" applyFill="1"/>
    <xf numFmtId="0" fontId="62" fillId="24" borderId="0" xfId="85" applyFont="1" applyFill="1"/>
    <xf numFmtId="0" fontId="45" fillId="24" borderId="0" xfId="85" applyFont="1" applyFill="1"/>
    <xf numFmtId="44" fontId="0" fillId="24" borderId="0" xfId="100" applyFont="1" applyFill="1"/>
    <xf numFmtId="44" fontId="5" fillId="24" borderId="0" xfId="33" applyFont="1" applyFill="1" applyBorder="1"/>
    <xf numFmtId="0" fontId="10" fillId="24" borderId="0" xfId="0" applyFont="1" applyFill="1"/>
    <xf numFmtId="0" fontId="61" fillId="24" borderId="0" xfId="0" applyFont="1" applyFill="1" applyAlignment="1">
      <alignment horizontal="center"/>
    </xf>
    <xf numFmtId="44" fontId="8" fillId="24" borderId="0" xfId="33" applyFont="1" applyFill="1"/>
    <xf numFmtId="0" fontId="5" fillId="24" borderId="0" xfId="0" applyFont="1" applyFill="1" applyAlignment="1">
      <alignment horizontal="center"/>
    </xf>
    <xf numFmtId="44" fontId="45" fillId="24" borderId="38" xfId="33" applyFont="1" applyFill="1" applyBorder="1"/>
    <xf numFmtId="44" fontId="45" fillId="24" borderId="0" xfId="33" applyFont="1" applyFill="1"/>
    <xf numFmtId="166" fontId="8" fillId="24" borderId="0" xfId="0" applyNumberFormat="1" applyFont="1" applyFill="1"/>
    <xf numFmtId="3" fontId="6" fillId="24" borderId="0" xfId="0" applyNumberFormat="1" applyFont="1" applyFill="1"/>
    <xf numFmtId="3" fontId="8" fillId="24" borderId="0" xfId="0" applyNumberFormat="1" applyFont="1" applyFill="1"/>
    <xf numFmtId="169" fontId="45" fillId="24" borderId="0" xfId="33" applyNumberFormat="1" applyFont="1" applyFill="1"/>
    <xf numFmtId="0" fontId="45" fillId="24" borderId="0" xfId="0" applyFont="1" applyFill="1"/>
    <xf numFmtId="169" fontId="45" fillId="24" borderId="17" xfId="33" applyNumberFormat="1" applyFont="1" applyFill="1" applyBorder="1"/>
    <xf numFmtId="171" fontId="0" fillId="24" borderId="0" xfId="33" applyNumberFormat="1" applyFont="1" applyFill="1"/>
    <xf numFmtId="171" fontId="6" fillId="24" borderId="0" xfId="33" applyNumberFormat="1" applyFont="1" applyFill="1"/>
    <xf numFmtId="172" fontId="6" fillId="24" borderId="0" xfId="33" applyNumberFormat="1" applyFont="1" applyFill="1"/>
    <xf numFmtId="171" fontId="7" fillId="24" borderId="0" xfId="33" quotePrefix="1" applyNumberFormat="1" applyFont="1" applyFill="1"/>
    <xf numFmtId="169" fontId="16" fillId="24" borderId="0" xfId="0" applyNumberFormat="1" applyFont="1" applyFill="1"/>
    <xf numFmtId="169" fontId="0" fillId="24" borderId="0" xfId="33" applyNumberFormat="1" applyFont="1" applyFill="1"/>
    <xf numFmtId="175" fontId="6" fillId="24" borderId="0" xfId="28" quotePrefix="1" applyNumberFormat="1" applyFont="1" applyFill="1" applyBorder="1"/>
    <xf numFmtId="43" fontId="6" fillId="24" borderId="0" xfId="28" quotePrefix="1" applyFont="1" applyFill="1"/>
    <xf numFmtId="43" fontId="6" fillId="24" borderId="0" xfId="28" quotePrefix="1" applyFont="1" applyFill="1" applyBorder="1"/>
    <xf numFmtId="0" fontId="6" fillId="24" borderId="0" xfId="0" applyFont="1" applyFill="1"/>
    <xf numFmtId="43" fontId="6" fillId="24" borderId="0" xfId="28" applyFont="1" applyFill="1" applyBorder="1" applyAlignment="1">
      <alignment horizontal="right"/>
    </xf>
    <xf numFmtId="0" fontId="6" fillId="24" borderId="0" xfId="0" applyFont="1" applyFill="1" applyAlignment="1">
      <alignment horizontal="left"/>
    </xf>
    <xf numFmtId="175" fontId="6" fillId="24" borderId="0" xfId="28" quotePrefix="1" applyNumberFormat="1" applyFont="1" applyFill="1"/>
    <xf numFmtId="172" fontId="6" fillId="24" borderId="0" xfId="33" quotePrefix="1" applyNumberFormat="1" applyFont="1" applyFill="1"/>
    <xf numFmtId="0" fontId="12" fillId="24" borderId="0" xfId="0" applyFont="1" applyFill="1"/>
    <xf numFmtId="166" fontId="12" fillId="24" borderId="0" xfId="0" applyNumberFormat="1" applyFont="1" applyFill="1"/>
    <xf numFmtId="172" fontId="7" fillId="24" borderId="0" xfId="33" quotePrefix="1" applyNumberFormat="1" applyFont="1" applyFill="1"/>
    <xf numFmtId="169" fontId="0" fillId="24" borderId="0" xfId="33" quotePrefix="1" applyNumberFormat="1" applyFont="1" applyFill="1"/>
    <xf numFmtId="169" fontId="16" fillId="24" borderId="0" xfId="33" applyNumberFormat="1" applyFont="1" applyFill="1"/>
    <xf numFmtId="169" fontId="16" fillId="24" borderId="0" xfId="33" quotePrefix="1" applyNumberFormat="1" applyFont="1" applyFill="1"/>
    <xf numFmtId="169" fontId="7" fillId="24" borderId="0" xfId="0" applyNumberFormat="1" applyFont="1" applyFill="1"/>
    <xf numFmtId="0" fontId="0" fillId="24" borderId="11" xfId="0" applyFill="1" applyBorder="1"/>
    <xf numFmtId="0" fontId="0" fillId="24" borderId="12" xfId="0" applyFill="1" applyBorder="1"/>
    <xf numFmtId="0" fontId="0" fillId="24" borderId="13" xfId="0" applyFill="1" applyBorder="1"/>
    <xf numFmtId="0" fontId="0" fillId="24" borderId="14" xfId="0" applyFill="1" applyBorder="1" applyAlignment="1">
      <alignment horizontal="center"/>
    </xf>
    <xf numFmtId="0" fontId="0" fillId="24" borderId="15" xfId="0" applyFill="1" applyBorder="1"/>
    <xf numFmtId="0" fontId="6" fillId="24" borderId="0" xfId="0" applyFont="1" applyFill="1" applyAlignment="1">
      <alignment horizontal="center"/>
    </xf>
    <xf numFmtId="0" fontId="13" fillId="24" borderId="14" xfId="0" applyFont="1" applyFill="1" applyBorder="1" applyAlignment="1">
      <alignment horizontal="center"/>
    </xf>
    <xf numFmtId="165" fontId="0" fillId="24" borderId="14" xfId="0" applyNumberFormat="1" applyFill="1" applyBorder="1"/>
    <xf numFmtId="0" fontId="0" fillId="24" borderId="16" xfId="0" applyFill="1" applyBorder="1"/>
    <xf numFmtId="0" fontId="0" fillId="24" borderId="17" xfId="0" applyFill="1" applyBorder="1"/>
    <xf numFmtId="0" fontId="0" fillId="24" borderId="18" xfId="0" applyFill="1" applyBorder="1"/>
    <xf numFmtId="180" fontId="7" fillId="24" borderId="0" xfId="33" quotePrefix="1" applyNumberFormat="1" applyFont="1" applyFill="1"/>
    <xf numFmtId="0" fontId="13" fillId="24" borderId="0" xfId="0" applyFont="1" applyFill="1" applyAlignment="1">
      <alignment horizontal="center"/>
    </xf>
    <xf numFmtId="0" fontId="0" fillId="49" borderId="0" xfId="0" applyFill="1"/>
    <xf numFmtId="44" fontId="8" fillId="49" borderId="0" xfId="33" applyFont="1" applyFill="1"/>
    <xf numFmtId="39" fontId="6" fillId="24" borderId="0" xfId="0" quotePrefix="1" applyNumberFormat="1" applyFont="1" applyFill="1"/>
    <xf numFmtId="0" fontId="6" fillId="24" borderId="0" xfId="0" applyFont="1" applyFill="1" applyAlignment="1">
      <alignment wrapText="1"/>
    </xf>
    <xf numFmtId="10" fontId="8" fillId="24" borderId="0" xfId="57" applyNumberFormat="1" applyFont="1" applyFill="1"/>
    <xf numFmtId="173" fontId="8" fillId="24" borderId="0" xfId="57" quotePrefix="1" applyNumberFormat="1" applyFont="1" applyFill="1"/>
    <xf numFmtId="9" fontId="8" fillId="24" borderId="0" xfId="57" quotePrefix="1" applyFont="1" applyFill="1"/>
    <xf numFmtId="9" fontId="6" fillId="24" borderId="0" xfId="57" quotePrefix="1" applyFont="1" applyFill="1"/>
    <xf numFmtId="9" fontId="9" fillId="24" borderId="0" xfId="57" applyFont="1" applyFill="1"/>
    <xf numFmtId="9" fontId="8" fillId="24" borderId="0" xfId="57" applyFont="1" applyFill="1"/>
    <xf numFmtId="9" fontId="8" fillId="24" borderId="0" xfId="57" quotePrefix="1" applyFont="1" applyFill="1" applyAlignment="1">
      <alignment horizontal="center"/>
    </xf>
    <xf numFmtId="1" fontId="8" fillId="24" borderId="0" xfId="57" quotePrefix="1" applyNumberFormat="1" applyFont="1" applyFill="1"/>
    <xf numFmtId="17" fontId="9" fillId="24" borderId="0" xfId="0" applyNumberFormat="1" applyFont="1" applyFill="1"/>
    <xf numFmtId="0" fontId="15" fillId="24" borderId="0" xfId="49" applyFill="1" applyAlignment="1" applyProtection="1"/>
    <xf numFmtId="38" fontId="8" fillId="24" borderId="0" xfId="0" applyNumberFormat="1" applyFont="1" applyFill="1" applyAlignment="1">
      <alignment horizontal="right"/>
    </xf>
    <xf numFmtId="174" fontId="6" fillId="24" borderId="0" xfId="28" applyNumberFormat="1" applyFont="1" applyFill="1"/>
    <xf numFmtId="173" fontId="0" fillId="24" borderId="0" xfId="0" applyNumberFormat="1" applyFill="1"/>
    <xf numFmtId="9" fontId="0" fillId="24" borderId="0" xfId="57" applyFont="1" applyFill="1" applyAlignment="1"/>
    <xf numFmtId="174" fontId="18" fillId="24" borderId="0" xfId="28" applyNumberFormat="1" applyFont="1" applyFill="1" applyAlignment="1">
      <alignment horizontal="center"/>
    </xf>
    <xf numFmtId="173" fontId="8" fillId="24" borderId="0" xfId="57" applyNumberFormat="1" applyFont="1" applyFill="1"/>
    <xf numFmtId="173" fontId="8" fillId="24" borderId="0" xfId="0" applyNumberFormat="1" applyFont="1" applyFill="1"/>
    <xf numFmtId="173" fontId="6" fillId="24" borderId="0" xfId="0" applyNumberFormat="1" applyFont="1" applyFill="1"/>
    <xf numFmtId="0" fontId="6" fillId="24" borderId="0" xfId="0" quotePrefix="1" applyFont="1" applyFill="1"/>
    <xf numFmtId="0" fontId="12" fillId="24" borderId="0" xfId="0" applyFont="1" applyFill="1" applyAlignment="1">
      <alignment horizontal="center"/>
    </xf>
    <xf numFmtId="40" fontId="8" fillId="24" borderId="0" xfId="0" applyNumberFormat="1" applyFont="1" applyFill="1" applyAlignment="1">
      <alignment horizontal="right"/>
    </xf>
    <xf numFmtId="177" fontId="6" fillId="24" borderId="0" xfId="0" applyNumberFormat="1" applyFont="1" applyFill="1"/>
    <xf numFmtId="166" fontId="6" fillId="24" borderId="0" xfId="0" applyNumberFormat="1" applyFont="1" applyFill="1"/>
    <xf numFmtId="9" fontId="6" fillId="24" borderId="0" xfId="57" applyFont="1" applyFill="1"/>
    <xf numFmtId="166" fontId="8" fillId="24" borderId="22" xfId="0" applyNumberFormat="1" applyFont="1" applyFill="1" applyBorder="1"/>
    <xf numFmtId="9" fontId="8" fillId="24" borderId="22" xfId="57" applyFont="1" applyFill="1" applyBorder="1"/>
    <xf numFmtId="166" fontId="0" fillId="24" borderId="19" xfId="0" applyNumberFormat="1" applyFill="1" applyBorder="1"/>
    <xf numFmtId="9" fontId="0" fillId="24" borderId="19" xfId="57" applyFont="1" applyFill="1" applyBorder="1"/>
    <xf numFmtId="166" fontId="0" fillId="24" borderId="20" xfId="0" applyNumberFormat="1" applyFill="1" applyBorder="1"/>
    <xf numFmtId="9" fontId="0" fillId="24" borderId="20" xfId="57" applyFont="1" applyFill="1" applyBorder="1"/>
    <xf numFmtId="10" fontId="0" fillId="24" borderId="0" xfId="0" applyNumberFormat="1" applyFill="1" applyAlignment="1">
      <alignment horizontal="center"/>
    </xf>
    <xf numFmtId="167" fontId="18" fillId="24" borderId="21" xfId="57" applyNumberFormat="1" applyFont="1" applyFill="1" applyBorder="1"/>
    <xf numFmtId="167" fontId="6" fillId="24" borderId="0" xfId="0" applyNumberFormat="1" applyFont="1" applyFill="1"/>
    <xf numFmtId="167" fontId="8" fillId="24" borderId="21" xfId="57" applyNumberFormat="1" applyFont="1" applyFill="1" applyBorder="1"/>
    <xf numFmtId="181" fontId="5" fillId="24" borderId="0" xfId="57" applyNumberFormat="1" applyFont="1" applyFill="1"/>
    <xf numFmtId="44" fontId="6" fillId="24" borderId="0" xfId="33" quotePrefix="1" applyFont="1" applyFill="1"/>
    <xf numFmtId="44" fontId="0" fillId="24" borderId="0" xfId="33" applyFont="1" applyFill="1"/>
    <xf numFmtId="44" fontId="6" fillId="24" borderId="0" xfId="33" applyFont="1" applyFill="1"/>
    <xf numFmtId="169" fontId="6" fillId="24" borderId="0" xfId="33" quotePrefix="1" applyNumberFormat="1" applyFont="1" applyFill="1"/>
    <xf numFmtId="169" fontId="6" fillId="24" borderId="0" xfId="33" applyNumberFormat="1" applyFont="1" applyFill="1"/>
    <xf numFmtId="39" fontId="0" fillId="24" borderId="0" xfId="0" applyNumberFormat="1" applyFill="1"/>
    <xf numFmtId="173" fontId="7" fillId="24" borderId="0" xfId="0" applyNumberFormat="1" applyFont="1" applyFill="1" applyAlignment="1">
      <alignment horizontal="center"/>
    </xf>
    <xf numFmtId="168" fontId="18" fillId="24" borderId="0" xfId="0" applyNumberFormat="1" applyFont="1" applyFill="1"/>
    <xf numFmtId="168" fontId="6" fillId="24" borderId="0" xfId="0" applyNumberFormat="1" applyFont="1" applyFill="1"/>
    <xf numFmtId="178" fontId="18" fillId="24" borderId="0" xfId="0" applyNumberFormat="1" applyFont="1" applyFill="1"/>
    <xf numFmtId="1" fontId="6" fillId="24" borderId="0" xfId="0" applyNumberFormat="1" applyFont="1" applyFill="1"/>
    <xf numFmtId="183" fontId="18" fillId="24" borderId="0" xfId="0" applyNumberFormat="1" applyFont="1" applyFill="1"/>
    <xf numFmtId="178" fontId="0" fillId="24" borderId="17" xfId="0" applyNumberFormat="1" applyFill="1" applyBorder="1"/>
    <xf numFmtId="3" fontId="6" fillId="24" borderId="0" xfId="0" applyNumberFormat="1" applyFont="1" applyFill="1" applyAlignment="1">
      <alignment horizontal="right"/>
    </xf>
    <xf numFmtId="168" fontId="6" fillId="24" borderId="0" xfId="0" applyNumberFormat="1" applyFont="1" applyFill="1" applyAlignment="1">
      <alignment horizontal="right"/>
    </xf>
    <xf numFmtId="178" fontId="6" fillId="24" borderId="0" xfId="33" applyNumberFormat="1" applyFont="1" applyFill="1"/>
    <xf numFmtId="0" fontId="6" fillId="24" borderId="0" xfId="0" quotePrefix="1" applyFont="1" applyFill="1" applyAlignment="1">
      <alignment horizontal="center"/>
    </xf>
    <xf numFmtId="168" fontId="6" fillId="24" borderId="0" xfId="0" quotePrefix="1" applyNumberFormat="1" applyFont="1" applyFill="1" applyAlignment="1">
      <alignment horizontal="center"/>
    </xf>
    <xf numFmtId="178" fontId="5" fillId="24" borderId="0" xfId="33" applyNumberFormat="1" applyFont="1" applyFill="1" applyAlignment="1">
      <alignment horizontal="center" wrapText="1"/>
    </xf>
    <xf numFmtId="44" fontId="6" fillId="24" borderId="0" xfId="0" applyNumberFormat="1" applyFont="1" applyFill="1"/>
    <xf numFmtId="164" fontId="0" fillId="24" borderId="0" xfId="0" applyNumberFormat="1" applyFill="1"/>
    <xf numFmtId="44" fontId="0" fillId="24" borderId="0" xfId="33" quotePrefix="1" applyFont="1" applyFill="1"/>
    <xf numFmtId="0" fontId="6" fillId="24" borderId="0" xfId="0" applyFont="1" applyFill="1" applyAlignment="1">
      <alignment horizontal="right"/>
    </xf>
    <xf numFmtId="0" fontId="7" fillId="24" borderId="0" xfId="0" applyFont="1" applyFill="1" applyAlignment="1">
      <alignment horizontal="centerContinuous"/>
    </xf>
    <xf numFmtId="0" fontId="6" fillId="24" borderId="0" xfId="0" applyFont="1" applyFill="1" applyAlignment="1">
      <alignment horizontal="centerContinuous"/>
    </xf>
    <xf numFmtId="3" fontId="0" fillId="24" borderId="0" xfId="0" applyNumberFormat="1" applyFill="1" applyAlignment="1">
      <alignment horizontal="center"/>
    </xf>
    <xf numFmtId="3" fontId="0" fillId="24" borderId="17" xfId="0" applyNumberFormat="1" applyFill="1" applyBorder="1" applyAlignment="1">
      <alignment horizontal="center"/>
    </xf>
    <xf numFmtId="169" fontId="8" fillId="24" borderId="0" xfId="33" applyNumberFormat="1" applyFont="1" applyFill="1"/>
    <xf numFmtId="44" fontId="0" fillId="24" borderId="0" xfId="33" quotePrefix="1" applyFont="1" applyFill="1" applyAlignment="1">
      <alignment horizontal="right"/>
    </xf>
    <xf numFmtId="44" fontId="0" fillId="24" borderId="0" xfId="33" applyFont="1" applyFill="1" applyAlignment="1">
      <alignment horizontal="center"/>
    </xf>
    <xf numFmtId="10" fontId="0" fillId="24" borderId="0" xfId="57" applyNumberFormat="1" applyFont="1" applyFill="1"/>
    <xf numFmtId="174" fontId="0" fillId="24" borderId="0" xfId="28" applyNumberFormat="1" applyFont="1" applyFill="1"/>
    <xf numFmtId="169" fontId="0" fillId="24" borderId="0" xfId="57" applyNumberFormat="1" applyFont="1" applyFill="1"/>
    <xf numFmtId="176" fontId="7" fillId="24" borderId="0" xfId="28" applyNumberFormat="1" applyFont="1" applyFill="1"/>
    <xf numFmtId="43" fontId="9" fillId="24" borderId="0" xfId="28" applyFont="1" applyFill="1"/>
    <xf numFmtId="176" fontId="6" fillId="24" borderId="0" xfId="28" quotePrefix="1" applyNumberFormat="1" applyFont="1" applyFill="1"/>
    <xf numFmtId="44" fontId="67" fillId="24" borderId="0" xfId="33" quotePrefix="1" applyFont="1" applyFill="1" applyBorder="1" applyAlignment="1">
      <alignment horizontal="right"/>
    </xf>
    <xf numFmtId="44" fontId="67" fillId="24" borderId="0" xfId="33" applyFont="1" applyFill="1" applyBorder="1"/>
    <xf numFmtId="0" fontId="67" fillId="24" borderId="0" xfId="0" applyFont="1" applyFill="1"/>
    <xf numFmtId="44" fontId="66" fillId="24" borderId="0" xfId="33" applyFont="1" applyFill="1" applyBorder="1" applyAlignment="1">
      <alignment horizontal="right"/>
    </xf>
    <xf numFmtId="44" fontId="5" fillId="50" borderId="0" xfId="33" applyFont="1" applyFill="1"/>
    <xf numFmtId="166" fontId="5" fillId="51" borderId="0" xfId="85" applyNumberFormat="1" applyFill="1"/>
    <xf numFmtId="0" fontId="52" fillId="0" borderId="0" xfId="85" applyFont="1"/>
    <xf numFmtId="0" fontId="52" fillId="0" borderId="0" xfId="85" applyFont="1" applyAlignment="1">
      <alignment wrapText="1"/>
    </xf>
    <xf numFmtId="0" fontId="74" fillId="52" borderId="0" xfId="85" applyFont="1" applyFill="1"/>
    <xf numFmtId="171" fontId="0" fillId="24" borderId="0" xfId="0" applyNumberFormat="1" applyFill="1"/>
    <xf numFmtId="0" fontId="5" fillId="24" borderId="0" xfId="85" applyFill="1" applyAlignment="1">
      <alignment horizontal="center" vertical="center" wrapText="1"/>
    </xf>
    <xf numFmtId="0" fontId="74" fillId="24" borderId="0" xfId="85" applyFont="1" applyFill="1"/>
    <xf numFmtId="0" fontId="77" fillId="24" borderId="0" xfId="85" applyFont="1" applyFill="1" applyAlignment="1">
      <alignment horizontal="left"/>
    </xf>
    <xf numFmtId="169" fontId="5" fillId="24" borderId="0" xfId="100" quotePrefix="1" applyNumberFormat="1" applyFont="1" applyFill="1"/>
    <xf numFmtId="0" fontId="5" fillId="24" borderId="15" xfId="85" applyFill="1" applyBorder="1"/>
    <xf numFmtId="0" fontId="78" fillId="24" borderId="0" xfId="0" applyFont="1" applyFill="1"/>
    <xf numFmtId="0" fontId="72" fillId="24" borderId="0" xfId="0" applyFont="1" applyFill="1"/>
    <xf numFmtId="175" fontId="0" fillId="0" borderId="0" xfId="0" applyNumberFormat="1"/>
    <xf numFmtId="166" fontId="8" fillId="24" borderId="23" xfId="0" applyNumberFormat="1" applyFont="1" applyFill="1" applyBorder="1"/>
    <xf numFmtId="0" fontId="50" fillId="24" borderId="23" xfId="0" quotePrefix="1" applyFont="1" applyFill="1" applyBorder="1" applyAlignment="1">
      <alignment horizontal="center"/>
    </xf>
    <xf numFmtId="14" fontId="0" fillId="24" borderId="0" xfId="0" applyNumberFormat="1" applyFill="1"/>
    <xf numFmtId="44" fontId="46" fillId="24" borderId="23" xfId="33" applyFont="1" applyFill="1" applyBorder="1"/>
    <xf numFmtId="0" fontId="7" fillId="24" borderId="23" xfId="0" applyFont="1" applyFill="1" applyBorder="1" applyAlignment="1">
      <alignment horizontal="center" wrapText="1"/>
    </xf>
    <xf numFmtId="44" fontId="7" fillId="24" borderId="0" xfId="33" quotePrefix="1" applyFont="1" applyFill="1" applyBorder="1"/>
    <xf numFmtId="0" fontId="81" fillId="24" borderId="0" xfId="0" applyFont="1" applyFill="1" applyAlignment="1">
      <alignment horizontal="left"/>
    </xf>
    <xf numFmtId="17" fontId="81" fillId="24" borderId="0" xfId="0" applyNumberFormat="1" applyFont="1" applyFill="1"/>
    <xf numFmtId="0" fontId="81" fillId="24" borderId="0" xfId="0" applyFont="1" applyFill="1"/>
    <xf numFmtId="9" fontId="81" fillId="24" borderId="0" xfId="57" quotePrefix="1" applyFont="1" applyFill="1" applyBorder="1"/>
    <xf numFmtId="10" fontId="81" fillId="24" borderId="0" xfId="0" applyNumberFormat="1" applyFont="1" applyFill="1"/>
    <xf numFmtId="174" fontId="81" fillId="24" borderId="0" xfId="28" applyNumberFormat="1" applyFont="1" applyFill="1" applyBorder="1"/>
    <xf numFmtId="3" fontId="81" fillId="24" borderId="0" xfId="0" applyNumberFormat="1" applyFont="1" applyFill="1"/>
    <xf numFmtId="0" fontId="74" fillId="24" borderId="0" xfId="85" applyFont="1" applyFill="1" applyAlignment="1">
      <alignment vertical="center" wrapText="1"/>
    </xf>
    <xf numFmtId="174" fontId="5" fillId="24" borderId="0" xfId="28" applyNumberFormat="1" applyFont="1" applyFill="1" applyBorder="1"/>
    <xf numFmtId="178" fontId="7" fillId="24" borderId="0" xfId="85" applyNumberFormat="1" applyFont="1" applyFill="1"/>
    <xf numFmtId="178" fontId="60" fillId="24" borderId="0" xfId="85" quotePrefix="1" applyNumberFormat="1" applyFont="1" applyFill="1" applyAlignment="1">
      <alignment horizontal="right"/>
    </xf>
    <xf numFmtId="0" fontId="5" fillId="24" borderId="0" xfId="85" quotePrefix="1" applyFill="1" applyAlignment="1">
      <alignment horizontal="center"/>
    </xf>
    <xf numFmtId="0" fontId="52" fillId="26" borderId="0" xfId="85" applyFont="1" applyFill="1"/>
    <xf numFmtId="0" fontId="17" fillId="24" borderId="0" xfId="85" applyFont="1" applyFill="1"/>
    <xf numFmtId="0" fontId="73" fillId="24" borderId="0" xfId="0" applyFont="1" applyFill="1"/>
    <xf numFmtId="44" fontId="5" fillId="0" borderId="0" xfId="33" applyFont="1" applyFill="1"/>
    <xf numFmtId="0" fontId="0" fillId="24" borderId="23" xfId="0" applyFill="1" applyBorder="1" applyAlignment="1">
      <alignment horizontal="right"/>
    </xf>
    <xf numFmtId="168" fontId="82" fillId="24" borderId="0" xfId="0" applyNumberFormat="1" applyFont="1" applyFill="1"/>
    <xf numFmtId="0" fontId="80" fillId="24" borderId="0" xfId="0" applyFont="1" applyFill="1"/>
    <xf numFmtId="17" fontId="80" fillId="24" borderId="0" xfId="0" applyNumberFormat="1" applyFont="1" applyFill="1" applyAlignment="1">
      <alignment horizontal="right"/>
    </xf>
    <xf numFmtId="9" fontId="9" fillId="24" borderId="0" xfId="57" applyFont="1" applyFill="1" applyBorder="1"/>
    <xf numFmtId="38" fontId="8" fillId="24" borderId="23" xfId="0" applyNumberFormat="1" applyFont="1" applyFill="1" applyBorder="1" applyAlignment="1">
      <alignment horizontal="right"/>
    </xf>
    <xf numFmtId="0" fontId="8" fillId="24" borderId="23" xfId="28" applyNumberFormat="1" applyFont="1" applyFill="1" applyBorder="1"/>
    <xf numFmtId="10" fontId="8" fillId="24" borderId="23" xfId="57" quotePrefix="1" applyNumberFormat="1" applyFont="1" applyFill="1" applyBorder="1"/>
    <xf numFmtId="0" fontId="57" fillId="24" borderId="0" xfId="0" applyFont="1" applyFill="1"/>
    <xf numFmtId="168" fontId="8" fillId="24" borderId="23" xfId="0" applyNumberFormat="1" applyFont="1" applyFill="1" applyBorder="1"/>
    <xf numFmtId="168" fontId="71" fillId="24" borderId="23" xfId="0" applyNumberFormat="1" applyFont="1" applyFill="1" applyBorder="1"/>
    <xf numFmtId="183" fontId="79" fillId="24" borderId="23" xfId="0" applyNumberFormat="1" applyFont="1" applyFill="1" applyBorder="1"/>
    <xf numFmtId="183" fontId="8" fillId="24" borderId="23" xfId="0" applyNumberFormat="1" applyFont="1" applyFill="1" applyBorder="1"/>
    <xf numFmtId="0" fontId="60" fillId="24" borderId="23" xfId="0" applyFont="1" applyFill="1" applyBorder="1"/>
    <xf numFmtId="0" fontId="80" fillId="24" borderId="23" xfId="0" applyFont="1" applyFill="1" applyBorder="1"/>
    <xf numFmtId="10" fontId="8" fillId="24" borderId="23" xfId="0" applyNumberFormat="1" applyFont="1" applyFill="1" applyBorder="1"/>
    <xf numFmtId="40" fontId="8" fillId="24" borderId="23" xfId="0" applyNumberFormat="1" applyFont="1" applyFill="1" applyBorder="1" applyAlignment="1">
      <alignment horizontal="right"/>
    </xf>
    <xf numFmtId="9" fontId="8" fillId="24" borderId="23" xfId="57" applyFont="1" applyFill="1" applyBorder="1"/>
    <xf numFmtId="0" fontId="60" fillId="24" borderId="0" xfId="0" applyFont="1" applyFill="1"/>
    <xf numFmtId="178" fontId="60" fillId="24" borderId="17" xfId="85" quotePrefix="1" applyNumberFormat="1" applyFont="1" applyFill="1" applyBorder="1" applyAlignment="1">
      <alignment horizontal="right"/>
    </xf>
    <xf numFmtId="0" fontId="17" fillId="24" borderId="0" xfId="0" applyFont="1" applyFill="1"/>
    <xf numFmtId="0" fontId="83" fillId="24" borderId="0" xfId="0" applyFont="1" applyFill="1"/>
    <xf numFmtId="0" fontId="17" fillId="24" borderId="0" xfId="85" applyFont="1" applyFill="1" applyAlignment="1">
      <alignment horizontal="left"/>
    </xf>
    <xf numFmtId="0" fontId="70" fillId="24" borderId="0" xfId="0" applyFont="1" applyFill="1" applyAlignment="1">
      <alignment horizontal="left"/>
    </xf>
    <xf numFmtId="0" fontId="17" fillId="24" borderId="0" xfId="0" applyFont="1" applyFill="1" applyAlignment="1">
      <alignment horizontal="center"/>
    </xf>
    <xf numFmtId="0" fontId="73" fillId="24" borderId="0" xfId="0" applyFont="1" applyFill="1" applyAlignment="1">
      <alignment horizontal="center" wrapText="1"/>
    </xf>
    <xf numFmtId="0" fontId="84" fillId="24" borderId="0" xfId="0" applyFont="1" applyFill="1"/>
    <xf numFmtId="0" fontId="85" fillId="24" borderId="0" xfId="0" applyFont="1" applyFill="1" applyAlignment="1">
      <alignment horizontal="center"/>
    </xf>
    <xf numFmtId="44" fontId="17" fillId="24" borderId="0" xfId="33" applyFont="1" applyFill="1" applyBorder="1"/>
    <xf numFmtId="44" fontId="86" fillId="50" borderId="0" xfId="33" applyFont="1" applyFill="1" applyBorder="1"/>
    <xf numFmtId="0" fontId="17" fillId="50" borderId="0" xfId="0" applyFont="1" applyFill="1"/>
    <xf numFmtId="44" fontId="86" fillId="48" borderId="0" xfId="33" applyFont="1" applyFill="1" applyBorder="1"/>
    <xf numFmtId="0" fontId="17" fillId="48" borderId="0" xfId="85" quotePrefix="1" applyFont="1" applyFill="1"/>
    <xf numFmtId="0" fontId="17" fillId="48" borderId="0" xfId="0" applyFont="1" applyFill="1"/>
    <xf numFmtId="0" fontId="17" fillId="49" borderId="0" xfId="0" applyFont="1" applyFill="1"/>
    <xf numFmtId="44" fontId="87" fillId="49" borderId="0" xfId="33" applyFont="1" applyFill="1" applyBorder="1"/>
    <xf numFmtId="44" fontId="88" fillId="24" borderId="0" xfId="33" applyFont="1" applyFill="1" applyBorder="1"/>
    <xf numFmtId="0" fontId="17" fillId="24" borderId="0" xfId="0" quotePrefix="1" applyFont="1" applyFill="1"/>
    <xf numFmtId="0" fontId="73" fillId="24" borderId="0" xfId="85" applyFont="1" applyFill="1"/>
    <xf numFmtId="169" fontId="0" fillId="24" borderId="0" xfId="100" applyNumberFormat="1" applyFont="1" applyFill="1" applyBorder="1"/>
    <xf numFmtId="0" fontId="75" fillId="26" borderId="0" xfId="85" applyFont="1" applyFill="1"/>
    <xf numFmtId="0" fontId="9" fillId="26" borderId="0" xfId="85" applyFont="1" applyFill="1"/>
    <xf numFmtId="172" fontId="5" fillId="24" borderId="0" xfId="100" quotePrefix="1" applyNumberFormat="1" applyFont="1" applyFill="1" applyBorder="1"/>
    <xf numFmtId="172" fontId="7" fillId="24" borderId="0" xfId="100" quotePrefix="1" applyNumberFormat="1" applyFont="1" applyFill="1" applyBorder="1"/>
    <xf numFmtId="180" fontId="7" fillId="24" borderId="0" xfId="100" quotePrefix="1" applyNumberFormat="1" applyFont="1" applyFill="1" applyBorder="1"/>
    <xf numFmtId="169" fontId="0" fillId="24" borderId="0" xfId="100" quotePrefix="1" applyNumberFormat="1" applyFont="1" applyFill="1" applyBorder="1"/>
    <xf numFmtId="169" fontId="16" fillId="24" borderId="0" xfId="100" quotePrefix="1" applyNumberFormat="1" applyFont="1" applyFill="1" applyBorder="1"/>
    <xf numFmtId="0" fontId="76" fillId="50" borderId="0" xfId="85" applyFont="1" applyFill="1" applyAlignment="1">
      <alignment horizontal="left" vertical="center" wrapText="1"/>
    </xf>
    <xf numFmtId="0" fontId="0" fillId="24" borderId="23" xfId="0" applyFill="1" applyBorder="1" applyAlignment="1">
      <alignment horizontal="right"/>
    </xf>
    <xf numFmtId="0" fontId="5" fillId="24" borderId="37" xfId="0" applyFont="1" applyFill="1" applyBorder="1" applyAlignment="1">
      <alignment horizontal="left"/>
    </xf>
    <xf numFmtId="0" fontId="0" fillId="24" borderId="33" xfId="0" applyFill="1" applyBorder="1" applyAlignment="1">
      <alignment horizontal="left"/>
    </xf>
    <xf numFmtId="0" fontId="0" fillId="24" borderId="34" xfId="0" applyFill="1" applyBorder="1" applyAlignment="1">
      <alignment horizontal="left"/>
    </xf>
    <xf numFmtId="0" fontId="5" fillId="24" borderId="32" xfId="0" applyFont="1" applyFill="1" applyBorder="1" applyAlignment="1">
      <alignment horizontal="center"/>
    </xf>
    <xf numFmtId="0" fontId="5" fillId="24" borderId="24" xfId="0" applyFont="1" applyFill="1" applyBorder="1" applyAlignment="1">
      <alignment horizontal="center"/>
    </xf>
    <xf numFmtId="178" fontId="5" fillId="24" borderId="17" xfId="33" applyNumberFormat="1" applyFont="1" applyFill="1" applyBorder="1" applyAlignment="1">
      <alignment horizontal="center"/>
    </xf>
    <xf numFmtId="4" fontId="0" fillId="24" borderId="0" xfId="0" applyNumberFormat="1" applyFill="1" applyAlignment="1">
      <alignment horizontal="center" wrapText="1"/>
    </xf>
    <xf numFmtId="0" fontId="74" fillId="50" borderId="0" xfId="0" applyFont="1" applyFill="1" applyAlignment="1">
      <alignment horizontal="left" wrapText="1"/>
    </xf>
    <xf numFmtId="0" fontId="52" fillId="24" borderId="0" xfId="85" applyFont="1" applyFill="1" applyAlignment="1">
      <alignment horizontal="left" vertical="center" wrapText="1"/>
    </xf>
    <xf numFmtId="0" fontId="74" fillId="24" borderId="0" xfId="85" applyFont="1" applyFill="1" applyAlignment="1">
      <alignment horizontal="left" vertical="center" wrapText="1"/>
    </xf>
    <xf numFmtId="0" fontId="76" fillId="24" borderId="0" xfId="85" applyFont="1" applyFill="1" applyAlignment="1">
      <alignment horizontal="left" vertical="center" wrapText="1"/>
    </xf>
    <xf numFmtId="0" fontId="75" fillId="26" borderId="0" xfId="85" applyFont="1" applyFill="1" applyAlignment="1">
      <alignment horizontal="left" vertical="center" wrapText="1"/>
    </xf>
    <xf numFmtId="0" fontId="73" fillId="24" borderId="0" xfId="0" applyFont="1" applyFill="1" applyAlignment="1">
      <alignment horizontal="left" wrapText="1"/>
    </xf>
    <xf numFmtId="0" fontId="52" fillId="0" borderId="0" xfId="85" applyFont="1" applyAlignment="1">
      <alignment horizontal="left" vertical="center" wrapText="1"/>
    </xf>
    <xf numFmtId="0" fontId="52" fillId="0" borderId="15" xfId="85" applyFont="1" applyBorder="1" applyAlignment="1">
      <alignment horizontal="left" vertical="center" wrapText="1"/>
    </xf>
    <xf numFmtId="0" fontId="76" fillId="50" borderId="0" xfId="85" applyFont="1" applyFill="1" applyAlignment="1">
      <alignment horizontal="left" vertical="center" wrapText="1"/>
    </xf>
    <xf numFmtId="0" fontId="65" fillId="24" borderId="0" xfId="85" applyFont="1" applyFill="1" applyAlignment="1">
      <alignment horizontal="left" vertical="center" wrapText="1"/>
    </xf>
  </cellXfs>
  <cellStyles count="16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28" builtinId="3"/>
    <cellStyle name="Comma 2" xfId="29" xr:uid="{00000000-0005-0000-0000-00001C000000}"/>
    <cellStyle name="Comma 2 2" xfId="157" xr:uid="{00000000-0005-0000-0000-00001D000000}"/>
    <cellStyle name="Comma 3" xfId="30" xr:uid="{00000000-0005-0000-0000-00001E000000}"/>
    <cellStyle name="Comma 3 2" xfId="75" xr:uid="{00000000-0005-0000-0000-00001F000000}"/>
    <cellStyle name="Comma 4" xfId="31" xr:uid="{00000000-0005-0000-0000-000020000000}"/>
    <cellStyle name="Comma 4 2" xfId="99" xr:uid="{00000000-0005-0000-0000-000021000000}"/>
    <cellStyle name="Comma 5" xfId="71" xr:uid="{00000000-0005-0000-0000-000022000000}"/>
    <cellStyle name="Comma 5 2" xfId="74" xr:uid="{00000000-0005-0000-0000-000023000000}"/>
    <cellStyle name="Comma 5 3" xfId="146" xr:uid="{00000000-0005-0000-0000-000024000000}"/>
    <cellStyle name="Comma 6" xfId="83" xr:uid="{00000000-0005-0000-0000-000025000000}"/>
    <cellStyle name="Comma0" xfId="32" xr:uid="{00000000-0005-0000-0000-000026000000}"/>
    <cellStyle name="Currency" xfId="33" builtinId="4"/>
    <cellStyle name="Currency 2" xfId="34" xr:uid="{00000000-0005-0000-0000-000028000000}"/>
    <cellStyle name="Currency 2 2" xfId="35" xr:uid="{00000000-0005-0000-0000-000029000000}"/>
    <cellStyle name="Currency 2 2 2" xfId="100" xr:uid="{00000000-0005-0000-0000-00002A000000}"/>
    <cellStyle name="Currency 2 3" xfId="76" xr:uid="{00000000-0005-0000-0000-00002B000000}"/>
    <cellStyle name="Currency 3" xfId="36" xr:uid="{00000000-0005-0000-0000-00002C000000}"/>
    <cellStyle name="Currency 3 2" xfId="67" xr:uid="{00000000-0005-0000-0000-00002D000000}"/>
    <cellStyle name="Currency 4" xfId="37" xr:uid="{00000000-0005-0000-0000-00002E000000}"/>
    <cellStyle name="Currency 4 2" xfId="101" xr:uid="{00000000-0005-0000-0000-00002F000000}"/>
    <cellStyle name="Currency 5" xfId="69" xr:uid="{00000000-0005-0000-0000-000030000000}"/>
    <cellStyle name="Currency 5 2" xfId="72" xr:uid="{00000000-0005-0000-0000-000031000000}"/>
    <cellStyle name="Currency 5 3" xfId="147" xr:uid="{00000000-0005-0000-0000-000032000000}"/>
    <cellStyle name="Currency0" xfId="38" xr:uid="{00000000-0005-0000-0000-000033000000}"/>
    <cellStyle name="Date" xfId="39" xr:uid="{00000000-0005-0000-0000-000034000000}"/>
    <cellStyle name="Explanatory Text 2" xfId="40" xr:uid="{00000000-0005-0000-0000-000035000000}"/>
    <cellStyle name="Fixed" xfId="41" xr:uid="{00000000-0005-0000-0000-000036000000}"/>
    <cellStyle name="Good 2" xfId="42" xr:uid="{00000000-0005-0000-0000-000037000000}"/>
    <cellStyle name="Heading 1" xfId="43" builtinId="16" customBuiltin="1"/>
    <cellStyle name="Heading 1 2" xfId="44" xr:uid="{00000000-0005-0000-0000-000039000000}"/>
    <cellStyle name="Heading 1 3" xfId="87" xr:uid="{00000000-0005-0000-0000-00003A000000}"/>
    <cellStyle name="Heading 2" xfId="45" builtinId="17" customBuiltin="1"/>
    <cellStyle name="Heading 2 2" xfId="46" xr:uid="{00000000-0005-0000-0000-00003C000000}"/>
    <cellStyle name="Heading 2 3" xfId="88" xr:uid="{00000000-0005-0000-0000-00003D000000}"/>
    <cellStyle name="Heading 3 2" xfId="47" xr:uid="{00000000-0005-0000-0000-00003E000000}"/>
    <cellStyle name="Heading 4 2" xfId="48" xr:uid="{00000000-0005-0000-0000-00003F000000}"/>
    <cellStyle name="Hyperlink" xfId="49" builtinId="8"/>
    <cellStyle name="Hyperlink 2" xfId="97" xr:uid="{00000000-0005-0000-0000-000041000000}"/>
    <cellStyle name="Input 2" xfId="50" xr:uid="{00000000-0005-0000-0000-000042000000}"/>
    <cellStyle name="Linked Cell 2" xfId="51" xr:uid="{00000000-0005-0000-0000-000043000000}"/>
    <cellStyle name="Neutral 2" xfId="52" xr:uid="{00000000-0005-0000-0000-000044000000}"/>
    <cellStyle name="Normal" xfId="0" builtinId="0"/>
    <cellStyle name="Normal 10" xfId="160" xr:uid="{00000000-0005-0000-0000-000046000000}"/>
    <cellStyle name="Normal 11 2" xfId="162" xr:uid="{00000000-0005-0000-0000-000047000000}"/>
    <cellStyle name="Normal 2" xfId="53" xr:uid="{00000000-0005-0000-0000-000048000000}"/>
    <cellStyle name="Normal 2 2" xfId="77" xr:uid="{00000000-0005-0000-0000-000049000000}"/>
    <cellStyle name="Normal 2 2 2" xfId="89" xr:uid="{00000000-0005-0000-0000-00004A000000}"/>
    <cellStyle name="Normal 2 2 2 2" xfId="149" xr:uid="{00000000-0005-0000-0000-00004B000000}"/>
    <cellStyle name="Normal 2 2 3" xfId="90" xr:uid="{00000000-0005-0000-0000-00004C000000}"/>
    <cellStyle name="Normal 2 2 3 2" xfId="150" xr:uid="{00000000-0005-0000-0000-00004D000000}"/>
    <cellStyle name="Normal 2 2 4" xfId="91" xr:uid="{00000000-0005-0000-0000-00004E000000}"/>
    <cellStyle name="Normal 2 2 4 2" xfId="151" xr:uid="{00000000-0005-0000-0000-00004F000000}"/>
    <cellStyle name="Normal 2 2 5" xfId="148" xr:uid="{00000000-0005-0000-0000-000050000000}"/>
    <cellStyle name="Normal 2 3" xfId="78" xr:uid="{00000000-0005-0000-0000-000051000000}"/>
    <cellStyle name="Normal 2 3 2" xfId="92" xr:uid="{00000000-0005-0000-0000-000052000000}"/>
    <cellStyle name="Normal 2 3 2 2" xfId="152" xr:uid="{00000000-0005-0000-0000-000053000000}"/>
    <cellStyle name="Normal 2 3 3" xfId="105" xr:uid="{00000000-0005-0000-0000-000054000000}"/>
    <cellStyle name="Normal 2 4" xfId="85" xr:uid="{00000000-0005-0000-0000-000055000000}"/>
    <cellStyle name="Normal 2 4 2" xfId="107" xr:uid="{00000000-0005-0000-0000-000056000000}"/>
    <cellStyle name="Normal 2 4 3" xfId="153" xr:uid="{00000000-0005-0000-0000-000057000000}"/>
    <cellStyle name="Normal 2 4 4" xfId="163" xr:uid="{00000000-0005-0000-0000-000058000000}"/>
    <cellStyle name="Normal 2 5" xfId="98" xr:uid="{00000000-0005-0000-0000-000059000000}"/>
    <cellStyle name="Normal 2 5 2" xfId="161" xr:uid="{00000000-0005-0000-0000-00005A000000}"/>
    <cellStyle name="Normal 2 6" xfId="108" xr:uid="{00000000-0005-0000-0000-00005B000000}"/>
    <cellStyle name="Normal 3" xfId="54" xr:uid="{00000000-0005-0000-0000-00005C000000}"/>
    <cellStyle name="Normal 3 2" xfId="86" xr:uid="{00000000-0005-0000-0000-00005D000000}"/>
    <cellStyle name="Normal 3 2 2" xfId="102" xr:uid="{00000000-0005-0000-0000-00005E000000}"/>
    <cellStyle name="Normal 3 3" xfId="93" xr:uid="{00000000-0005-0000-0000-00005F000000}"/>
    <cellStyle name="Normal 3 4" xfId="154" xr:uid="{00000000-0005-0000-0000-000060000000}"/>
    <cellStyle name="Normal 4" xfId="79" xr:uid="{00000000-0005-0000-0000-000061000000}"/>
    <cellStyle name="Normal 4 2" xfId="94" xr:uid="{00000000-0005-0000-0000-000062000000}"/>
    <cellStyle name="Normal 4 3" xfId="106" xr:uid="{00000000-0005-0000-0000-000063000000}"/>
    <cellStyle name="Normal 5" xfId="82" xr:uid="{00000000-0005-0000-0000-000064000000}"/>
    <cellStyle name="Note 2" xfId="55" xr:uid="{00000000-0005-0000-0000-000065000000}"/>
    <cellStyle name="Note 2 2" xfId="80" xr:uid="{00000000-0005-0000-0000-000066000000}"/>
    <cellStyle name="Output 2" xfId="56" xr:uid="{00000000-0005-0000-0000-000067000000}"/>
    <cellStyle name="Percent" xfId="57" builtinId="5"/>
    <cellStyle name="Percent 2" xfId="58" xr:uid="{00000000-0005-0000-0000-000069000000}"/>
    <cellStyle name="Percent 2 2" xfId="59" xr:uid="{00000000-0005-0000-0000-00006A000000}"/>
    <cellStyle name="Percent 2 2 2" xfId="103" xr:uid="{00000000-0005-0000-0000-00006B000000}"/>
    <cellStyle name="Percent 2 3" xfId="81" xr:uid="{00000000-0005-0000-0000-00006C000000}"/>
    <cellStyle name="Percent 3" xfId="60" xr:uid="{00000000-0005-0000-0000-00006D000000}"/>
    <cellStyle name="Percent 3 2" xfId="61" xr:uid="{00000000-0005-0000-0000-00006E000000}"/>
    <cellStyle name="Percent 3 2 2" xfId="68" xr:uid="{00000000-0005-0000-0000-00006F000000}"/>
    <cellStyle name="Percent 4" xfId="62" xr:uid="{00000000-0005-0000-0000-000070000000}"/>
    <cellStyle name="Percent 4 2" xfId="104" xr:uid="{00000000-0005-0000-0000-000071000000}"/>
    <cellStyle name="Percent 5" xfId="70" xr:uid="{00000000-0005-0000-0000-000072000000}"/>
    <cellStyle name="Percent 5 2" xfId="73" xr:uid="{00000000-0005-0000-0000-000073000000}"/>
    <cellStyle name="Percent 5 3" xfId="155" xr:uid="{00000000-0005-0000-0000-000074000000}"/>
    <cellStyle name="Percent 6" xfId="84" xr:uid="{00000000-0005-0000-0000-000075000000}"/>
    <cellStyle name="Percent 7" xfId="156" xr:uid="{00000000-0005-0000-0000-000076000000}"/>
    <cellStyle name="SAPBEXaggData" xfId="95" xr:uid="{00000000-0005-0000-0000-000077000000}"/>
    <cellStyle name="SAPBEXaggDataEmph" xfId="109" xr:uid="{00000000-0005-0000-0000-000078000000}"/>
    <cellStyle name="SAPBEXaggItem" xfId="110" xr:uid="{00000000-0005-0000-0000-000079000000}"/>
    <cellStyle name="SAPBEXaggItemX" xfId="111" xr:uid="{00000000-0005-0000-0000-00007A000000}"/>
    <cellStyle name="SAPBEXchaText" xfId="112" xr:uid="{00000000-0005-0000-0000-00007B000000}"/>
    <cellStyle name="SAPBEXexcBad7" xfId="113" xr:uid="{00000000-0005-0000-0000-00007C000000}"/>
    <cellStyle name="SAPBEXexcBad8" xfId="114" xr:uid="{00000000-0005-0000-0000-00007D000000}"/>
    <cellStyle name="SAPBEXexcBad9" xfId="115" xr:uid="{00000000-0005-0000-0000-00007E000000}"/>
    <cellStyle name="SAPBEXexcCritical4" xfId="116" xr:uid="{00000000-0005-0000-0000-00007F000000}"/>
    <cellStyle name="SAPBEXexcCritical5" xfId="117" xr:uid="{00000000-0005-0000-0000-000080000000}"/>
    <cellStyle name="SAPBEXexcCritical6" xfId="118" xr:uid="{00000000-0005-0000-0000-000081000000}"/>
    <cellStyle name="SAPBEXexcGood1" xfId="119" xr:uid="{00000000-0005-0000-0000-000082000000}"/>
    <cellStyle name="SAPBEXexcGood2" xfId="120" xr:uid="{00000000-0005-0000-0000-000083000000}"/>
    <cellStyle name="SAPBEXexcGood3" xfId="121" xr:uid="{00000000-0005-0000-0000-000084000000}"/>
    <cellStyle name="SAPBEXfilterDrill" xfId="122" xr:uid="{00000000-0005-0000-0000-000085000000}"/>
    <cellStyle name="SAPBEXfilterItem" xfId="123" xr:uid="{00000000-0005-0000-0000-000086000000}"/>
    <cellStyle name="SAPBEXfilterText" xfId="124" xr:uid="{00000000-0005-0000-0000-000087000000}"/>
    <cellStyle name="SAPBEXformats" xfId="125" xr:uid="{00000000-0005-0000-0000-000088000000}"/>
    <cellStyle name="SAPBEXheaderItem" xfId="126" xr:uid="{00000000-0005-0000-0000-000089000000}"/>
    <cellStyle name="SAPBEXheaderItem 2" xfId="158" xr:uid="{00000000-0005-0000-0000-00008A000000}"/>
    <cellStyle name="SAPBEXheaderText" xfId="127" xr:uid="{00000000-0005-0000-0000-00008B000000}"/>
    <cellStyle name="SAPBEXheaderText 2" xfId="159" xr:uid="{00000000-0005-0000-0000-00008C000000}"/>
    <cellStyle name="SAPBEXHLevel0" xfId="128" xr:uid="{00000000-0005-0000-0000-00008D000000}"/>
    <cellStyle name="SAPBEXHLevel0X" xfId="129" xr:uid="{00000000-0005-0000-0000-00008E000000}"/>
    <cellStyle name="SAPBEXHLevel1" xfId="130" xr:uid="{00000000-0005-0000-0000-00008F000000}"/>
    <cellStyle name="SAPBEXHLevel1X" xfId="131" xr:uid="{00000000-0005-0000-0000-000090000000}"/>
    <cellStyle name="SAPBEXHLevel2" xfId="132" xr:uid="{00000000-0005-0000-0000-000091000000}"/>
    <cellStyle name="SAPBEXHLevel2X" xfId="133" xr:uid="{00000000-0005-0000-0000-000092000000}"/>
    <cellStyle name="SAPBEXHLevel3" xfId="134" xr:uid="{00000000-0005-0000-0000-000093000000}"/>
    <cellStyle name="SAPBEXHLevel3X" xfId="135" xr:uid="{00000000-0005-0000-0000-000094000000}"/>
    <cellStyle name="SAPBEXresData" xfId="136" xr:uid="{00000000-0005-0000-0000-000095000000}"/>
    <cellStyle name="SAPBEXresDataEmph" xfId="137" xr:uid="{00000000-0005-0000-0000-000096000000}"/>
    <cellStyle name="SAPBEXresItem" xfId="138" xr:uid="{00000000-0005-0000-0000-000097000000}"/>
    <cellStyle name="SAPBEXresItemX" xfId="139" xr:uid="{00000000-0005-0000-0000-000098000000}"/>
    <cellStyle name="SAPBEXstdData" xfId="140" xr:uid="{00000000-0005-0000-0000-000099000000}"/>
    <cellStyle name="SAPBEXstdDataEmph" xfId="141" xr:uid="{00000000-0005-0000-0000-00009A000000}"/>
    <cellStyle name="SAPBEXstdItem" xfId="142" xr:uid="{00000000-0005-0000-0000-00009B000000}"/>
    <cellStyle name="SAPBEXstdItemX" xfId="143" xr:uid="{00000000-0005-0000-0000-00009C000000}"/>
    <cellStyle name="SAPBEXtitle" xfId="144" xr:uid="{00000000-0005-0000-0000-00009D000000}"/>
    <cellStyle name="SAPBEXundefined" xfId="145" xr:uid="{00000000-0005-0000-0000-00009E000000}"/>
    <cellStyle name="Title 2" xfId="63" xr:uid="{00000000-0005-0000-0000-00009F000000}"/>
    <cellStyle name="Total" xfId="64" builtinId="25" customBuiltin="1"/>
    <cellStyle name="Total 2" xfId="65" xr:uid="{00000000-0005-0000-0000-0000A1000000}"/>
    <cellStyle name="Total 3" xfId="96" xr:uid="{00000000-0005-0000-0000-0000A2000000}"/>
    <cellStyle name="Warning Text 2" xfId="66" xr:uid="{00000000-0005-0000-0000-0000A3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FFEBF9"/>
      <color rgb="FF161BF6"/>
      <color rgb="FFF5FEC2"/>
      <color rgb="FF143AF8"/>
      <color rgb="FFFFEDE4"/>
      <color rgb="FFBAFEC4"/>
      <color rgb="FFFFAFF4"/>
      <color rgb="FFFFE5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555171</xdr:colOff>
          <xdr:row>0</xdr:row>
          <xdr:rowOff>5443</xdr:rowOff>
        </xdr:from>
        <xdr:to>
          <xdr:col>7</xdr:col>
          <xdr:colOff>43543</xdr:colOff>
          <xdr:row>2</xdr:row>
          <xdr:rowOff>43543</xdr:rowOff>
        </xdr:to>
        <xdr:sp macro="" textlink="">
          <xdr:nvSpPr>
            <xdr:cNvPr id="47108" name="Button 4" descr="Run Scenario" hidden="1">
              <a:extLst>
                <a:ext uri="{63B3BB69-23CF-44E3-9099-C40C66FF867C}">
                  <a14:compatExt spid="_x0000_s47108"/>
                </a:ext>
                <a:ext uri="{FF2B5EF4-FFF2-40B4-BE49-F238E27FC236}">
                  <a16:creationId xmlns:a16="http://schemas.microsoft.com/office/drawing/2014/main" id="{00000000-0008-0000-0100-000004B8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n-US" sz="1000" b="0" i="0" u="none" strike="noStrike" baseline="0">
                  <a:solidFill>
                    <a:srgbClr val="0000FF"/>
                  </a:solidFill>
                  <a:latin typeface="Arial Black"/>
                </a:rPr>
                <a:t>Run Scenario</a:t>
              </a:r>
            </a:p>
          </xdr:txBody>
        </xdr:sp>
        <xdr:clientData fPrintsWithSheet="0"/>
      </xdr:twoCellAnchor>
    </mc:Choice>
    <mc:Fallback/>
  </mc:AlternateContent>
  <xdr:twoCellAnchor editAs="oneCell">
    <xdr:from>
      <xdr:col>2</xdr:col>
      <xdr:colOff>61689</xdr:colOff>
      <xdr:row>173</xdr:row>
      <xdr:rowOff>32469</xdr:rowOff>
    </xdr:from>
    <xdr:to>
      <xdr:col>10</xdr:col>
      <xdr:colOff>780703</xdr:colOff>
      <xdr:row>189</xdr:row>
      <xdr:rowOff>96618</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4664169" y="29979069"/>
          <a:ext cx="7885971" cy="2746388"/>
        </a:xfrm>
        <a:prstGeom prst="rect">
          <a:avLst/>
        </a:prstGeom>
      </xdr:spPr>
    </xdr:pic>
    <xdr:clientData/>
  </xdr:twoCellAnchor>
  <xdr:twoCellAnchor>
    <xdr:from>
      <xdr:col>4</xdr:col>
      <xdr:colOff>830580</xdr:colOff>
      <xdr:row>170</xdr:row>
      <xdr:rowOff>121920</xdr:rowOff>
    </xdr:from>
    <xdr:to>
      <xdr:col>5</xdr:col>
      <xdr:colOff>487680</xdr:colOff>
      <xdr:row>181</xdr:row>
      <xdr:rowOff>7620</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bwMode="auto">
        <a:xfrm>
          <a:off x="7559040" y="29565600"/>
          <a:ext cx="571500" cy="1729740"/>
        </a:xfrm>
        <a:prstGeom prst="straightConnector1">
          <a:avLst/>
        </a:prstGeom>
        <a:ln>
          <a:headEnd type="none" w="med" len="med"/>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5.bin"/><Relationship Id="rId5" Type="http://schemas.openxmlformats.org/officeDocument/2006/relationships/hyperlink" Target="file://\\nera-dcfs\WORK\Projects\Energy\BGS%2024-25%20(A)%20(121824)\2025%20Auction\2021%20BGS-RSCP%20for%202022-2023\01.2022%20Compliance%20Filing\Model%20Updates\Pre-auction%20Final\Working%20Copy\Pre-auction%20Final\AppData\Local\Microsoft\2018%20BGS-RSCP%20for%202019-2020\2019.01%20Compliance%20Filing\Pre%20Auction\2015%20BGS-RSCP%20for%202016-2017\2015-11%20Compliance%20Filing\2015%20BGS-RSCP%20for%202016-2017\2015-07%20Initial%20Filing\BGS-FP%20Initial%20Filing%20Supporting%20Documents\Table1&amp;2%20-%20OnPeak%25\Table%201%20-%20Time%20period%20usage%20for%202016-17%20Spreadsheet.xls" TargetMode="External"/><Relationship Id="rId4" Type="http://schemas.openxmlformats.org/officeDocument/2006/relationships/printerSettings" Target="../printerSettings/printerSettings4.bin"/><Relationship Id="rId9"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F20"/>
  <sheetViews>
    <sheetView workbookViewId="0"/>
  </sheetViews>
  <sheetFormatPr defaultRowHeight="12.45" x14ac:dyDescent="0.3"/>
  <cols>
    <col min="1" max="1" width="10.07421875" bestFit="1" customWidth="1"/>
    <col min="2" max="2" width="23.07421875" bestFit="1" customWidth="1"/>
    <col min="4" max="4" width="14.53515625" bestFit="1" customWidth="1"/>
    <col min="5" max="5" width="82.53515625" bestFit="1" customWidth="1"/>
    <col min="6" max="6" width="43.07421875" bestFit="1" customWidth="1"/>
  </cols>
  <sheetData>
    <row r="1" spans="1:6" x14ac:dyDescent="0.3">
      <c r="A1" s="1" t="s">
        <v>434</v>
      </c>
      <c r="B1" s="1" t="s">
        <v>444</v>
      </c>
      <c r="C1" s="1" t="s">
        <v>426</v>
      </c>
      <c r="D1" s="1" t="s">
        <v>428</v>
      </c>
      <c r="E1" s="1" t="s">
        <v>429</v>
      </c>
      <c r="F1" s="1" t="s">
        <v>432</v>
      </c>
    </row>
    <row r="2" spans="1:6" x14ac:dyDescent="0.3">
      <c r="A2" s="137">
        <v>42216</v>
      </c>
      <c r="B2" s="139" t="s">
        <v>446</v>
      </c>
      <c r="C2" s="1" t="s">
        <v>427</v>
      </c>
      <c r="D2" s="1" t="s">
        <v>430</v>
      </c>
      <c r="E2" s="1" t="s">
        <v>431</v>
      </c>
      <c r="F2" s="1" t="s">
        <v>433</v>
      </c>
    </row>
    <row r="3" spans="1:6" x14ac:dyDescent="0.3">
      <c r="A3" s="137">
        <v>42315</v>
      </c>
      <c r="B3" s="139" t="s">
        <v>445</v>
      </c>
      <c r="C3" s="1" t="s">
        <v>436</v>
      </c>
      <c r="D3" s="1" t="s">
        <v>437</v>
      </c>
      <c r="E3" s="1" t="s">
        <v>438</v>
      </c>
      <c r="F3" s="1" t="s">
        <v>439</v>
      </c>
    </row>
    <row r="4" spans="1:6" x14ac:dyDescent="0.3">
      <c r="A4" s="137">
        <v>42315</v>
      </c>
      <c r="B4" s="139" t="s">
        <v>445</v>
      </c>
      <c r="C4" s="1" t="s">
        <v>440</v>
      </c>
      <c r="D4" s="138" t="s">
        <v>441</v>
      </c>
      <c r="E4" s="138" t="s">
        <v>442</v>
      </c>
      <c r="F4" s="1" t="s">
        <v>443</v>
      </c>
    </row>
    <row r="5" spans="1:6" x14ac:dyDescent="0.3">
      <c r="A5" s="137">
        <v>42319</v>
      </c>
      <c r="B5" s="139" t="s">
        <v>446</v>
      </c>
      <c r="C5" s="1" t="s">
        <v>447</v>
      </c>
      <c r="D5" s="140" t="s">
        <v>448</v>
      </c>
      <c r="E5" s="140" t="s">
        <v>449</v>
      </c>
      <c r="F5" s="1" t="s">
        <v>450</v>
      </c>
    </row>
    <row r="6" spans="1:6" x14ac:dyDescent="0.3">
      <c r="A6" s="137">
        <v>42319</v>
      </c>
      <c r="B6" s="139" t="s">
        <v>451</v>
      </c>
      <c r="C6" s="1" t="s">
        <v>452</v>
      </c>
      <c r="D6" s="1" t="s">
        <v>453</v>
      </c>
      <c r="E6" s="1" t="s">
        <v>453</v>
      </c>
      <c r="F6" s="1" t="s">
        <v>454</v>
      </c>
    </row>
    <row r="7" spans="1:6" x14ac:dyDescent="0.3">
      <c r="A7" s="1" t="s">
        <v>458</v>
      </c>
      <c r="B7" s="139" t="s">
        <v>445</v>
      </c>
      <c r="C7" s="1" t="s">
        <v>455</v>
      </c>
      <c r="D7" s="1" t="s">
        <v>456</v>
      </c>
      <c r="E7" s="141" t="s">
        <v>471</v>
      </c>
      <c r="F7" s="1" t="s">
        <v>457</v>
      </c>
    </row>
    <row r="8" spans="1:6" x14ac:dyDescent="0.3">
      <c r="A8" s="137">
        <v>42345</v>
      </c>
      <c r="B8" t="s">
        <v>459</v>
      </c>
      <c r="C8" s="1" t="s">
        <v>460</v>
      </c>
      <c r="D8" s="1" t="s">
        <v>460</v>
      </c>
      <c r="E8" s="1" t="s">
        <v>460</v>
      </c>
      <c r="F8" s="1" t="s">
        <v>461</v>
      </c>
    </row>
    <row r="9" spans="1:6" x14ac:dyDescent="0.3">
      <c r="A9" s="137">
        <v>42345</v>
      </c>
      <c r="B9" s="139" t="s">
        <v>462</v>
      </c>
      <c r="C9" s="1" t="s">
        <v>463</v>
      </c>
      <c r="D9" s="1" t="s">
        <v>464</v>
      </c>
      <c r="F9" s="1" t="s">
        <v>470</v>
      </c>
    </row>
    <row r="10" spans="1:6" x14ac:dyDescent="0.3">
      <c r="A10" s="137">
        <v>42345</v>
      </c>
      <c r="B10" s="139" t="s">
        <v>462</v>
      </c>
      <c r="C10" s="1" t="s">
        <v>466</v>
      </c>
      <c r="D10" s="141" t="s">
        <v>465</v>
      </c>
      <c r="E10" s="141" t="s">
        <v>472</v>
      </c>
      <c r="F10" s="1" t="s">
        <v>470</v>
      </c>
    </row>
    <row r="11" spans="1:6" x14ac:dyDescent="0.3">
      <c r="A11" s="137">
        <v>42345</v>
      </c>
      <c r="B11" s="139" t="s">
        <v>445</v>
      </c>
      <c r="C11" s="1" t="s">
        <v>467</v>
      </c>
      <c r="D11" s="1" t="s">
        <v>468</v>
      </c>
      <c r="E11" s="141" t="s">
        <v>469</v>
      </c>
      <c r="F11" s="1" t="s">
        <v>470</v>
      </c>
    </row>
    <row r="12" spans="1:6" x14ac:dyDescent="0.3">
      <c r="A12" s="137">
        <v>42369</v>
      </c>
      <c r="B12" s="139" t="s">
        <v>473</v>
      </c>
      <c r="C12" s="1" t="s">
        <v>474</v>
      </c>
      <c r="D12" s="1" t="s">
        <v>437</v>
      </c>
      <c r="E12" s="1" t="s">
        <v>475</v>
      </c>
      <c r="F12" s="1" t="s">
        <v>477</v>
      </c>
    </row>
    <row r="13" spans="1:6" x14ac:dyDescent="0.3">
      <c r="A13" s="137">
        <v>42369</v>
      </c>
      <c r="B13" s="139" t="s">
        <v>445</v>
      </c>
      <c r="C13" s="1" t="s">
        <v>455</v>
      </c>
      <c r="D13" s="1" t="s">
        <v>476</v>
      </c>
      <c r="E13" s="1" t="s">
        <v>475</v>
      </c>
      <c r="F13" s="1" t="s">
        <v>477</v>
      </c>
    </row>
    <row r="14" spans="1:6" x14ac:dyDescent="0.3">
      <c r="A14" s="137">
        <v>43235</v>
      </c>
      <c r="F14" s="1" t="s">
        <v>493</v>
      </c>
    </row>
    <row r="18" spans="1:1" x14ac:dyDescent="0.3">
      <c r="A18" s="175" t="s">
        <v>478</v>
      </c>
    </row>
    <row r="19" spans="1:1" x14ac:dyDescent="0.3">
      <c r="A19" s="1" t="s">
        <v>479</v>
      </c>
    </row>
    <row r="20" spans="1:1" x14ac:dyDescent="0.3">
      <c r="A20" s="1" t="s">
        <v>480</v>
      </c>
    </row>
  </sheetData>
  <customSheetViews>
    <customSheetView guid="{9BF7FAF1-D686-4A6B-A2BE-0DAD43841920}">
      <selection activeCell="C36" sqref="C36"/>
      <pageMargins left="0.7" right="0.7" top="0.75" bottom="0.75" header="0.3" footer="0.3"/>
    </customSheetView>
    <customSheetView guid="{D5524E47-947F-4D9F-AE8B-3F0380261994}">
      <selection activeCell="C36" sqref="C36"/>
      <pageMargins left="0.7" right="0.7" top="0.75" bottom="0.75" header="0.3" footer="0.3"/>
    </customSheetView>
    <customSheetView guid="{88B031DE-0423-45A5-B384-E560A52FDD07}">
      <selection activeCell="C36" sqref="C36"/>
      <pageMargins left="0.7" right="0.7" top="0.75" bottom="0.75" header="0.3" footer="0.3"/>
    </customSheetView>
    <customSheetView guid="{782F5CFE-DE26-4D5A-B82E-30A424B0A39B}">
      <selection activeCell="C36" sqref="C36"/>
      <pageMargins left="0.7" right="0.7" top="0.75" bottom="0.75" header="0.3" footer="0.3"/>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EBF9"/>
  </sheetPr>
  <dimension ref="A1:AF395"/>
  <sheetViews>
    <sheetView tabSelected="1" zoomScaleNormal="100" workbookViewId="0">
      <pane xSplit="2" ySplit="3" topLeftCell="C4" activePane="bottomRight" state="frozen"/>
      <selection activeCell="E135" sqref="E135:E136"/>
      <selection pane="topRight" activeCell="E135" sqref="E135:E136"/>
      <selection pane="bottomLeft" activeCell="E135" sqref="E135:E136"/>
      <selection pane="bottomRight"/>
    </sheetView>
  </sheetViews>
  <sheetFormatPr defaultColWidth="9.07421875" defaultRowHeight="12.45" outlineLevelRow="1" x14ac:dyDescent="0.3"/>
  <cols>
    <col min="1" max="1" width="17.4609375" style="3" customWidth="1"/>
    <col min="2" max="2" width="49.53515625" style="4" customWidth="1"/>
    <col min="3" max="3" width="18.53515625" style="4" customWidth="1"/>
    <col min="4" max="4" width="16.69140625" style="4" customWidth="1"/>
    <col min="5" max="5" width="13.4609375" style="4" customWidth="1"/>
    <col min="6" max="6" width="12.53515625" style="4" customWidth="1"/>
    <col min="7" max="8" width="10.53515625" style="4" customWidth="1"/>
    <col min="9" max="9" width="11" style="4" customWidth="1"/>
    <col min="10" max="10" width="10.53515625" style="4" customWidth="1"/>
    <col min="11" max="12" width="12.4609375" style="4" customWidth="1"/>
    <col min="13" max="15" width="13.4609375" style="4" customWidth="1"/>
    <col min="16" max="16" width="13" style="4" customWidth="1"/>
    <col min="17" max="17" width="11.53515625" style="4" bestFit="1" customWidth="1"/>
    <col min="18" max="18" width="12.4609375" style="4" customWidth="1"/>
    <col min="19" max="19" width="13" style="4" customWidth="1"/>
    <col min="20" max="20" width="10.07421875" style="4" bestFit="1" customWidth="1"/>
    <col min="21" max="21" width="14.4609375" style="4" customWidth="1"/>
    <col min="22" max="22" width="11" style="4" bestFit="1" customWidth="1"/>
    <col min="23" max="23" width="10.53515625" style="4" customWidth="1"/>
    <col min="24" max="24" width="11.53515625" style="4" customWidth="1"/>
    <col min="25" max="25" width="11.4609375" style="4" bestFit="1" customWidth="1"/>
    <col min="26" max="26" width="10.07421875" style="4" customWidth="1"/>
    <col min="27" max="27" width="10.53515625" style="4" customWidth="1"/>
    <col min="28" max="28" width="12.84375" style="4" bestFit="1" customWidth="1"/>
    <col min="29" max="29" width="9.07421875" style="4"/>
    <col min="30" max="30" width="17.53515625" style="4" customWidth="1"/>
    <col min="31" max="31" width="9.07421875" style="4"/>
    <col min="32" max="32" width="10.4609375" style="4" bestFit="1" customWidth="1"/>
    <col min="33" max="33" width="10.53515625" style="4" customWidth="1"/>
    <col min="34" max="16384" width="9.07421875" style="4"/>
  </cols>
  <sheetData>
    <row r="1" spans="1:24" x14ac:dyDescent="0.3">
      <c r="A1" s="448">
        <v>45453</v>
      </c>
    </row>
    <row r="2" spans="1:24" x14ac:dyDescent="0.3">
      <c r="A2" s="9" t="s">
        <v>401</v>
      </c>
      <c r="B2" s="447" t="s">
        <v>263</v>
      </c>
      <c r="C2" s="19" t="s">
        <v>404</v>
      </c>
      <c r="D2" s="474">
        <v>2025</v>
      </c>
    </row>
    <row r="3" spans="1:24" x14ac:dyDescent="0.3">
      <c r="A3" s="3" t="s">
        <v>283</v>
      </c>
      <c r="C3" s="5"/>
      <c r="D3" s="5"/>
      <c r="E3" s="5"/>
      <c r="F3" s="5"/>
      <c r="G3" s="5"/>
      <c r="H3" s="5"/>
      <c r="I3" s="5"/>
      <c r="J3" s="5"/>
      <c r="K3" s="5"/>
      <c r="L3" s="5"/>
    </row>
    <row r="4" spans="1:24" ht="12.9" thickBot="1" x14ac:dyDescent="0.35">
      <c r="A4" s="4"/>
    </row>
    <row r="5" spans="1:24" ht="12.9" thickBot="1" x14ac:dyDescent="0.35">
      <c r="A5" s="72" t="s">
        <v>406</v>
      </c>
      <c r="B5" s="517" t="str">
        <f>B2</f>
        <v>Auction Results</v>
      </c>
      <c r="C5" s="518"/>
      <c r="D5" s="518"/>
      <c r="E5" s="518"/>
      <c r="F5" s="518"/>
      <c r="G5" s="518"/>
      <c r="H5" s="518"/>
      <c r="I5" s="518"/>
      <c r="J5" s="518"/>
      <c r="K5" s="518"/>
      <c r="L5" s="519"/>
    </row>
    <row r="6" spans="1:24" x14ac:dyDescent="0.3">
      <c r="C6" s="5"/>
      <c r="D6" s="5"/>
      <c r="E6" s="5"/>
      <c r="F6" s="5"/>
      <c r="G6" s="5"/>
      <c r="H6" s="5"/>
      <c r="I6" s="5"/>
      <c r="J6" s="5"/>
      <c r="K6" s="5"/>
      <c r="L6" s="5"/>
    </row>
    <row r="7" spans="1:24" ht="15.45" x14ac:dyDescent="0.4">
      <c r="B7" s="307" t="str">
        <f>"Development of BGS-RSCP Cost and Bid Factors for "&amp;(Input!D2)&amp;"/"&amp;(Input!D2+1)&amp;" BGS Filing"</f>
        <v>Development of BGS-RSCP Cost and Bid Factors for 2025/2026 BGS Filing</v>
      </c>
      <c r="C7" s="49"/>
      <c r="D7" s="49"/>
      <c r="E7" s="49"/>
      <c r="F7" s="49"/>
      <c r="J7" s="307"/>
    </row>
    <row r="8" spans="1:24" ht="12.9" x14ac:dyDescent="0.35">
      <c r="A8" s="6"/>
      <c r="B8" s="7" t="s">
        <v>91</v>
      </c>
      <c r="C8" s="49"/>
      <c r="D8" s="49"/>
      <c r="E8" s="49"/>
      <c r="F8" s="49"/>
    </row>
    <row r="9" spans="1:24" ht="12.9" x14ac:dyDescent="0.35">
      <c r="B9" s="49"/>
      <c r="C9" s="49"/>
      <c r="D9" s="49"/>
      <c r="E9" s="8" t="str">
        <f>"Based on average of year "&amp;(Input!D2-4)&amp;", "&amp;(Input!D2-3)&amp;" &amp; "&amp;(Input!D2-2)&amp;" Load Profile Information"</f>
        <v>Based on average of year 2021, 2022 &amp; 2023 Load Profile Information</v>
      </c>
      <c r="F9" s="49"/>
    </row>
    <row r="10" spans="1:24" ht="12.9" x14ac:dyDescent="0.35">
      <c r="A10" s="9" t="s">
        <v>64</v>
      </c>
      <c r="B10" s="10" t="s">
        <v>129</v>
      </c>
      <c r="C10" s="102"/>
      <c r="D10" s="49"/>
      <c r="E10" s="8" t="s">
        <v>60</v>
      </c>
      <c r="F10" s="49"/>
      <c r="N10" s="10"/>
      <c r="O10" s="10"/>
      <c r="P10" s="49"/>
      <c r="Q10" s="49"/>
      <c r="R10" s="49"/>
      <c r="S10" s="49"/>
      <c r="T10" s="49"/>
      <c r="U10" s="49"/>
      <c r="V10" s="49"/>
      <c r="W10" s="49"/>
      <c r="X10" s="49"/>
    </row>
    <row r="11" spans="1:24" ht="25.75" x14ac:dyDescent="0.35">
      <c r="A11" s="11"/>
      <c r="B11" s="103"/>
      <c r="C11" s="12" t="s">
        <v>50</v>
      </c>
      <c r="D11" s="12" t="s">
        <v>50</v>
      </c>
      <c r="E11" s="12" t="s">
        <v>50</v>
      </c>
      <c r="F11" s="12" t="s">
        <v>50</v>
      </c>
      <c r="G11" s="12" t="s">
        <v>50</v>
      </c>
      <c r="H11" s="12" t="s">
        <v>50</v>
      </c>
      <c r="I11" s="13" t="s">
        <v>96</v>
      </c>
      <c r="J11" s="104"/>
      <c r="K11" s="12" t="s">
        <v>50</v>
      </c>
      <c r="L11" s="12" t="s">
        <v>50</v>
      </c>
      <c r="M11" s="14"/>
      <c r="N11" s="8"/>
      <c r="O11" s="14"/>
      <c r="P11" s="14"/>
      <c r="Q11" s="14"/>
      <c r="R11" s="14"/>
      <c r="S11" s="14"/>
      <c r="T11" s="14"/>
      <c r="U11" s="8"/>
      <c r="V11" s="105"/>
      <c r="W11" s="14"/>
      <c r="X11" s="14"/>
    </row>
    <row r="12" spans="1:24" ht="12.9" x14ac:dyDescent="0.35">
      <c r="A12" s="11"/>
      <c r="B12" s="15" t="s">
        <v>233</v>
      </c>
      <c r="C12" s="16" t="s">
        <v>0</v>
      </c>
      <c r="D12" s="16" t="s">
        <v>1</v>
      </c>
      <c r="E12" s="16" t="s">
        <v>2</v>
      </c>
      <c r="F12" s="16" t="s">
        <v>3</v>
      </c>
      <c r="G12" s="16" t="s">
        <v>4</v>
      </c>
      <c r="H12" s="16" t="s">
        <v>6</v>
      </c>
      <c r="I12" s="16" t="s">
        <v>37</v>
      </c>
      <c r="J12" s="16" t="s">
        <v>38</v>
      </c>
      <c r="K12" s="16" t="s">
        <v>5</v>
      </c>
      <c r="L12" s="16" t="s">
        <v>36</v>
      </c>
      <c r="M12" s="17"/>
      <c r="N12" s="18"/>
      <c r="O12" s="5"/>
      <c r="P12" s="5"/>
      <c r="Q12" s="5"/>
      <c r="R12" s="5"/>
      <c r="S12" s="5"/>
      <c r="T12" s="5"/>
      <c r="U12" s="5"/>
      <c r="V12" s="5"/>
      <c r="W12" s="5"/>
      <c r="X12" s="5"/>
    </row>
    <row r="13" spans="1:24" ht="12.9" x14ac:dyDescent="0.35">
      <c r="A13" s="11"/>
      <c r="B13" s="19"/>
      <c r="C13" s="16"/>
      <c r="D13" s="16"/>
      <c r="E13" s="16"/>
      <c r="F13" s="16"/>
      <c r="G13" s="16"/>
      <c r="H13" s="16"/>
      <c r="I13" s="16"/>
      <c r="J13" s="16"/>
      <c r="K13" s="16"/>
      <c r="L13" s="16"/>
      <c r="O13" s="49"/>
      <c r="P13" s="49"/>
      <c r="Q13" s="49"/>
      <c r="R13" s="49"/>
      <c r="S13" s="49"/>
      <c r="T13" s="49"/>
      <c r="U13" s="49"/>
      <c r="V13" s="49"/>
      <c r="W13" s="49"/>
      <c r="X13" s="49"/>
    </row>
    <row r="14" spans="1:24" ht="12.9" x14ac:dyDescent="0.35">
      <c r="A14" s="11"/>
      <c r="B14" s="20" t="s">
        <v>7</v>
      </c>
      <c r="C14" s="188">
        <v>0.47199999999999998</v>
      </c>
      <c r="D14" s="188">
        <v>0.4587</v>
      </c>
      <c r="E14" s="188">
        <v>0.46329999999999999</v>
      </c>
      <c r="F14" s="188">
        <v>0.47199999999999998</v>
      </c>
      <c r="G14" s="188">
        <v>0.47199999999999998</v>
      </c>
      <c r="H14" s="188">
        <v>0.46870000000000001</v>
      </c>
      <c r="I14" s="188">
        <v>0.3</v>
      </c>
      <c r="J14" s="188">
        <v>0.3</v>
      </c>
      <c r="K14" s="188">
        <v>0.52600000000000002</v>
      </c>
      <c r="L14" s="188">
        <v>0.50900000000000001</v>
      </c>
      <c r="M14" s="21"/>
      <c r="N14" s="106"/>
      <c r="O14" s="106"/>
      <c r="P14" s="106"/>
      <c r="Q14" s="106"/>
      <c r="R14" s="106"/>
      <c r="S14" s="106"/>
      <c r="T14" s="106"/>
      <c r="U14" s="106"/>
      <c r="V14" s="106"/>
      <c r="W14" s="106"/>
      <c r="X14" s="106"/>
    </row>
    <row r="15" spans="1:24" ht="12.9" x14ac:dyDescent="0.35">
      <c r="A15" s="11"/>
      <c r="B15" s="20" t="s">
        <v>8</v>
      </c>
      <c r="C15" s="188">
        <v>0.48830000000000001</v>
      </c>
      <c r="D15" s="188">
        <v>0.46500000000000002</v>
      </c>
      <c r="E15" s="188">
        <v>0.4783</v>
      </c>
      <c r="F15" s="188">
        <v>0.48830000000000001</v>
      </c>
      <c r="G15" s="188">
        <v>0.48830000000000001</v>
      </c>
      <c r="H15" s="188">
        <v>0.4713</v>
      </c>
      <c r="I15" s="188">
        <v>0.29199999999999998</v>
      </c>
      <c r="J15" s="188">
        <v>0.29199999999999998</v>
      </c>
      <c r="K15" s="188">
        <v>0.53869999999999996</v>
      </c>
      <c r="L15" s="188">
        <v>0.52629999999999999</v>
      </c>
      <c r="M15" s="21"/>
      <c r="N15" s="106"/>
      <c r="O15" s="106"/>
      <c r="P15" s="106"/>
      <c r="Q15" s="106"/>
      <c r="R15" s="106"/>
      <c r="S15" s="106"/>
      <c r="T15" s="106"/>
      <c r="U15" s="106"/>
      <c r="V15" s="106"/>
      <c r="W15" s="106"/>
      <c r="X15" s="106"/>
    </row>
    <row r="16" spans="1:24" ht="12.9" x14ac:dyDescent="0.35">
      <c r="A16" s="11"/>
      <c r="B16" s="20" t="s">
        <v>9</v>
      </c>
      <c r="C16" s="188">
        <v>0.50870000000000004</v>
      </c>
      <c r="D16" s="188">
        <v>0.49299999999999999</v>
      </c>
      <c r="E16" s="188">
        <v>0.48970000000000002</v>
      </c>
      <c r="F16" s="188">
        <v>0.50870000000000004</v>
      </c>
      <c r="G16" s="188">
        <v>0.50870000000000004</v>
      </c>
      <c r="H16" s="188">
        <v>0.503</v>
      </c>
      <c r="I16" s="188">
        <v>0.26329999999999998</v>
      </c>
      <c r="J16" s="188">
        <v>0.26329999999999998</v>
      </c>
      <c r="K16" s="188">
        <v>0.56669999999999998</v>
      </c>
      <c r="L16" s="188">
        <v>0.54730000000000001</v>
      </c>
      <c r="M16" s="21"/>
      <c r="N16" s="106"/>
      <c r="O16" s="106"/>
      <c r="P16" s="106"/>
      <c r="Q16" s="106"/>
      <c r="R16" s="106"/>
      <c r="S16" s="106"/>
      <c r="T16" s="106"/>
      <c r="U16" s="106"/>
      <c r="V16" s="106"/>
      <c r="W16" s="106"/>
      <c r="X16" s="106"/>
    </row>
    <row r="17" spans="1:24" ht="12.9" x14ac:dyDescent="0.35">
      <c r="A17" s="11"/>
      <c r="B17" s="20" t="s">
        <v>10</v>
      </c>
      <c r="C17" s="188">
        <v>0.51029999999999998</v>
      </c>
      <c r="D17" s="188">
        <v>0.504</v>
      </c>
      <c r="E17" s="188">
        <v>0.49099999999999999</v>
      </c>
      <c r="F17" s="188">
        <v>0.51029999999999998</v>
      </c>
      <c r="G17" s="188">
        <v>0.51029999999999998</v>
      </c>
      <c r="H17" s="188">
        <v>0.51400000000000001</v>
      </c>
      <c r="I17" s="188">
        <v>0.22900000000000001</v>
      </c>
      <c r="J17" s="188">
        <v>0.22900000000000001</v>
      </c>
      <c r="K17" s="188">
        <v>0.56069999999999998</v>
      </c>
      <c r="L17" s="188">
        <v>0.54169999999999996</v>
      </c>
      <c r="M17" s="21"/>
      <c r="N17" s="106"/>
      <c r="O17" s="106"/>
      <c r="P17" s="106"/>
      <c r="Q17" s="106"/>
      <c r="R17" s="106"/>
      <c r="S17" s="106"/>
      <c r="T17" s="106"/>
      <c r="U17" s="106"/>
      <c r="V17" s="106"/>
      <c r="W17" s="106"/>
      <c r="X17" s="106"/>
    </row>
    <row r="18" spans="1:24" ht="12.9" x14ac:dyDescent="0.35">
      <c r="A18" s="11"/>
      <c r="B18" s="20" t="s">
        <v>11</v>
      </c>
      <c r="C18" s="188">
        <v>0.45129999999999998</v>
      </c>
      <c r="D18" s="188">
        <v>0.45469999999999999</v>
      </c>
      <c r="E18" s="188">
        <v>0.44269999999999998</v>
      </c>
      <c r="F18" s="188">
        <v>0.45129999999999998</v>
      </c>
      <c r="G18" s="188">
        <v>0.45129999999999998</v>
      </c>
      <c r="H18" s="188">
        <v>0.50470000000000004</v>
      </c>
      <c r="I18" s="188">
        <v>0.19500000000000001</v>
      </c>
      <c r="J18" s="188">
        <v>0.19500000000000001</v>
      </c>
      <c r="K18" s="188">
        <v>0.52070000000000005</v>
      </c>
      <c r="L18" s="188">
        <v>0.49769999999999998</v>
      </c>
      <c r="M18" s="21"/>
      <c r="N18" s="106"/>
      <c r="O18" s="106"/>
      <c r="P18" s="106"/>
      <c r="Q18" s="106"/>
      <c r="R18" s="106"/>
      <c r="S18" s="106"/>
      <c r="T18" s="106"/>
      <c r="U18" s="106"/>
      <c r="V18" s="106"/>
      <c r="W18" s="106"/>
      <c r="X18" s="106"/>
    </row>
    <row r="19" spans="1:24" ht="12.9" x14ac:dyDescent="0.35">
      <c r="A19" s="11"/>
      <c r="B19" s="20" t="s">
        <v>12</v>
      </c>
      <c r="C19" s="188">
        <v>0.54200000000000004</v>
      </c>
      <c r="D19" s="188">
        <v>0.55169999999999997</v>
      </c>
      <c r="E19" s="188">
        <v>0.54400000000000004</v>
      </c>
      <c r="F19" s="188">
        <v>0.54200000000000004</v>
      </c>
      <c r="G19" s="188">
        <v>0.54200000000000004</v>
      </c>
      <c r="H19" s="188">
        <v>0.62</v>
      </c>
      <c r="I19" s="188">
        <v>0.20699999999999999</v>
      </c>
      <c r="J19" s="188">
        <v>0.20699999999999999</v>
      </c>
      <c r="K19" s="188">
        <v>0.59670000000000001</v>
      </c>
      <c r="L19" s="188">
        <v>0.56699999999999995</v>
      </c>
      <c r="M19" s="21"/>
      <c r="N19" s="106"/>
      <c r="O19" s="106"/>
      <c r="P19" s="106"/>
      <c r="Q19" s="106"/>
      <c r="R19" s="106"/>
      <c r="S19" s="106"/>
      <c r="T19" s="106"/>
      <c r="U19" s="106"/>
      <c r="V19" s="106"/>
      <c r="W19" s="106"/>
      <c r="X19" s="106"/>
    </row>
    <row r="20" spans="1:24" ht="12.9" x14ac:dyDescent="0.35">
      <c r="A20" s="11"/>
      <c r="B20" s="20" t="s">
        <v>13</v>
      </c>
      <c r="C20" s="188">
        <v>0.52600000000000002</v>
      </c>
      <c r="D20" s="188">
        <v>0.53300000000000003</v>
      </c>
      <c r="E20" s="188">
        <v>0.52729999999999999</v>
      </c>
      <c r="F20" s="188">
        <v>0.52600000000000002</v>
      </c>
      <c r="G20" s="188">
        <v>0.52600000000000002</v>
      </c>
      <c r="H20" s="188">
        <v>0.6</v>
      </c>
      <c r="I20" s="188">
        <v>0.19500000000000001</v>
      </c>
      <c r="J20" s="188">
        <v>0.19500000000000001</v>
      </c>
      <c r="K20" s="188">
        <v>0.57199999999999995</v>
      </c>
      <c r="L20" s="188">
        <v>0.54100000000000004</v>
      </c>
      <c r="M20" s="21"/>
      <c r="N20" s="106"/>
      <c r="O20" s="106"/>
      <c r="P20" s="106"/>
      <c r="Q20" s="106"/>
      <c r="R20" s="106"/>
      <c r="S20" s="106"/>
      <c r="T20" s="106"/>
      <c r="U20" s="106"/>
      <c r="V20" s="106"/>
      <c r="W20" s="106"/>
      <c r="X20" s="106"/>
    </row>
    <row r="21" spans="1:24" ht="12.9" x14ac:dyDescent="0.35">
      <c r="A21" s="11"/>
      <c r="B21" s="20" t="s">
        <v>14</v>
      </c>
      <c r="C21" s="188">
        <v>0.53269999999999995</v>
      </c>
      <c r="D21" s="188">
        <v>0.54</v>
      </c>
      <c r="E21" s="188">
        <v>0.5353</v>
      </c>
      <c r="F21" s="188">
        <v>0.53269999999999995</v>
      </c>
      <c r="G21" s="188">
        <v>0.53269999999999995</v>
      </c>
      <c r="H21" s="188">
        <v>0.61</v>
      </c>
      <c r="I21" s="188">
        <v>0.215</v>
      </c>
      <c r="J21" s="188">
        <v>0.215</v>
      </c>
      <c r="K21" s="188">
        <v>0.58130000000000004</v>
      </c>
      <c r="L21" s="188">
        <v>0.54769999999999996</v>
      </c>
      <c r="M21" s="21"/>
      <c r="N21" s="106"/>
      <c r="O21" s="106"/>
      <c r="P21" s="106"/>
      <c r="Q21" s="106"/>
      <c r="R21" s="106"/>
      <c r="S21" s="106"/>
      <c r="T21" s="106"/>
      <c r="U21" s="106"/>
      <c r="V21" s="106"/>
      <c r="W21" s="106"/>
      <c r="X21" s="106"/>
    </row>
    <row r="22" spans="1:24" ht="12.9" x14ac:dyDescent="0.35">
      <c r="A22" s="11"/>
      <c r="B22" s="20" t="s">
        <v>15</v>
      </c>
      <c r="C22" s="188">
        <v>0.50329999999999997</v>
      </c>
      <c r="D22" s="188">
        <v>0.51600000000000001</v>
      </c>
      <c r="E22" s="188">
        <v>0.505</v>
      </c>
      <c r="F22" s="188">
        <v>0.50329999999999997</v>
      </c>
      <c r="G22" s="188">
        <v>0.50329999999999997</v>
      </c>
      <c r="H22" s="188">
        <v>0.58330000000000004</v>
      </c>
      <c r="I22" s="188">
        <v>0.23799999999999999</v>
      </c>
      <c r="J22" s="188">
        <v>0.23799999999999999</v>
      </c>
      <c r="K22" s="188">
        <v>0.56999999999999995</v>
      </c>
      <c r="L22" s="188">
        <v>0.54630000000000001</v>
      </c>
      <c r="M22" s="21"/>
      <c r="N22" s="106"/>
      <c r="O22" s="106"/>
      <c r="P22" s="106"/>
      <c r="Q22" s="106"/>
      <c r="R22" s="106"/>
      <c r="S22" s="106"/>
      <c r="T22" s="106"/>
      <c r="U22" s="106"/>
      <c r="V22" s="106"/>
      <c r="W22" s="106"/>
      <c r="X22" s="106"/>
    </row>
    <row r="23" spans="1:24" ht="12.9" x14ac:dyDescent="0.35">
      <c r="A23" s="11"/>
      <c r="B23" s="20" t="s">
        <v>16</v>
      </c>
      <c r="C23" s="188">
        <v>0.49230000000000002</v>
      </c>
      <c r="D23" s="188">
        <v>0.49430000000000002</v>
      </c>
      <c r="E23" s="188">
        <v>0.48130000000000001</v>
      </c>
      <c r="F23" s="188">
        <v>0.49230000000000002</v>
      </c>
      <c r="G23" s="188">
        <v>0.49230000000000002</v>
      </c>
      <c r="H23" s="188">
        <v>0.53800000000000003</v>
      </c>
      <c r="I23" s="188">
        <v>0.26169999999999999</v>
      </c>
      <c r="J23" s="188">
        <v>0.26169999999999999</v>
      </c>
      <c r="K23" s="188">
        <v>0.55630000000000002</v>
      </c>
      <c r="L23" s="188">
        <v>0.5363</v>
      </c>
      <c r="M23" s="21"/>
      <c r="N23" s="106"/>
      <c r="O23" s="106"/>
      <c r="P23" s="106"/>
      <c r="Q23" s="106"/>
      <c r="R23" s="106"/>
      <c r="S23" s="106"/>
      <c r="T23" s="106"/>
      <c r="U23" s="106"/>
      <c r="V23" s="106"/>
      <c r="W23" s="106"/>
      <c r="X23" s="106"/>
    </row>
    <row r="24" spans="1:24" ht="12.9" x14ac:dyDescent="0.35">
      <c r="A24" s="11"/>
      <c r="B24" s="20" t="s">
        <v>17</v>
      </c>
      <c r="C24" s="188">
        <v>0.47970000000000002</v>
      </c>
      <c r="D24" s="188">
        <v>0.47170000000000001</v>
      </c>
      <c r="E24" s="188">
        <v>0.4703</v>
      </c>
      <c r="F24" s="188">
        <v>0.47970000000000002</v>
      </c>
      <c r="G24" s="188">
        <v>0.47970000000000002</v>
      </c>
      <c r="H24" s="188">
        <v>0.48630000000000001</v>
      </c>
      <c r="I24" s="188">
        <v>0.30530000000000002</v>
      </c>
      <c r="J24" s="188">
        <v>0.30530000000000002</v>
      </c>
      <c r="K24" s="188">
        <v>0.54369999999999996</v>
      </c>
      <c r="L24" s="188">
        <v>0.52529999999999999</v>
      </c>
      <c r="M24" s="21"/>
      <c r="N24" s="106"/>
      <c r="O24" s="106"/>
      <c r="P24" s="106"/>
      <c r="Q24" s="106"/>
      <c r="R24" s="106"/>
      <c r="S24" s="106"/>
      <c r="T24" s="106"/>
      <c r="U24" s="106"/>
      <c r="V24" s="106"/>
      <c r="W24" s="106"/>
      <c r="X24" s="106"/>
    </row>
    <row r="25" spans="1:24" ht="12.9" x14ac:dyDescent="0.35">
      <c r="A25" s="11"/>
      <c r="B25" s="20" t="s">
        <v>18</v>
      </c>
      <c r="C25" s="188">
        <v>0.495</v>
      </c>
      <c r="D25" s="188">
        <v>0.48</v>
      </c>
      <c r="E25" s="188">
        <v>0.49</v>
      </c>
      <c r="F25" s="188">
        <v>0.495</v>
      </c>
      <c r="G25" s="188">
        <v>0.495</v>
      </c>
      <c r="H25" s="188">
        <v>0.48430000000000001</v>
      </c>
      <c r="I25" s="188">
        <v>0.32300000000000001</v>
      </c>
      <c r="J25" s="188">
        <v>0.32300000000000001</v>
      </c>
      <c r="K25" s="188">
        <v>0.54669999999999996</v>
      </c>
      <c r="L25" s="188">
        <v>0.52829999999999999</v>
      </c>
      <c r="M25" s="21"/>
      <c r="N25" s="106"/>
      <c r="O25" s="106"/>
      <c r="P25" s="106"/>
      <c r="Q25" s="106"/>
      <c r="R25" s="106"/>
      <c r="S25" s="106"/>
      <c r="T25" s="106"/>
      <c r="U25" s="106"/>
      <c r="V25" s="106"/>
      <c r="W25" s="106"/>
      <c r="X25" s="106"/>
    </row>
    <row r="26" spans="1:24" ht="12.9" x14ac:dyDescent="0.35">
      <c r="A26" s="11"/>
      <c r="B26" s="23"/>
      <c r="C26" s="22"/>
      <c r="D26" s="22"/>
      <c r="E26" s="22"/>
      <c r="F26" s="22"/>
      <c r="G26" s="22"/>
      <c r="H26" s="22"/>
      <c r="I26" s="22"/>
      <c r="J26" s="22"/>
      <c r="K26" s="22"/>
      <c r="L26" s="22"/>
      <c r="M26" s="22"/>
      <c r="N26" s="106"/>
      <c r="O26" s="106"/>
      <c r="P26" s="106"/>
      <c r="Q26" s="106"/>
      <c r="R26" s="106"/>
      <c r="S26" s="106"/>
      <c r="T26" s="106"/>
      <c r="U26" s="106"/>
      <c r="V26" s="106"/>
      <c r="W26" s="106"/>
      <c r="X26" s="106"/>
    </row>
    <row r="27" spans="1:24" ht="12.9" x14ac:dyDescent="0.35">
      <c r="A27" s="11"/>
      <c r="B27" s="23"/>
      <c r="C27" s="22"/>
      <c r="D27" s="22"/>
      <c r="E27" s="8" t="str">
        <f>E9</f>
        <v>Based on average of year 2021, 2022 &amp; 2023 Load Profile Information</v>
      </c>
      <c r="K27" s="22"/>
      <c r="L27" s="22"/>
      <c r="M27" s="22"/>
      <c r="N27" s="106"/>
      <c r="O27" s="106"/>
      <c r="P27" s="106"/>
      <c r="Q27" s="106"/>
      <c r="R27" s="106"/>
      <c r="S27" s="106"/>
      <c r="T27" s="106"/>
      <c r="U27" s="106"/>
      <c r="V27" s="106"/>
      <c r="W27" s="106"/>
      <c r="X27" s="106"/>
    </row>
    <row r="28" spans="1:24" ht="12.9" x14ac:dyDescent="0.35">
      <c r="A28" s="9" t="s">
        <v>65</v>
      </c>
      <c r="B28" s="10" t="s">
        <v>130</v>
      </c>
      <c r="C28" s="22"/>
      <c r="D28" s="22"/>
      <c r="E28" s="472" t="str">
        <f>"On-Peak periods as defined in specified rate schedule (average of %s for "&amp;(Input!D2-4)&amp;", "&amp;(Input!D2-3)&amp;" &amp; "&amp;(Input!D2-2)&amp;")"</f>
        <v>On-Peak periods as defined in specified rate schedule (average of %s for 2021, 2022 &amp; 2023)</v>
      </c>
      <c r="G28" s="22"/>
      <c r="H28" s="22"/>
      <c r="I28" s="24"/>
      <c r="J28" s="24"/>
      <c r="K28" s="22"/>
      <c r="L28" s="22"/>
      <c r="M28" s="22"/>
      <c r="N28" s="106"/>
      <c r="O28" s="106"/>
      <c r="P28" s="106"/>
      <c r="Q28" s="106"/>
      <c r="R28" s="106"/>
      <c r="S28" s="106"/>
      <c r="T28" s="106"/>
      <c r="U28" s="106"/>
      <c r="V28" s="106"/>
      <c r="W28" s="106"/>
      <c r="X28" s="106"/>
    </row>
    <row r="29" spans="1:24" ht="12.9" x14ac:dyDescent="0.35">
      <c r="A29" s="11"/>
      <c r="B29" s="19"/>
      <c r="C29" s="12" t="s">
        <v>50</v>
      </c>
      <c r="D29" s="12" t="s">
        <v>50</v>
      </c>
      <c r="E29" s="14"/>
      <c r="F29" s="8"/>
      <c r="G29" s="14"/>
      <c r="H29" s="14"/>
      <c r="I29" s="14"/>
      <c r="J29" s="14"/>
      <c r="K29" s="14"/>
      <c r="L29" s="14"/>
      <c r="M29" s="14"/>
      <c r="N29" s="106"/>
      <c r="O29" s="106"/>
      <c r="P29" s="106"/>
      <c r="Q29" s="106"/>
      <c r="R29" s="106"/>
      <c r="S29" s="106"/>
      <c r="T29" s="106"/>
      <c r="U29" s="106"/>
      <c r="V29" s="106"/>
      <c r="W29" s="106"/>
    </row>
    <row r="30" spans="1:24" ht="12.9" x14ac:dyDescent="0.35">
      <c r="A30" s="11"/>
      <c r="B30" s="15" t="s">
        <v>233</v>
      </c>
      <c r="C30" s="16" t="s">
        <v>2</v>
      </c>
      <c r="D30" s="16" t="s">
        <v>36</v>
      </c>
      <c r="E30" s="5"/>
      <c r="F30" s="18"/>
      <c r="G30" s="5"/>
      <c r="H30" s="5"/>
      <c r="I30" s="5"/>
      <c r="J30" s="5"/>
      <c r="K30" s="5"/>
      <c r="L30" s="5"/>
      <c r="M30" s="5"/>
      <c r="N30" s="106"/>
      <c r="O30" s="106"/>
      <c r="P30" s="106"/>
      <c r="Q30" s="106"/>
      <c r="R30" s="106"/>
      <c r="S30" s="106"/>
      <c r="T30" s="106"/>
      <c r="U30" s="106"/>
      <c r="V30" s="106"/>
      <c r="W30" s="106"/>
    </row>
    <row r="31" spans="1:24" ht="12.9" x14ac:dyDescent="0.35">
      <c r="A31" s="11"/>
      <c r="B31" s="19"/>
      <c r="C31" s="19"/>
      <c r="D31" s="19"/>
      <c r="G31" s="49"/>
      <c r="H31" s="49"/>
      <c r="I31" s="49"/>
      <c r="J31" s="49"/>
      <c r="K31" s="49"/>
      <c r="L31" s="49"/>
      <c r="M31" s="49"/>
      <c r="N31" s="106"/>
      <c r="O31" s="106"/>
      <c r="P31" s="106"/>
      <c r="Q31" s="106"/>
      <c r="R31" s="106"/>
      <c r="S31" s="106"/>
      <c r="T31" s="106"/>
      <c r="U31" s="106"/>
      <c r="V31" s="106"/>
      <c r="W31" s="106"/>
    </row>
    <row r="32" spans="1:24" ht="12.9" x14ac:dyDescent="0.35">
      <c r="A32" s="11"/>
      <c r="B32" s="20" t="s">
        <v>7</v>
      </c>
      <c r="C32" s="188">
        <v>0.42349999999999999</v>
      </c>
      <c r="D32" s="475">
        <v>0.46400000000000002</v>
      </c>
      <c r="E32" s="21"/>
      <c r="F32" s="22"/>
      <c r="G32" s="106"/>
      <c r="H32" s="106"/>
      <c r="I32" s="106"/>
      <c r="J32" s="106"/>
      <c r="K32" s="106"/>
      <c r="L32" s="106"/>
      <c r="M32" s="106"/>
      <c r="N32" s="106"/>
      <c r="O32" s="106"/>
      <c r="P32" s="106"/>
      <c r="Q32" s="106"/>
      <c r="R32" s="106"/>
      <c r="S32" s="106"/>
      <c r="T32" s="106"/>
      <c r="U32" s="106"/>
      <c r="V32" s="106"/>
      <c r="W32" s="106"/>
    </row>
    <row r="33" spans="1:32" ht="12.9" x14ac:dyDescent="0.35">
      <c r="A33" s="11"/>
      <c r="B33" s="20" t="s">
        <v>8</v>
      </c>
      <c r="C33" s="188">
        <v>0.41649999999999998</v>
      </c>
      <c r="D33" s="475">
        <v>0.46089999999999998</v>
      </c>
      <c r="E33" s="21"/>
      <c r="F33" s="22"/>
      <c r="G33" s="106"/>
      <c r="H33" s="106"/>
      <c r="I33" s="106"/>
      <c r="J33" s="106"/>
      <c r="K33" s="106"/>
      <c r="L33" s="106"/>
      <c r="M33" s="106"/>
      <c r="N33" s="106"/>
      <c r="O33" s="106"/>
      <c r="P33" s="106"/>
      <c r="Q33" s="106"/>
      <c r="R33" s="106"/>
      <c r="S33" s="106"/>
      <c r="T33" s="106"/>
      <c r="U33" s="106"/>
      <c r="V33" s="106"/>
      <c r="W33" s="106"/>
    </row>
    <row r="34" spans="1:32" ht="12.9" x14ac:dyDescent="0.35">
      <c r="A34" s="11"/>
      <c r="B34" s="20" t="s">
        <v>9</v>
      </c>
      <c r="C34" s="188">
        <v>0.41049999999999998</v>
      </c>
      <c r="D34" s="475">
        <v>0.46279999999999999</v>
      </c>
      <c r="E34" s="21"/>
      <c r="F34" s="22"/>
      <c r="G34" s="106"/>
      <c r="H34" s="106"/>
      <c r="I34" s="106"/>
      <c r="J34" s="106"/>
      <c r="K34" s="106"/>
      <c r="L34" s="106"/>
      <c r="M34" s="106"/>
      <c r="N34" s="106"/>
      <c r="O34" s="106"/>
      <c r="P34" s="106"/>
      <c r="Q34" s="106"/>
      <c r="R34" s="106"/>
      <c r="S34" s="106"/>
      <c r="T34" s="106"/>
      <c r="U34" s="106"/>
      <c r="V34" s="106"/>
      <c r="W34" s="106"/>
    </row>
    <row r="35" spans="1:32" ht="12.9" x14ac:dyDescent="0.35">
      <c r="A35" s="11"/>
      <c r="B35" s="20" t="s">
        <v>10</v>
      </c>
      <c r="C35" s="188">
        <v>0.41839999999999999</v>
      </c>
      <c r="D35" s="475">
        <v>0.47310000000000002</v>
      </c>
      <c r="E35" s="21"/>
      <c r="F35" s="22"/>
      <c r="G35" s="106"/>
      <c r="H35" s="106"/>
      <c r="I35" s="106"/>
      <c r="J35" s="106"/>
      <c r="K35" s="106"/>
      <c r="L35" s="106"/>
      <c r="M35" s="106"/>
      <c r="N35" s="106"/>
      <c r="O35" s="106"/>
      <c r="P35" s="106"/>
      <c r="Q35" s="106"/>
      <c r="R35" s="106"/>
      <c r="S35" s="106"/>
      <c r="T35" s="106"/>
      <c r="U35" s="106"/>
      <c r="V35" s="106"/>
      <c r="W35" s="106"/>
    </row>
    <row r="36" spans="1:32" ht="12.9" x14ac:dyDescent="0.35">
      <c r="A36" s="11"/>
      <c r="B36" s="20" t="s">
        <v>11</v>
      </c>
      <c r="C36" s="188">
        <v>0.43480000000000002</v>
      </c>
      <c r="D36" s="475">
        <v>0.4798</v>
      </c>
      <c r="E36" s="21"/>
      <c r="F36" s="25"/>
      <c r="G36" s="106"/>
      <c r="H36" s="106"/>
      <c r="I36" s="106"/>
      <c r="J36" s="106"/>
      <c r="K36" s="106"/>
      <c r="L36" s="106"/>
      <c r="M36" s="106"/>
      <c r="N36" s="106"/>
      <c r="O36" s="106"/>
      <c r="P36" s="106"/>
      <c r="Q36" s="106"/>
      <c r="R36" s="106"/>
      <c r="S36" s="106"/>
      <c r="T36" s="106"/>
      <c r="U36" s="106"/>
      <c r="V36" s="106"/>
      <c r="W36" s="106"/>
    </row>
    <row r="37" spans="1:32" ht="12.9" x14ac:dyDescent="0.35">
      <c r="A37" s="11"/>
      <c r="B37" s="20" t="s">
        <v>12</v>
      </c>
      <c r="C37" s="188">
        <v>0.46260000000000001</v>
      </c>
      <c r="D37" s="188">
        <v>0.48870000000000002</v>
      </c>
      <c r="E37" s="21"/>
      <c r="F37" s="25"/>
      <c r="G37" s="106"/>
      <c r="H37" s="106"/>
      <c r="I37" s="106"/>
      <c r="J37" s="106"/>
      <c r="K37" s="106"/>
      <c r="L37" s="106"/>
      <c r="M37" s="106"/>
      <c r="N37" s="106"/>
      <c r="O37" s="106"/>
      <c r="P37" s="106"/>
      <c r="Q37" s="106"/>
      <c r="R37" s="106"/>
      <c r="S37" s="106"/>
      <c r="T37" s="106"/>
      <c r="U37" s="106"/>
      <c r="V37" s="106"/>
      <c r="W37" s="106"/>
    </row>
    <row r="38" spans="1:32" ht="12.9" x14ac:dyDescent="0.35">
      <c r="A38" s="11"/>
      <c r="B38" s="20" t="s">
        <v>13</v>
      </c>
      <c r="C38" s="188">
        <v>0.48039999999999999</v>
      </c>
      <c r="D38" s="188">
        <v>0.49070000000000003</v>
      </c>
      <c r="E38" s="21"/>
      <c r="F38" s="25"/>
      <c r="G38" s="106"/>
      <c r="H38" s="106"/>
      <c r="I38" s="106"/>
      <c r="J38" s="106"/>
      <c r="K38" s="106"/>
      <c r="L38" s="106"/>
      <c r="M38" s="106"/>
      <c r="N38" s="106"/>
      <c r="O38" s="106"/>
      <c r="P38" s="106"/>
      <c r="Q38" s="106"/>
      <c r="R38" s="106"/>
      <c r="S38" s="106"/>
      <c r="T38" s="106"/>
      <c r="U38" s="106"/>
      <c r="V38" s="106"/>
      <c r="W38" s="106"/>
    </row>
    <row r="39" spans="1:32" ht="12.9" x14ac:dyDescent="0.35">
      <c r="A39" s="11"/>
      <c r="B39" s="20" t="s">
        <v>14</v>
      </c>
      <c r="C39" s="188">
        <v>0.4839</v>
      </c>
      <c r="D39" s="475">
        <v>0.48449999999999999</v>
      </c>
      <c r="E39" s="21"/>
      <c r="F39" s="25"/>
      <c r="G39" s="106"/>
      <c r="H39" s="106"/>
      <c r="I39" s="106"/>
      <c r="J39" s="106"/>
      <c r="K39" s="106"/>
      <c r="L39" s="106"/>
      <c r="M39" s="106"/>
      <c r="N39" s="106"/>
      <c r="O39" s="106"/>
      <c r="P39" s="106"/>
      <c r="Q39" s="106"/>
      <c r="R39" s="106"/>
      <c r="S39" s="106"/>
      <c r="T39" s="106"/>
      <c r="U39" s="106"/>
      <c r="V39" s="106"/>
      <c r="W39" s="106"/>
    </row>
    <row r="40" spans="1:32" ht="12.9" x14ac:dyDescent="0.35">
      <c r="A40" s="11"/>
      <c r="B40" s="20" t="s">
        <v>15</v>
      </c>
      <c r="C40" s="188">
        <v>0.48520000000000002</v>
      </c>
      <c r="D40" s="475">
        <v>0.48880000000000001</v>
      </c>
      <c r="E40" s="21"/>
      <c r="F40" s="25"/>
      <c r="G40" s="106"/>
      <c r="H40" s="106"/>
      <c r="I40" s="106"/>
      <c r="J40" s="106"/>
      <c r="K40" s="106"/>
      <c r="L40" s="106"/>
      <c r="M40" s="106"/>
      <c r="N40" s="106"/>
      <c r="O40" s="106"/>
      <c r="P40" s="106"/>
      <c r="Q40" s="106"/>
      <c r="R40" s="106"/>
      <c r="S40" s="106"/>
      <c r="T40" s="106"/>
      <c r="U40" s="106"/>
      <c r="V40" s="106"/>
      <c r="W40" s="106"/>
    </row>
    <row r="41" spans="1:32" ht="12.9" x14ac:dyDescent="0.35">
      <c r="A41" s="11"/>
      <c r="B41" s="20" t="s">
        <v>16</v>
      </c>
      <c r="C41" s="188">
        <v>0.45519999999999999</v>
      </c>
      <c r="D41" s="475">
        <v>0.48970000000000002</v>
      </c>
      <c r="E41" s="21"/>
      <c r="F41" s="25"/>
      <c r="G41" s="106"/>
      <c r="H41" s="106"/>
      <c r="I41" s="106"/>
      <c r="J41" s="106"/>
      <c r="K41" s="106"/>
      <c r="L41" s="106"/>
      <c r="M41" s="106"/>
      <c r="N41" s="106"/>
      <c r="O41" s="106"/>
      <c r="P41" s="106"/>
      <c r="Q41" s="106"/>
      <c r="R41" s="106"/>
      <c r="S41" s="106"/>
      <c r="T41" s="106"/>
      <c r="U41" s="106"/>
      <c r="V41" s="106"/>
      <c r="W41" s="106"/>
    </row>
    <row r="42" spans="1:32" ht="12.9" x14ac:dyDescent="0.35">
      <c r="A42" s="11"/>
      <c r="B42" s="20" t="s">
        <v>17</v>
      </c>
      <c r="C42" s="188">
        <v>0.42909999999999998</v>
      </c>
      <c r="D42" s="475">
        <v>0.4788</v>
      </c>
      <c r="E42" s="21"/>
      <c r="F42" s="25"/>
      <c r="G42" s="106"/>
      <c r="H42" s="106"/>
      <c r="I42" s="106"/>
      <c r="J42" s="106"/>
      <c r="K42" s="106"/>
      <c r="L42" s="106"/>
      <c r="M42" s="106"/>
      <c r="N42" s="106"/>
      <c r="O42" s="106"/>
      <c r="P42" s="106"/>
      <c r="Q42" s="106"/>
      <c r="R42" s="106"/>
      <c r="S42" s="106"/>
      <c r="T42" s="106"/>
      <c r="U42" s="106"/>
      <c r="V42" s="106"/>
      <c r="W42" s="106"/>
    </row>
    <row r="43" spans="1:32" ht="12.9" x14ac:dyDescent="0.35">
      <c r="A43" s="11"/>
      <c r="B43" s="20" t="s">
        <v>18</v>
      </c>
      <c r="C43" s="188">
        <v>0.42080000000000001</v>
      </c>
      <c r="D43" s="475">
        <v>0.47099999999999997</v>
      </c>
      <c r="E43" s="21"/>
      <c r="F43" s="25"/>
      <c r="G43" s="106"/>
      <c r="H43" s="106"/>
      <c r="I43" s="106"/>
      <c r="J43" s="106"/>
      <c r="K43" s="106"/>
      <c r="L43" s="106"/>
      <c r="M43" s="106"/>
      <c r="N43" s="106"/>
      <c r="O43" s="106"/>
      <c r="P43" s="106"/>
      <c r="Q43" s="106"/>
      <c r="R43" s="106"/>
      <c r="S43" s="106"/>
      <c r="T43" s="106"/>
      <c r="U43" s="106"/>
      <c r="V43" s="106"/>
      <c r="W43" s="106"/>
    </row>
    <row r="44" spans="1:32" ht="12.9" x14ac:dyDescent="0.35">
      <c r="A44" s="11"/>
      <c r="B44" s="23"/>
      <c r="C44" s="22"/>
      <c r="D44" s="22"/>
      <c r="E44" s="22"/>
      <c r="F44" s="22"/>
      <c r="G44" s="22"/>
      <c r="H44" s="22"/>
      <c r="I44" s="24"/>
      <c r="J44" s="24"/>
      <c r="K44" s="22"/>
      <c r="L44" s="22"/>
      <c r="M44" s="22"/>
      <c r="N44" s="106"/>
      <c r="O44" s="106"/>
      <c r="P44" s="106"/>
      <c r="Q44" s="106"/>
      <c r="R44" s="106"/>
      <c r="S44" s="106"/>
      <c r="T44" s="106"/>
      <c r="U44" s="106"/>
      <c r="V44" s="106"/>
      <c r="W44" s="106"/>
      <c r="X44" s="106"/>
    </row>
    <row r="45" spans="1:32" ht="12.9" x14ac:dyDescent="0.35">
      <c r="A45" s="11"/>
      <c r="B45" s="23"/>
      <c r="C45" s="22"/>
      <c r="D45" s="22"/>
      <c r="E45" s="22"/>
      <c r="F45" s="22"/>
      <c r="G45" s="22"/>
      <c r="H45" s="22"/>
      <c r="I45" s="24"/>
      <c r="J45" s="24"/>
      <c r="K45" s="22"/>
      <c r="L45" s="22"/>
      <c r="M45" s="22"/>
      <c r="N45" s="106"/>
      <c r="O45" s="106"/>
      <c r="P45" s="106"/>
      <c r="Q45" s="106"/>
      <c r="R45" s="106"/>
      <c r="S45" s="106"/>
      <c r="T45" s="106"/>
      <c r="U45" s="106"/>
      <c r="V45" s="106"/>
      <c r="W45" s="106"/>
      <c r="X45" s="106"/>
    </row>
    <row r="46" spans="1:32" x14ac:dyDescent="0.3">
      <c r="A46" s="9" t="s">
        <v>75</v>
      </c>
      <c r="B46" s="26" t="s">
        <v>131</v>
      </c>
      <c r="C46" s="5"/>
      <c r="D46" s="5"/>
      <c r="E46" s="5"/>
      <c r="F46" s="5"/>
      <c r="G46" s="5"/>
      <c r="H46" s="5"/>
      <c r="I46" s="5"/>
      <c r="J46" s="5"/>
      <c r="K46" s="5"/>
      <c r="L46" s="5"/>
      <c r="N46" s="106"/>
      <c r="O46" s="106"/>
      <c r="P46" s="106"/>
      <c r="Q46" s="106"/>
      <c r="R46" s="106"/>
      <c r="S46" s="106"/>
      <c r="T46" s="106"/>
      <c r="U46" s="106"/>
      <c r="V46" s="106"/>
      <c r="W46" s="106"/>
    </row>
    <row r="47" spans="1:32" ht="12.9" x14ac:dyDescent="0.35">
      <c r="A47" s="11"/>
      <c r="B47" s="365" t="str">
        <f>"Calendar month sales forecasted for "&amp;(Input!D2)&amp;", less % for LPL-Sec &gt; 500 kW Peak Load Share"</f>
        <v>Calendar month sales forecasted for 2025, less % for LPL-Sec &gt; 500 kW Peak Load Share</v>
      </c>
      <c r="G47" s="27"/>
      <c r="L47" s="5"/>
      <c r="N47" s="106"/>
      <c r="O47" s="106"/>
      <c r="P47" s="106"/>
      <c r="Q47" s="106"/>
      <c r="R47" s="106"/>
      <c r="S47" s="106"/>
      <c r="T47" s="106"/>
      <c r="U47" s="106"/>
      <c r="V47" s="106"/>
      <c r="W47" s="106"/>
      <c r="AB47" s="28"/>
    </row>
    <row r="48" spans="1:32" ht="12.9" x14ac:dyDescent="0.35">
      <c r="A48" s="11"/>
      <c r="B48" s="13" t="s">
        <v>78</v>
      </c>
      <c r="C48" s="16" t="s">
        <v>0</v>
      </c>
      <c r="D48" s="16" t="s">
        <v>1</v>
      </c>
      <c r="E48" s="16" t="s">
        <v>2</v>
      </c>
      <c r="F48" s="16" t="s">
        <v>3</v>
      </c>
      <c r="G48" s="16" t="s">
        <v>4</v>
      </c>
      <c r="H48" s="16" t="s">
        <v>6</v>
      </c>
      <c r="I48" s="16" t="s">
        <v>37</v>
      </c>
      <c r="J48" s="16" t="s">
        <v>38</v>
      </c>
      <c r="K48" s="16" t="s">
        <v>5</v>
      </c>
      <c r="L48" s="16" t="s">
        <v>36</v>
      </c>
      <c r="N48" s="106"/>
      <c r="O48" s="106"/>
      <c r="P48" s="106"/>
      <c r="Q48" s="106"/>
      <c r="R48" s="106"/>
      <c r="S48" s="106"/>
      <c r="T48" s="106"/>
      <c r="U48" s="106"/>
      <c r="V48" s="106"/>
      <c r="W48" s="106"/>
      <c r="X48" s="5"/>
      <c r="Y48" s="5"/>
      <c r="Z48" s="5"/>
      <c r="AB48" s="28"/>
      <c r="AF48" s="28"/>
    </row>
    <row r="49" spans="1:32" ht="12.9" x14ac:dyDescent="0.35">
      <c r="A49" s="11"/>
      <c r="B49" s="19"/>
      <c r="C49" s="16"/>
      <c r="D49" s="16"/>
      <c r="E49" s="16"/>
      <c r="F49" s="16"/>
      <c r="G49" s="16"/>
      <c r="H49" s="16"/>
      <c r="I49" s="16"/>
      <c r="J49" s="16"/>
      <c r="K49" s="16"/>
      <c r="L49" s="16"/>
      <c r="N49" s="106"/>
      <c r="O49" s="106"/>
      <c r="P49" s="106"/>
      <c r="Q49" s="106"/>
      <c r="R49" s="106"/>
      <c r="S49" s="106"/>
      <c r="T49" s="106"/>
      <c r="U49" s="106"/>
      <c r="V49" s="106"/>
      <c r="W49" s="106"/>
      <c r="Y49" s="29"/>
      <c r="AB49" s="28"/>
      <c r="AF49" s="28"/>
    </row>
    <row r="50" spans="1:32" ht="12.9" x14ac:dyDescent="0.35">
      <c r="A50" s="11"/>
      <c r="B50" s="20" t="s">
        <v>7</v>
      </c>
      <c r="C50" s="473">
        <v>1121491.5651200744</v>
      </c>
      <c r="D50" s="473">
        <v>12422.381688635198</v>
      </c>
      <c r="E50" s="473">
        <v>14246.696042579952</v>
      </c>
      <c r="F50" s="473">
        <v>55</v>
      </c>
      <c r="G50" s="473">
        <v>1</v>
      </c>
      <c r="H50" s="473">
        <v>1656.724617716701</v>
      </c>
      <c r="I50" s="473">
        <v>14910</v>
      </c>
      <c r="J50" s="473">
        <v>31151</v>
      </c>
      <c r="K50" s="473">
        <v>531647.04672762146</v>
      </c>
      <c r="L50" s="473">
        <v>641149.53731475468</v>
      </c>
      <c r="N50" s="106"/>
      <c r="O50" s="106"/>
      <c r="P50" s="106"/>
      <c r="Q50" s="106"/>
      <c r="R50" s="106"/>
      <c r="S50" s="106"/>
      <c r="T50" s="106"/>
      <c r="U50" s="106"/>
      <c r="V50" s="106"/>
      <c r="W50" s="106"/>
      <c r="X50" s="29"/>
      <c r="Y50" s="29"/>
      <c r="Z50" s="32"/>
      <c r="AB50" s="108"/>
      <c r="AF50" s="109"/>
    </row>
    <row r="51" spans="1:32" ht="12.9" x14ac:dyDescent="0.35">
      <c r="A51" s="11"/>
      <c r="B51" s="20" t="s">
        <v>8</v>
      </c>
      <c r="C51" s="473">
        <v>943088.51438200544</v>
      </c>
      <c r="D51" s="473">
        <v>9972.5145846000833</v>
      </c>
      <c r="E51" s="473">
        <v>12197.260210938475</v>
      </c>
      <c r="F51" s="473">
        <v>53</v>
      </c>
      <c r="G51" s="473">
        <v>1</v>
      </c>
      <c r="H51" s="473">
        <v>1361.4225991576122</v>
      </c>
      <c r="I51" s="473">
        <v>11882</v>
      </c>
      <c r="J51" s="473">
        <v>29306</v>
      </c>
      <c r="K51" s="473">
        <v>498617.12294565397</v>
      </c>
      <c r="L51" s="473">
        <v>586390.24411865522</v>
      </c>
      <c r="N51" s="106"/>
      <c r="O51" s="106"/>
      <c r="P51" s="106"/>
      <c r="Q51" s="106"/>
      <c r="R51" s="106"/>
      <c r="S51" s="106"/>
      <c r="T51" s="106"/>
      <c r="U51" s="106"/>
      <c r="V51" s="106"/>
      <c r="W51" s="106"/>
      <c r="X51" s="29"/>
      <c r="Y51" s="29"/>
      <c r="Z51" s="32"/>
      <c r="AB51" s="108"/>
      <c r="AD51" s="110"/>
    </row>
    <row r="52" spans="1:32" ht="12.9" x14ac:dyDescent="0.35">
      <c r="A52" s="11"/>
      <c r="B52" s="20" t="s">
        <v>9</v>
      </c>
      <c r="C52" s="473">
        <v>914188.33170792577</v>
      </c>
      <c r="D52" s="473">
        <v>7639.307818852355</v>
      </c>
      <c r="E52" s="473">
        <v>11831.011222013953</v>
      </c>
      <c r="F52" s="473">
        <v>59</v>
      </c>
      <c r="G52" s="473">
        <v>1</v>
      </c>
      <c r="H52" s="473">
        <v>1113.4045896125165</v>
      </c>
      <c r="I52" s="473">
        <v>11649</v>
      </c>
      <c r="J52" s="473">
        <v>27223</v>
      </c>
      <c r="K52" s="473">
        <v>533580.76340651233</v>
      </c>
      <c r="L52" s="473">
        <v>616346.12091354385</v>
      </c>
      <c r="M52" s="315"/>
      <c r="N52" s="106"/>
      <c r="O52" s="106"/>
      <c r="P52" s="106"/>
      <c r="Q52" s="106"/>
      <c r="R52" s="106"/>
      <c r="S52" s="106"/>
      <c r="T52" s="106"/>
      <c r="U52" s="106"/>
      <c r="V52" s="106"/>
      <c r="W52" s="106"/>
      <c r="X52" s="29"/>
      <c r="Y52" s="29"/>
      <c r="Z52" s="34"/>
      <c r="AB52" s="108"/>
    </row>
    <row r="53" spans="1:32" ht="12.9" x14ac:dyDescent="0.35">
      <c r="A53" s="11"/>
      <c r="B53" s="20" t="s">
        <v>10</v>
      </c>
      <c r="C53" s="473">
        <v>752016.3936038306</v>
      </c>
      <c r="D53" s="473">
        <v>3826.4590958262747</v>
      </c>
      <c r="E53" s="473">
        <v>9990.0256127922858</v>
      </c>
      <c r="F53" s="473">
        <v>51</v>
      </c>
      <c r="G53" s="473">
        <v>1</v>
      </c>
      <c r="H53" s="473">
        <v>620.04502386273953</v>
      </c>
      <c r="I53" s="473">
        <v>9193</v>
      </c>
      <c r="J53" s="473">
        <v>23864</v>
      </c>
      <c r="K53" s="473">
        <v>458953.03638647136</v>
      </c>
      <c r="L53" s="473">
        <v>533254.85826712416</v>
      </c>
      <c r="M53" s="315"/>
      <c r="N53" s="106"/>
      <c r="O53" s="106"/>
      <c r="P53" s="106"/>
      <c r="Q53" s="106"/>
      <c r="R53" s="106"/>
      <c r="S53" s="106"/>
      <c r="T53" s="106"/>
      <c r="U53" s="106"/>
      <c r="V53" s="106"/>
      <c r="W53" s="106"/>
      <c r="Y53" s="29"/>
      <c r="AB53" s="108"/>
    </row>
    <row r="54" spans="1:32" ht="12.9" x14ac:dyDescent="0.35">
      <c r="A54" s="11"/>
      <c r="B54" s="20" t="s">
        <v>11</v>
      </c>
      <c r="C54" s="473">
        <v>874037.42671892652</v>
      </c>
      <c r="D54" s="473">
        <v>3246.0739128465275</v>
      </c>
      <c r="E54" s="473">
        <v>12272.26332835121</v>
      </c>
      <c r="F54" s="473">
        <v>54</v>
      </c>
      <c r="G54" s="473">
        <v>0</v>
      </c>
      <c r="H54" s="473">
        <v>386.30143213318877</v>
      </c>
      <c r="I54" s="473">
        <v>8838</v>
      </c>
      <c r="J54" s="473">
        <v>19584</v>
      </c>
      <c r="K54" s="473">
        <v>482213.11201165582</v>
      </c>
      <c r="L54" s="473">
        <v>614907.42796750274</v>
      </c>
      <c r="N54" s="106"/>
      <c r="O54" s="106"/>
      <c r="P54" s="106"/>
      <c r="Q54" s="106"/>
      <c r="R54" s="106"/>
      <c r="S54" s="106"/>
      <c r="T54" s="106"/>
      <c r="U54" s="106"/>
      <c r="V54" s="106"/>
      <c r="W54" s="106"/>
      <c r="X54" s="29"/>
      <c r="Y54" s="29"/>
      <c r="Z54" s="34"/>
      <c r="AB54" s="108"/>
    </row>
    <row r="55" spans="1:32" ht="12.9" x14ac:dyDescent="0.35">
      <c r="A55" s="11"/>
      <c r="B55" s="20" t="s">
        <v>12</v>
      </c>
      <c r="C55" s="473">
        <v>1222207.9763920987</v>
      </c>
      <c r="D55" s="473">
        <v>3600.9157751373277</v>
      </c>
      <c r="E55" s="473">
        <v>17689.046911886497</v>
      </c>
      <c r="F55" s="473">
        <v>41</v>
      </c>
      <c r="G55" s="473">
        <v>1</v>
      </c>
      <c r="H55" s="473">
        <v>423.77177889899463</v>
      </c>
      <c r="I55" s="473">
        <v>7865</v>
      </c>
      <c r="J55" s="473">
        <v>19801</v>
      </c>
      <c r="K55" s="473">
        <v>530905.61255474971</v>
      </c>
      <c r="L55" s="473">
        <v>607522.18612386135</v>
      </c>
      <c r="M55" s="315"/>
      <c r="N55" s="106"/>
      <c r="O55" s="106"/>
      <c r="P55" s="106"/>
      <c r="Q55" s="106"/>
      <c r="R55" s="106"/>
      <c r="S55" s="106"/>
      <c r="T55" s="106"/>
      <c r="U55" s="106"/>
      <c r="V55" s="106"/>
      <c r="W55" s="106"/>
      <c r="X55" s="29"/>
      <c r="Y55" s="29"/>
      <c r="Z55" s="32"/>
      <c r="AB55" s="108"/>
    </row>
    <row r="56" spans="1:32" ht="12.9" x14ac:dyDescent="0.35">
      <c r="A56" s="11"/>
      <c r="B56" s="20" t="s">
        <v>13</v>
      </c>
      <c r="C56" s="473">
        <v>1647698.5711641975</v>
      </c>
      <c r="D56" s="473">
        <v>4969.7304110426621</v>
      </c>
      <c r="E56" s="473">
        <v>23582.148994315645</v>
      </c>
      <c r="F56" s="473">
        <v>34</v>
      </c>
      <c r="G56" s="473">
        <v>1</v>
      </c>
      <c r="H56" s="473">
        <v>582.57467709693367</v>
      </c>
      <c r="I56" s="473">
        <v>7759</v>
      </c>
      <c r="J56" s="473">
        <v>18302</v>
      </c>
      <c r="K56" s="473">
        <v>628843.60729956394</v>
      </c>
      <c r="L56" s="473">
        <v>698733.7146836688</v>
      </c>
      <c r="M56" s="315"/>
      <c r="N56" s="106"/>
      <c r="O56" s="106"/>
      <c r="P56" s="106"/>
      <c r="Q56" s="106"/>
      <c r="R56" s="106"/>
      <c r="S56" s="106"/>
      <c r="T56" s="106"/>
      <c r="U56" s="106"/>
      <c r="V56" s="106"/>
      <c r="W56" s="106"/>
      <c r="X56" s="29"/>
      <c r="Y56" s="29"/>
      <c r="Z56" s="34"/>
      <c r="AB56" s="108"/>
    </row>
    <row r="57" spans="1:32" ht="12.9" x14ac:dyDescent="0.35">
      <c r="A57" s="11"/>
      <c r="B57" s="20" t="s">
        <v>14</v>
      </c>
      <c r="C57" s="473">
        <v>1590636.2955444867</v>
      </c>
      <c r="D57" s="473">
        <v>4647.9423112666209</v>
      </c>
      <c r="E57" s="473">
        <v>20855.736973039748</v>
      </c>
      <c r="F57" s="473">
        <v>37</v>
      </c>
      <c r="G57" s="473">
        <v>1</v>
      </c>
      <c r="H57" s="473">
        <v>527.26130806169647</v>
      </c>
      <c r="I57" s="473">
        <v>8575</v>
      </c>
      <c r="J57" s="473">
        <v>17475</v>
      </c>
      <c r="K57" s="473">
        <v>599871.31851592509</v>
      </c>
      <c r="L57" s="473">
        <v>719568.876136904</v>
      </c>
      <c r="M57" s="315"/>
      <c r="N57" s="106"/>
      <c r="O57" s="106"/>
      <c r="P57" s="106"/>
      <c r="Q57" s="106"/>
      <c r="R57" s="106"/>
      <c r="S57" s="106"/>
      <c r="T57" s="106"/>
      <c r="U57" s="106"/>
      <c r="V57" s="106"/>
      <c r="W57" s="106"/>
      <c r="AB57" s="108"/>
    </row>
    <row r="58" spans="1:32" ht="12.9" x14ac:dyDescent="0.35">
      <c r="A58" s="11"/>
      <c r="B58" s="20" t="s">
        <v>15</v>
      </c>
      <c r="C58" s="473">
        <v>1154054.7508688059</v>
      </c>
      <c r="D58" s="473">
        <v>3562.0289957081991</v>
      </c>
      <c r="E58" s="473">
        <v>15520.774972136533</v>
      </c>
      <c r="F58" s="473">
        <v>42</v>
      </c>
      <c r="G58" s="473">
        <v>0</v>
      </c>
      <c r="H58" s="473">
        <v>410.38951219692109</v>
      </c>
      <c r="I58" s="473">
        <v>9258</v>
      </c>
      <c r="J58" s="473">
        <v>21614</v>
      </c>
      <c r="K58" s="473">
        <v>529600.61796544353</v>
      </c>
      <c r="L58" s="473">
        <v>617392.50934616884</v>
      </c>
      <c r="M58" s="315"/>
      <c r="N58" s="106"/>
      <c r="O58" s="106"/>
      <c r="P58" s="106"/>
      <c r="Q58" s="106"/>
      <c r="R58" s="106"/>
      <c r="S58" s="106"/>
      <c r="T58" s="106"/>
      <c r="U58" s="106"/>
      <c r="V58" s="106"/>
      <c r="W58" s="106"/>
      <c r="AB58" s="108"/>
    </row>
    <row r="59" spans="1:32" ht="12.9" x14ac:dyDescent="0.35">
      <c r="A59" s="11"/>
      <c r="B59" s="20" t="s">
        <v>16</v>
      </c>
      <c r="C59" s="473">
        <v>828786.54715208046</v>
      </c>
      <c r="D59" s="473">
        <v>4116.1656025732846</v>
      </c>
      <c r="E59" s="473">
        <v>11069.29125036774</v>
      </c>
      <c r="F59" s="473">
        <v>25</v>
      </c>
      <c r="G59" s="473">
        <v>0</v>
      </c>
      <c r="H59" s="473">
        <v>439.83049894148286</v>
      </c>
      <c r="I59" s="473">
        <v>10722</v>
      </c>
      <c r="J59" s="473">
        <v>23241</v>
      </c>
      <c r="K59" s="473">
        <v>475303.33296827815</v>
      </c>
      <c r="L59" s="473">
        <v>585639.17785691051</v>
      </c>
      <c r="M59" s="315"/>
      <c r="N59" s="106"/>
      <c r="O59" s="106"/>
      <c r="P59" s="106"/>
      <c r="Q59" s="106"/>
      <c r="R59" s="106"/>
      <c r="S59" s="106"/>
      <c r="T59" s="106"/>
      <c r="U59" s="106"/>
      <c r="V59" s="106"/>
      <c r="W59" s="106"/>
      <c r="AB59" s="108"/>
    </row>
    <row r="60" spans="1:32" ht="12.9" x14ac:dyDescent="0.35">
      <c r="A60" s="11"/>
      <c r="B60" s="20" t="s">
        <v>17</v>
      </c>
      <c r="C60" s="473">
        <v>850672.42690879095</v>
      </c>
      <c r="D60" s="473">
        <v>7473.0668367928292</v>
      </c>
      <c r="E60" s="473">
        <v>10275.427085544639</v>
      </c>
      <c r="F60" s="473">
        <v>53</v>
      </c>
      <c r="G60" s="473">
        <v>0</v>
      </c>
      <c r="H60" s="473">
        <v>683.38775291922082</v>
      </c>
      <c r="I60" s="473">
        <v>11426</v>
      </c>
      <c r="J60" s="473">
        <v>25784</v>
      </c>
      <c r="K60" s="473">
        <v>460826.87477111619</v>
      </c>
      <c r="L60" s="473">
        <v>568396.00903023314</v>
      </c>
      <c r="M60" s="315"/>
      <c r="N60" s="106"/>
      <c r="O60" s="106"/>
      <c r="P60" s="106"/>
      <c r="Q60" s="106"/>
      <c r="R60" s="106"/>
      <c r="S60" s="106"/>
      <c r="T60" s="106"/>
      <c r="U60" s="106"/>
      <c r="V60" s="106"/>
      <c r="W60" s="106"/>
      <c r="AB60" s="108"/>
    </row>
    <row r="61" spans="1:32" ht="12.9" x14ac:dyDescent="0.35">
      <c r="A61" s="11"/>
      <c r="B61" s="20" t="s">
        <v>18</v>
      </c>
      <c r="C61" s="473">
        <v>1064630.2302630888</v>
      </c>
      <c r="D61" s="473">
        <v>10017.234380943582</v>
      </c>
      <c r="E61" s="473">
        <v>12590.783060740356</v>
      </c>
      <c r="F61" s="473">
        <v>52</v>
      </c>
      <c r="G61" s="473">
        <v>1</v>
      </c>
      <c r="H61" s="473">
        <v>1048.277558329092</v>
      </c>
      <c r="I61" s="473">
        <v>10253</v>
      </c>
      <c r="J61" s="473">
        <v>23848</v>
      </c>
      <c r="K61" s="473">
        <v>500710.22155481786</v>
      </c>
      <c r="L61" s="473">
        <v>607595.8343689451</v>
      </c>
      <c r="M61" s="315"/>
      <c r="N61" s="106"/>
      <c r="O61" s="106"/>
      <c r="P61" s="106"/>
      <c r="Q61" s="106"/>
      <c r="R61" s="106"/>
      <c r="S61" s="106"/>
      <c r="T61" s="106"/>
      <c r="U61" s="106"/>
      <c r="V61" s="106"/>
      <c r="W61" s="106"/>
      <c r="AB61" s="108"/>
    </row>
    <row r="62" spans="1:32" ht="12.9" x14ac:dyDescent="0.35">
      <c r="A62" s="11"/>
      <c r="B62" s="35"/>
      <c r="C62" s="29"/>
      <c r="D62" s="29"/>
      <c r="E62" s="29"/>
      <c r="F62" s="29"/>
      <c r="G62" s="29"/>
      <c r="H62" s="29"/>
      <c r="I62" s="29"/>
      <c r="J62" s="29"/>
      <c r="K62" s="29"/>
      <c r="L62" s="29"/>
      <c r="M62" s="29"/>
      <c r="N62" s="106"/>
      <c r="O62" s="106"/>
      <c r="P62" s="106"/>
      <c r="Q62" s="106"/>
      <c r="R62" s="106"/>
      <c r="S62" s="106"/>
      <c r="T62" s="106"/>
      <c r="U62" s="106"/>
      <c r="V62" s="106"/>
      <c r="W62" s="106"/>
      <c r="AB62" s="29"/>
    </row>
    <row r="63" spans="1:32" s="454" customFormat="1" ht="11.6" x14ac:dyDescent="0.3">
      <c r="A63" s="452"/>
      <c r="B63" s="453"/>
      <c r="C63" s="457"/>
      <c r="D63" s="457"/>
      <c r="E63" s="457"/>
      <c r="F63" s="457"/>
      <c r="G63" s="457"/>
      <c r="H63" s="457"/>
      <c r="I63" s="457"/>
      <c r="J63" s="457"/>
      <c r="K63" s="457"/>
      <c r="L63" s="457"/>
      <c r="M63" s="458"/>
      <c r="N63" s="455"/>
      <c r="O63" s="455"/>
      <c r="P63" s="455"/>
      <c r="Q63" s="455"/>
      <c r="R63" s="455"/>
      <c r="S63" s="455"/>
      <c r="T63" s="455"/>
      <c r="U63" s="455"/>
      <c r="V63" s="455"/>
      <c r="W63" s="455"/>
      <c r="AB63" s="456"/>
    </row>
    <row r="64" spans="1:32" ht="12.9" x14ac:dyDescent="0.35">
      <c r="A64" s="11"/>
      <c r="B64" s="7" t="s">
        <v>301</v>
      </c>
      <c r="C64" s="107" t="s">
        <v>195</v>
      </c>
      <c r="D64" s="107" t="s">
        <v>195</v>
      </c>
      <c r="L64" s="29"/>
      <c r="M64" s="458"/>
      <c r="N64" s="106"/>
      <c r="O64" s="106"/>
      <c r="P64" s="106"/>
      <c r="Q64" s="106"/>
      <c r="R64" s="106"/>
      <c r="S64" s="106"/>
      <c r="T64" s="106"/>
      <c r="U64" s="106"/>
      <c r="V64" s="106"/>
      <c r="W64" s="106"/>
      <c r="Y64" s="5"/>
      <c r="Z64" s="5"/>
      <c r="AB64" s="36"/>
    </row>
    <row r="65" spans="1:26" ht="12.9" x14ac:dyDescent="0.35">
      <c r="A65" s="11"/>
      <c r="B65" s="471"/>
      <c r="C65" s="30" t="s">
        <v>194</v>
      </c>
      <c r="D65" s="30" t="s">
        <v>196</v>
      </c>
      <c r="E65" s="119"/>
      <c r="F65" s="119"/>
      <c r="G65" s="119"/>
      <c r="H65" s="119"/>
      <c r="I65" s="119"/>
      <c r="J65" s="119"/>
      <c r="N65" s="106"/>
      <c r="O65" s="106"/>
      <c r="P65" s="106"/>
      <c r="Q65" s="106"/>
      <c r="R65" s="106"/>
      <c r="S65" s="106"/>
      <c r="T65" s="106"/>
      <c r="U65" s="106"/>
      <c r="V65" s="106"/>
      <c r="W65" s="106"/>
    </row>
    <row r="66" spans="1:26" ht="12.9" x14ac:dyDescent="0.35">
      <c r="A66" s="11"/>
      <c r="C66" s="483">
        <v>0.30588013609657833</v>
      </c>
      <c r="D66" s="483">
        <v>0.2897106941926979</v>
      </c>
      <c r="E66" s="119"/>
      <c r="F66" s="119"/>
      <c r="G66" s="119"/>
      <c r="H66" s="119"/>
      <c r="I66" s="119"/>
      <c r="J66" s="119"/>
      <c r="N66" s="106"/>
      <c r="O66" s="106"/>
      <c r="P66" s="106"/>
      <c r="Q66" s="106"/>
      <c r="R66" s="106"/>
      <c r="S66" s="106"/>
      <c r="T66" s="106"/>
      <c r="U66" s="106"/>
      <c r="V66" s="106"/>
      <c r="W66" s="106"/>
    </row>
    <row r="67" spans="1:26" ht="12.9" x14ac:dyDescent="0.35">
      <c r="A67" s="11"/>
      <c r="C67" s="119"/>
      <c r="D67" s="119"/>
      <c r="E67" s="119"/>
      <c r="F67" s="119"/>
      <c r="G67" s="119"/>
      <c r="H67" s="119"/>
      <c r="I67" s="119"/>
      <c r="J67" s="119"/>
      <c r="K67" s="119"/>
      <c r="N67" s="106"/>
      <c r="O67" s="106"/>
      <c r="P67" s="106"/>
      <c r="Q67" s="106"/>
      <c r="R67" s="106"/>
      <c r="S67" s="106"/>
      <c r="T67" s="106"/>
      <c r="U67" s="106"/>
      <c r="V67" s="106"/>
      <c r="W67" s="106"/>
    </row>
    <row r="68" spans="1:26" ht="12.9" x14ac:dyDescent="0.35">
      <c r="A68" s="11"/>
      <c r="C68" s="119"/>
      <c r="D68" s="119"/>
      <c r="E68" s="119"/>
      <c r="F68" s="119"/>
      <c r="G68" s="119"/>
      <c r="H68" s="119"/>
      <c r="I68" s="119"/>
      <c r="J68" s="119"/>
      <c r="K68" s="119"/>
      <c r="N68" s="106"/>
      <c r="O68" s="106"/>
      <c r="P68" s="106"/>
      <c r="Q68" s="106"/>
      <c r="R68" s="106"/>
      <c r="S68" s="106"/>
      <c r="T68" s="106"/>
      <c r="U68" s="106"/>
      <c r="V68" s="106"/>
      <c r="W68" s="106"/>
    </row>
    <row r="69" spans="1:26" ht="12.9" x14ac:dyDescent="0.35">
      <c r="A69" s="11"/>
      <c r="B69" s="7"/>
      <c r="N69" s="106"/>
      <c r="O69" s="106"/>
      <c r="P69" s="106"/>
      <c r="Q69" s="106"/>
      <c r="R69" s="106"/>
      <c r="S69" s="106"/>
      <c r="T69" s="106"/>
      <c r="U69" s="106"/>
      <c r="V69" s="106"/>
      <c r="W69" s="106"/>
    </row>
    <row r="70" spans="1:26" x14ac:dyDescent="0.3">
      <c r="A70" s="9" t="s">
        <v>76</v>
      </c>
      <c r="B70" s="7" t="s">
        <v>39</v>
      </c>
      <c r="E70" s="376" t="s">
        <v>66</v>
      </c>
      <c r="F70" s="7" t="s">
        <v>178</v>
      </c>
      <c r="N70" s="106"/>
      <c r="O70" s="106"/>
      <c r="P70" s="106"/>
      <c r="Q70" s="106"/>
      <c r="R70" s="106"/>
      <c r="S70" s="106"/>
      <c r="T70" s="106"/>
      <c r="U70" s="106"/>
      <c r="V70" s="106"/>
      <c r="W70" s="106"/>
    </row>
    <row r="71" spans="1:26" ht="12.9" x14ac:dyDescent="0.35">
      <c r="A71" s="11"/>
      <c r="B71" s="8" t="s">
        <v>232</v>
      </c>
      <c r="F71" s="5" t="s">
        <v>177</v>
      </c>
      <c r="G71" s="470"/>
      <c r="H71" s="8"/>
      <c r="I71" s="8"/>
      <c r="N71" s="106"/>
      <c r="O71" s="106"/>
      <c r="P71" s="106"/>
      <c r="Q71" s="106"/>
      <c r="R71" s="106"/>
      <c r="S71" s="106"/>
      <c r="T71" s="106"/>
      <c r="U71" s="106"/>
      <c r="V71" s="106"/>
      <c r="W71" s="106"/>
      <c r="X71" s="31"/>
      <c r="Y71" s="29"/>
      <c r="Z71" s="32"/>
    </row>
    <row r="72" spans="1:26" ht="12.9" x14ac:dyDescent="0.35">
      <c r="A72" s="11"/>
      <c r="B72" s="470"/>
      <c r="C72" s="5" t="s">
        <v>20</v>
      </c>
      <c r="F72" s="5" t="s">
        <v>175</v>
      </c>
      <c r="N72" s="106"/>
      <c r="O72" s="106"/>
      <c r="P72" s="106"/>
      <c r="Q72" s="106"/>
      <c r="R72" s="106"/>
      <c r="S72" s="106"/>
      <c r="T72" s="106"/>
      <c r="U72" s="106"/>
      <c r="V72" s="106"/>
      <c r="W72" s="106"/>
      <c r="X72" s="29"/>
      <c r="Y72" s="29"/>
      <c r="Z72" s="34"/>
    </row>
    <row r="73" spans="1:26" ht="12.9" x14ac:dyDescent="0.35">
      <c r="A73" s="11"/>
      <c r="B73" s="20" t="s">
        <v>7</v>
      </c>
      <c r="C73" s="484">
        <v>81.7</v>
      </c>
      <c r="E73" s="187" t="s">
        <v>53</v>
      </c>
      <c r="F73" s="446">
        <v>0.62747747747747751</v>
      </c>
      <c r="I73" s="53"/>
      <c r="K73" s="8"/>
      <c r="N73" s="106"/>
      <c r="O73" s="106"/>
      <c r="P73" s="106"/>
      <c r="Q73" s="106"/>
      <c r="R73" s="106"/>
      <c r="S73" s="106"/>
      <c r="T73" s="106"/>
      <c r="U73" s="106"/>
      <c r="V73" s="106"/>
      <c r="W73" s="106"/>
      <c r="Y73" s="29"/>
    </row>
    <row r="74" spans="1:26" ht="12.9" x14ac:dyDescent="0.35">
      <c r="A74" s="11"/>
      <c r="B74" s="20" t="s">
        <v>8</v>
      </c>
      <c r="C74" s="484">
        <v>70.349999999999994</v>
      </c>
      <c r="D74" s="112"/>
      <c r="E74" s="187" t="s">
        <v>54</v>
      </c>
      <c r="F74" s="446">
        <v>0.82200392927308452</v>
      </c>
      <c r="I74" s="53"/>
      <c r="K74" s="8"/>
      <c r="N74" s="106"/>
      <c r="O74" s="106"/>
      <c r="P74" s="106"/>
      <c r="Q74" s="106"/>
      <c r="R74" s="106"/>
      <c r="S74" s="106"/>
      <c r="T74" s="106"/>
      <c r="U74" s="106"/>
      <c r="V74" s="106"/>
      <c r="W74" s="106"/>
      <c r="Y74" s="29"/>
    </row>
    <row r="75" spans="1:26" ht="12.9" x14ac:dyDescent="0.35">
      <c r="A75" s="11"/>
      <c r="B75" s="20" t="s">
        <v>9</v>
      </c>
      <c r="C75" s="484">
        <v>54</v>
      </c>
      <c r="D75" s="112"/>
      <c r="E75" s="111"/>
      <c r="H75" s="113"/>
      <c r="I75" s="306"/>
      <c r="J75" s="8"/>
      <c r="N75" s="106"/>
      <c r="O75" s="106"/>
      <c r="P75" s="106"/>
      <c r="Q75" s="106"/>
      <c r="R75" s="106"/>
      <c r="S75" s="106"/>
      <c r="T75" s="106"/>
      <c r="U75" s="106"/>
      <c r="V75" s="106"/>
      <c r="W75" s="106"/>
      <c r="X75" s="31"/>
      <c r="Y75" s="29"/>
      <c r="Z75" s="32"/>
    </row>
    <row r="76" spans="1:26" ht="12.9" x14ac:dyDescent="0.35">
      <c r="A76" s="11"/>
      <c r="B76" s="20" t="s">
        <v>10</v>
      </c>
      <c r="C76" s="484">
        <v>49.65</v>
      </c>
      <c r="D76" s="112"/>
      <c r="E76" s="111"/>
      <c r="H76" s="113"/>
      <c r="I76" s="306"/>
      <c r="J76" s="8"/>
      <c r="N76" s="106"/>
      <c r="O76" s="106"/>
      <c r="P76" s="106"/>
      <c r="Q76" s="106"/>
      <c r="R76" s="106"/>
      <c r="S76" s="106"/>
      <c r="T76" s="106"/>
      <c r="U76" s="106"/>
      <c r="V76" s="106"/>
      <c r="W76" s="106"/>
      <c r="X76" s="29"/>
      <c r="Y76" s="29"/>
      <c r="Z76" s="34"/>
    </row>
    <row r="77" spans="1:26" ht="12.9" x14ac:dyDescent="0.35">
      <c r="A77" s="11"/>
      <c r="B77" s="20" t="s">
        <v>11</v>
      </c>
      <c r="C77" s="484">
        <v>53.15</v>
      </c>
      <c r="D77" s="112"/>
      <c r="E77" s="111"/>
      <c r="H77" s="113"/>
      <c r="I77" s="306"/>
      <c r="N77" s="106"/>
      <c r="O77" s="106"/>
      <c r="P77" s="106"/>
      <c r="Q77" s="106"/>
      <c r="R77" s="106"/>
      <c r="S77" s="106"/>
      <c r="T77" s="106"/>
      <c r="U77" s="106"/>
      <c r="V77" s="106"/>
      <c r="W77" s="106"/>
      <c r="Y77" s="29"/>
    </row>
    <row r="78" spans="1:26" ht="12.9" x14ac:dyDescent="0.35">
      <c r="A78" s="11"/>
      <c r="B78" s="20" t="s">
        <v>12</v>
      </c>
      <c r="C78" s="484">
        <v>52.7</v>
      </c>
      <c r="F78" s="520" t="s">
        <v>485</v>
      </c>
      <c r="G78" s="521"/>
      <c r="I78" s="53"/>
      <c r="N78" s="106"/>
      <c r="O78" s="106"/>
      <c r="P78" s="106"/>
      <c r="Q78" s="106"/>
      <c r="R78" s="106"/>
      <c r="S78" s="106"/>
      <c r="T78" s="106"/>
      <c r="U78" s="106"/>
      <c r="V78" s="106"/>
      <c r="W78" s="106"/>
      <c r="X78" s="29"/>
      <c r="Y78" s="29"/>
      <c r="Z78" s="32"/>
    </row>
    <row r="79" spans="1:26" ht="12.9" x14ac:dyDescent="0.35">
      <c r="A79" s="11"/>
      <c r="B79" s="20" t="s">
        <v>13</v>
      </c>
      <c r="C79" s="484">
        <v>77.45</v>
      </c>
      <c r="D79" s="37"/>
      <c r="E79" s="16"/>
      <c r="F79" s="16" t="s">
        <v>20</v>
      </c>
      <c r="G79" s="16" t="s">
        <v>21</v>
      </c>
      <c r="H79" s="38"/>
      <c r="I79" s="53"/>
      <c r="N79" s="106"/>
      <c r="O79" s="106"/>
      <c r="P79" s="106"/>
      <c r="Q79" s="106"/>
      <c r="R79" s="106"/>
      <c r="S79" s="106"/>
      <c r="T79" s="106"/>
      <c r="U79" s="106"/>
      <c r="V79" s="106"/>
      <c r="W79" s="106"/>
      <c r="X79" s="29"/>
      <c r="Y79" s="29"/>
      <c r="Z79" s="34"/>
    </row>
    <row r="80" spans="1:26" ht="12.9" x14ac:dyDescent="0.35">
      <c r="A80" s="11"/>
      <c r="B80" s="20" t="s">
        <v>14</v>
      </c>
      <c r="C80" s="484">
        <v>69.25</v>
      </c>
      <c r="D80" s="37"/>
      <c r="E80" s="187" t="s">
        <v>53</v>
      </c>
      <c r="F80" s="485">
        <v>0.82207718501702598</v>
      </c>
      <c r="G80" s="485">
        <v>0.88823926242410611</v>
      </c>
      <c r="H80" s="38"/>
      <c r="I80" s="53"/>
      <c r="N80" s="106"/>
      <c r="O80" s="106"/>
      <c r="P80" s="106"/>
      <c r="Q80" s="106"/>
      <c r="R80" s="106"/>
      <c r="S80" s="106"/>
      <c r="T80" s="106"/>
      <c r="U80" s="106"/>
      <c r="V80" s="106"/>
      <c r="W80" s="106"/>
    </row>
    <row r="81" spans="1:23" ht="12.9" x14ac:dyDescent="0.35">
      <c r="A81" s="11"/>
      <c r="B81" s="20" t="s">
        <v>15</v>
      </c>
      <c r="C81" s="484">
        <v>55.4</v>
      </c>
      <c r="D81" s="37"/>
      <c r="E81" s="187" t="s">
        <v>54</v>
      </c>
      <c r="F81" s="485">
        <v>0.82550077041602465</v>
      </c>
      <c r="G81" s="485">
        <v>0.88817451205510911</v>
      </c>
      <c r="H81" s="38"/>
      <c r="I81" s="53"/>
      <c r="N81" s="106"/>
      <c r="O81" s="106"/>
      <c r="P81" s="106"/>
      <c r="Q81" s="106"/>
      <c r="R81" s="106"/>
      <c r="S81" s="106"/>
      <c r="T81" s="106"/>
      <c r="U81" s="106"/>
      <c r="V81" s="106"/>
      <c r="W81" s="106"/>
    </row>
    <row r="82" spans="1:23" ht="12.9" x14ac:dyDescent="0.35">
      <c r="A82" s="11"/>
      <c r="B82" s="20" t="s">
        <v>16</v>
      </c>
      <c r="C82" s="484">
        <v>49.8</v>
      </c>
      <c r="D82" s="37"/>
      <c r="E82" s="111"/>
      <c r="H82" s="113"/>
      <c r="I82" s="306"/>
      <c r="N82" s="106"/>
      <c r="O82" s="106"/>
      <c r="P82" s="106"/>
      <c r="Q82" s="106"/>
      <c r="R82" s="106"/>
      <c r="S82" s="106"/>
      <c r="T82" s="106"/>
      <c r="U82" s="106"/>
      <c r="V82" s="106"/>
      <c r="W82" s="106"/>
    </row>
    <row r="83" spans="1:23" ht="12.9" x14ac:dyDescent="0.35">
      <c r="A83" s="11"/>
      <c r="B83" s="20" t="s">
        <v>17</v>
      </c>
      <c r="C83" s="484">
        <v>50.45</v>
      </c>
      <c r="D83" s="112"/>
      <c r="E83" s="111"/>
      <c r="H83" s="113"/>
      <c r="I83" s="306"/>
      <c r="N83" s="106"/>
      <c r="O83" s="106"/>
      <c r="P83" s="106"/>
      <c r="Q83" s="106"/>
      <c r="R83" s="106"/>
      <c r="S83" s="106"/>
      <c r="T83" s="106"/>
      <c r="U83" s="106"/>
      <c r="V83" s="106"/>
      <c r="W83" s="106"/>
    </row>
    <row r="84" spans="1:23" ht="12.9" x14ac:dyDescent="0.35">
      <c r="A84" s="11"/>
      <c r="B84" s="20" t="s">
        <v>18</v>
      </c>
      <c r="C84" s="484">
        <v>58.35</v>
      </c>
      <c r="D84" s="112"/>
      <c r="E84" s="111"/>
      <c r="H84" s="113"/>
      <c r="I84" s="306"/>
      <c r="N84" s="106"/>
      <c r="O84" s="106"/>
      <c r="P84" s="106"/>
      <c r="Q84" s="106"/>
      <c r="R84" s="106"/>
      <c r="S84" s="106"/>
      <c r="T84" s="106"/>
      <c r="U84" s="106"/>
      <c r="V84" s="106"/>
      <c r="W84" s="106"/>
    </row>
    <row r="85" spans="1:23" ht="12.9" x14ac:dyDescent="0.35">
      <c r="A85" s="11"/>
      <c r="B85" s="23"/>
      <c r="C85" s="39"/>
      <c r="D85" s="39"/>
      <c r="G85" s="24"/>
      <c r="K85" s="24"/>
      <c r="N85" s="106"/>
      <c r="O85" s="106"/>
      <c r="P85" s="106"/>
      <c r="Q85" s="106"/>
      <c r="R85" s="106"/>
      <c r="S85" s="106"/>
      <c r="T85" s="106"/>
      <c r="U85" s="106"/>
      <c r="V85" s="106"/>
      <c r="W85" s="106"/>
    </row>
    <row r="86" spans="1:23" ht="12.9" x14ac:dyDescent="0.35">
      <c r="A86" s="11"/>
      <c r="B86" s="40"/>
      <c r="C86" s="40"/>
      <c r="D86" s="39"/>
      <c r="G86" s="24"/>
      <c r="K86" s="24"/>
      <c r="N86" s="106"/>
      <c r="O86" s="106"/>
      <c r="P86" s="106"/>
      <c r="Q86" s="106"/>
      <c r="R86" s="106"/>
      <c r="S86" s="106"/>
      <c r="T86" s="106"/>
      <c r="U86" s="106"/>
      <c r="V86" s="106"/>
      <c r="W86" s="106"/>
    </row>
    <row r="87" spans="1:23" ht="12.9" x14ac:dyDescent="0.35">
      <c r="A87" s="11"/>
      <c r="E87" s="43"/>
      <c r="F87" s="43"/>
      <c r="G87" s="43"/>
      <c r="H87" s="43"/>
      <c r="I87" s="43"/>
      <c r="J87" s="43"/>
      <c r="K87" s="43"/>
      <c r="L87" s="43"/>
      <c r="M87" s="43"/>
      <c r="N87" s="106"/>
      <c r="O87" s="106"/>
      <c r="P87" s="106"/>
      <c r="Q87" s="106"/>
      <c r="R87" s="106"/>
      <c r="S87" s="106"/>
      <c r="T87" s="106"/>
      <c r="U87" s="106"/>
      <c r="V87" s="106"/>
      <c r="W87" s="106"/>
    </row>
    <row r="88" spans="1:23" x14ac:dyDescent="0.3">
      <c r="A88" s="9" t="s">
        <v>67</v>
      </c>
      <c r="B88" s="19" t="s">
        <v>295</v>
      </c>
      <c r="C88" s="19" t="s">
        <v>296</v>
      </c>
      <c r="D88" s="19" t="s">
        <v>294</v>
      </c>
      <c r="E88" s="43"/>
      <c r="F88" s="43"/>
      <c r="G88" s="43"/>
      <c r="H88" s="43"/>
      <c r="I88" s="43"/>
      <c r="J88" s="43"/>
      <c r="K88" s="43"/>
      <c r="L88" s="43"/>
      <c r="M88" s="43"/>
      <c r="N88" s="106"/>
      <c r="O88" s="106"/>
      <c r="P88" s="106"/>
      <c r="Q88" s="106"/>
      <c r="R88" s="106"/>
      <c r="S88" s="106"/>
      <c r="T88" s="106"/>
      <c r="U88" s="106"/>
      <c r="V88" s="106"/>
      <c r="W88" s="106"/>
    </row>
    <row r="89" spans="1:23" ht="12.9" x14ac:dyDescent="0.35">
      <c r="A89" s="11"/>
      <c r="B89" s="19" t="s">
        <v>292</v>
      </c>
      <c r="C89" s="189">
        <v>5.8326999999999997E-2</v>
      </c>
      <c r="D89" s="103" t="s">
        <v>494</v>
      </c>
      <c r="E89" s="114"/>
      <c r="F89" s="114"/>
      <c r="G89" s="114"/>
      <c r="H89" s="114"/>
      <c r="I89" s="114"/>
      <c r="J89" s="114"/>
      <c r="K89" s="114"/>
      <c r="L89" s="114"/>
      <c r="M89" s="43"/>
      <c r="N89" s="106"/>
      <c r="O89" s="106"/>
      <c r="P89" s="106"/>
      <c r="Q89" s="106"/>
      <c r="R89" s="106"/>
      <c r="S89" s="106"/>
      <c r="T89" s="106"/>
      <c r="U89" s="106"/>
      <c r="V89" s="106"/>
      <c r="W89" s="106"/>
    </row>
    <row r="90" spans="1:23" ht="12.9" x14ac:dyDescent="0.35">
      <c r="A90" s="11"/>
      <c r="B90" s="19" t="s">
        <v>293</v>
      </c>
      <c r="C90" s="189">
        <v>4.5599999999999998E-3</v>
      </c>
      <c r="D90" s="481" t="s">
        <v>587</v>
      </c>
      <c r="E90" s="42"/>
      <c r="F90" s="42"/>
      <c r="G90" s="42"/>
      <c r="H90" s="42"/>
      <c r="I90" s="42"/>
      <c r="J90" s="42"/>
      <c r="K90" s="42"/>
      <c r="L90" s="42"/>
      <c r="M90" s="43"/>
      <c r="N90" s="106"/>
      <c r="O90" s="106"/>
      <c r="P90" s="106"/>
      <c r="Q90" s="106"/>
      <c r="R90" s="106"/>
      <c r="S90" s="106"/>
      <c r="T90" s="106"/>
      <c r="U90" s="106"/>
      <c r="V90" s="106"/>
      <c r="W90" s="106"/>
    </row>
    <row r="91" spans="1:23" ht="12.9" x14ac:dyDescent="0.35">
      <c r="A91" s="11"/>
      <c r="B91" s="19" t="s">
        <v>299</v>
      </c>
      <c r="C91" s="189">
        <v>1.3639397377851185E-2</v>
      </c>
      <c r="D91" s="482" t="s">
        <v>586</v>
      </c>
      <c r="E91" s="42"/>
      <c r="F91" s="42"/>
      <c r="G91" s="42"/>
      <c r="H91" s="42"/>
      <c r="I91" s="42"/>
      <c r="J91" s="42"/>
      <c r="K91" s="42"/>
      <c r="L91" s="42"/>
      <c r="M91" s="43"/>
      <c r="N91" s="106"/>
      <c r="O91" s="106"/>
      <c r="P91" s="106"/>
      <c r="Q91" s="106"/>
      <c r="R91" s="106"/>
      <c r="S91" s="106"/>
      <c r="T91" s="106"/>
      <c r="U91" s="106"/>
      <c r="V91" s="106"/>
      <c r="W91" s="106"/>
    </row>
    <row r="92" spans="1:23" ht="12.9" x14ac:dyDescent="0.35">
      <c r="A92" s="11"/>
      <c r="C92" s="44"/>
      <c r="D92" s="43"/>
      <c r="E92" s="43"/>
      <c r="F92" s="43"/>
      <c r="G92" s="43"/>
      <c r="H92" s="43"/>
      <c r="I92" s="43"/>
      <c r="J92" s="43"/>
      <c r="K92" s="43"/>
      <c r="L92" s="43"/>
      <c r="M92" s="43"/>
      <c r="N92" s="106"/>
      <c r="O92" s="106"/>
      <c r="P92" s="106"/>
      <c r="Q92" s="106"/>
      <c r="R92" s="106"/>
      <c r="S92" s="106"/>
      <c r="T92" s="106"/>
      <c r="U92" s="106"/>
      <c r="V92" s="106"/>
      <c r="W92" s="106"/>
    </row>
    <row r="93" spans="1:23" ht="12.9" x14ac:dyDescent="0.35">
      <c r="A93" s="11"/>
      <c r="N93" s="106"/>
      <c r="O93" s="106"/>
      <c r="P93" s="106"/>
      <c r="Q93" s="106"/>
      <c r="R93" s="106"/>
      <c r="S93" s="106"/>
      <c r="T93" s="106"/>
      <c r="U93" s="106"/>
      <c r="V93" s="106"/>
      <c r="W93" s="106"/>
    </row>
    <row r="94" spans="1:23" ht="12.9" x14ac:dyDescent="0.35">
      <c r="A94" s="11"/>
      <c r="N94" s="106"/>
      <c r="O94" s="106"/>
      <c r="P94" s="106"/>
      <c r="Q94" s="106"/>
      <c r="R94" s="106"/>
      <c r="S94" s="106"/>
      <c r="T94" s="106"/>
      <c r="U94" s="106"/>
      <c r="V94" s="106"/>
      <c r="W94" s="106"/>
    </row>
    <row r="95" spans="1:23" ht="12.9" x14ac:dyDescent="0.35">
      <c r="A95" s="11"/>
      <c r="N95" s="106"/>
      <c r="O95" s="106"/>
      <c r="P95" s="106"/>
      <c r="Q95" s="106"/>
      <c r="R95" s="106"/>
      <c r="S95" s="106"/>
      <c r="T95" s="106"/>
      <c r="U95" s="106"/>
      <c r="V95" s="106"/>
      <c r="W95" s="106"/>
    </row>
    <row r="96" spans="1:23" x14ac:dyDescent="0.3">
      <c r="A96" s="9" t="s">
        <v>71</v>
      </c>
      <c r="B96" s="7" t="s">
        <v>158</v>
      </c>
      <c r="L96" s="5"/>
      <c r="N96" s="106"/>
      <c r="O96" s="106"/>
      <c r="P96" s="106"/>
      <c r="Q96" s="106"/>
      <c r="R96" s="106"/>
      <c r="S96" s="106"/>
      <c r="T96" s="106"/>
      <c r="U96" s="106"/>
      <c r="V96" s="106"/>
      <c r="W96" s="106"/>
    </row>
    <row r="97" spans="1:23" ht="12.9" x14ac:dyDescent="0.35">
      <c r="A97" s="11"/>
      <c r="B97" s="476" t="s">
        <v>588</v>
      </c>
      <c r="L97" s="5"/>
      <c r="N97" s="106"/>
      <c r="O97" s="106"/>
      <c r="P97" s="106"/>
      <c r="Q97" s="106"/>
      <c r="R97" s="106"/>
      <c r="S97" s="106"/>
      <c r="T97" s="106"/>
      <c r="U97" s="106"/>
      <c r="V97" s="106"/>
      <c r="W97" s="106"/>
    </row>
    <row r="98" spans="1:23" ht="12.9" x14ac:dyDescent="0.35">
      <c r="A98" s="11"/>
      <c r="B98" s="476" t="s">
        <v>77</v>
      </c>
      <c r="C98" s="5"/>
      <c r="D98" s="5"/>
      <c r="E98" s="5"/>
      <c r="F98" s="5"/>
      <c r="G98" s="5"/>
      <c r="H98" s="5"/>
      <c r="I98" s="5"/>
      <c r="J98" s="5"/>
      <c r="K98" s="5"/>
      <c r="L98" s="5"/>
      <c r="M98" s="5"/>
      <c r="N98" s="106"/>
      <c r="O98" s="106"/>
      <c r="P98" s="106"/>
      <c r="Q98" s="106"/>
      <c r="R98" s="106"/>
      <c r="S98" s="106"/>
      <c r="T98" s="106"/>
      <c r="U98" s="106"/>
      <c r="V98" s="106"/>
      <c r="W98" s="106"/>
    </row>
    <row r="99" spans="1:23" ht="12.75" customHeight="1" x14ac:dyDescent="0.35">
      <c r="A99" s="11"/>
      <c r="B99" s="8"/>
      <c r="C99" s="5"/>
      <c r="D99" s="5"/>
      <c r="E99" s="5"/>
      <c r="F99" s="5"/>
      <c r="G99" s="5"/>
      <c r="H99" s="5"/>
      <c r="I99" s="5"/>
      <c r="J99" s="5"/>
      <c r="K99" s="5"/>
      <c r="M99" s="5"/>
      <c r="N99" s="106"/>
      <c r="O99" s="106"/>
      <c r="P99" s="106"/>
      <c r="Q99" s="106"/>
      <c r="R99" s="106"/>
      <c r="S99" s="106"/>
      <c r="T99" s="106"/>
      <c r="U99" s="106"/>
      <c r="V99" s="106"/>
      <c r="W99" s="106"/>
    </row>
    <row r="100" spans="1:23" ht="12.9" x14ac:dyDescent="0.35">
      <c r="A100" s="11"/>
      <c r="B100" s="19"/>
      <c r="C100" s="16" t="s">
        <v>0</v>
      </c>
      <c r="D100" s="16" t="s">
        <v>1</v>
      </c>
      <c r="E100" s="16" t="s">
        <v>2</v>
      </c>
      <c r="F100" s="16" t="s">
        <v>3</v>
      </c>
      <c r="G100" s="16" t="s">
        <v>4</v>
      </c>
      <c r="H100" s="16" t="s">
        <v>6</v>
      </c>
      <c r="I100" s="16" t="s">
        <v>37</v>
      </c>
      <c r="J100" s="16" t="s">
        <v>38</v>
      </c>
      <c r="K100" s="16" t="s">
        <v>5</v>
      </c>
      <c r="L100" s="16" t="s">
        <v>36</v>
      </c>
      <c r="N100" s="106"/>
      <c r="O100" s="106"/>
      <c r="P100" s="106"/>
      <c r="Q100" s="106"/>
      <c r="R100" s="106"/>
      <c r="S100" s="106"/>
      <c r="T100" s="106"/>
      <c r="U100" s="106"/>
      <c r="V100" s="106"/>
      <c r="W100" s="106"/>
    </row>
    <row r="101" spans="1:23" x14ac:dyDescent="0.3">
      <c r="A101" s="45"/>
      <c r="B101" s="468" t="s">
        <v>304</v>
      </c>
      <c r="C101" s="477">
        <v>4373.7012211177444</v>
      </c>
      <c r="D101" s="477">
        <v>14.741968057168139</v>
      </c>
      <c r="E101" s="477">
        <v>62.308453294254917</v>
      </c>
      <c r="F101" s="477">
        <v>0</v>
      </c>
      <c r="G101" s="477">
        <v>0</v>
      </c>
      <c r="H101" s="477">
        <v>2.3291195765305455</v>
      </c>
      <c r="I101" s="477">
        <v>0</v>
      </c>
      <c r="J101" s="477">
        <v>0</v>
      </c>
      <c r="K101" s="477">
        <v>1747.5279487439136</v>
      </c>
      <c r="L101" s="477">
        <v>1274.6135020427903</v>
      </c>
      <c r="M101" s="46">
        <f>SUM(C101:L101)</f>
        <v>7475.222212832402</v>
      </c>
      <c r="N101" s="106"/>
      <c r="O101" s="106"/>
      <c r="P101" s="106"/>
      <c r="Q101" s="106"/>
      <c r="R101" s="106"/>
      <c r="S101" s="106"/>
      <c r="T101" s="106"/>
      <c r="U101" s="106"/>
      <c r="V101" s="106"/>
      <c r="W101" s="106"/>
    </row>
    <row r="102" spans="1:23" x14ac:dyDescent="0.3">
      <c r="A102" s="4"/>
      <c r="B102" s="468" t="s">
        <v>288</v>
      </c>
      <c r="C102" s="478">
        <v>4467.4395103739362</v>
      </c>
      <c r="D102" s="478">
        <v>15.121380698434363</v>
      </c>
      <c r="E102" s="478">
        <v>61.907096824438739</v>
      </c>
      <c r="F102" s="478">
        <v>0</v>
      </c>
      <c r="G102" s="478">
        <v>0</v>
      </c>
      <c r="H102" s="478">
        <v>2.3837579421471684</v>
      </c>
      <c r="I102" s="478">
        <v>0</v>
      </c>
      <c r="J102" s="478">
        <v>0</v>
      </c>
      <c r="K102" s="478">
        <v>1765.8050466595644</v>
      </c>
      <c r="L102" s="478">
        <v>1272.2775071358039</v>
      </c>
      <c r="M102" s="46">
        <f>SUM(C102:L102)</f>
        <v>7584.9342996343239</v>
      </c>
      <c r="N102" s="106"/>
      <c r="O102" s="106"/>
      <c r="P102" s="106"/>
      <c r="Q102" s="106"/>
      <c r="R102" s="106"/>
      <c r="S102" s="106"/>
      <c r="T102" s="106"/>
      <c r="U102" s="106"/>
      <c r="V102" s="106"/>
      <c r="W102" s="106"/>
    </row>
    <row r="103" spans="1:23" x14ac:dyDescent="0.3">
      <c r="A103" s="45"/>
      <c r="C103" s="115"/>
      <c r="D103" s="115"/>
      <c r="E103" s="115"/>
      <c r="F103" s="115"/>
      <c r="G103" s="115"/>
      <c r="H103" s="115"/>
      <c r="I103" s="115"/>
      <c r="J103" s="115"/>
      <c r="K103" s="115"/>
      <c r="L103" s="115"/>
      <c r="M103" s="46"/>
      <c r="N103" s="106"/>
      <c r="O103" s="106"/>
      <c r="P103" s="106"/>
      <c r="Q103" s="106"/>
      <c r="R103" s="106"/>
      <c r="S103" s="106"/>
      <c r="T103" s="106"/>
      <c r="U103" s="106"/>
      <c r="V103" s="106"/>
      <c r="W103" s="106"/>
    </row>
    <row r="104" spans="1:23" x14ac:dyDescent="0.3">
      <c r="A104" s="466"/>
      <c r="B104" s="468" t="s">
        <v>289</v>
      </c>
      <c r="C104" s="479">
        <v>1.1193161113506478</v>
      </c>
      <c r="D104" s="469"/>
      <c r="E104" s="48"/>
      <c r="F104" s="48"/>
      <c r="G104" s="48"/>
      <c r="H104" s="48"/>
      <c r="I104" s="48"/>
      <c r="J104" s="48"/>
      <c r="K104" s="48"/>
      <c r="M104" s="48"/>
      <c r="N104" s="106"/>
      <c r="O104" s="106"/>
      <c r="P104" s="106"/>
      <c r="Q104" s="106"/>
      <c r="R104" s="106"/>
      <c r="S104" s="106"/>
      <c r="T104" s="106"/>
      <c r="U104" s="106"/>
      <c r="V104" s="106"/>
      <c r="W104" s="106"/>
    </row>
    <row r="105" spans="1:23" x14ac:dyDescent="0.3">
      <c r="A105" s="466"/>
      <c r="B105" s="103" t="str">
        <f>"PJM June 1, "&amp;(Input!D2-1)&amp;" (through May 31, "&amp;(Input!D2)&amp;") Forecast Pool Requirement"</f>
        <v>PJM June 1, 2024 (through May 31, 2025) Forecast Pool Requirement</v>
      </c>
      <c r="C105" s="480">
        <v>1.117</v>
      </c>
      <c r="D105" s="469"/>
      <c r="I105" s="48"/>
      <c r="K105" s="5"/>
      <c r="M105" s="48"/>
      <c r="N105" s="106"/>
      <c r="O105" s="106"/>
      <c r="P105" s="106"/>
      <c r="Q105" s="106"/>
      <c r="R105" s="106"/>
      <c r="S105" s="106"/>
      <c r="T105" s="106"/>
      <c r="U105" s="106"/>
      <c r="V105" s="106"/>
      <c r="W105" s="106"/>
    </row>
    <row r="106" spans="1:23" ht="12.9" x14ac:dyDescent="0.35">
      <c r="A106" s="11"/>
      <c r="D106" s="33"/>
      <c r="E106" s="116"/>
      <c r="G106" s="33"/>
      <c r="H106" s="49"/>
      <c r="I106" s="48"/>
      <c r="M106" s="48"/>
      <c r="N106" s="106"/>
      <c r="O106" s="106"/>
      <c r="P106" s="106"/>
      <c r="Q106" s="106"/>
      <c r="R106" s="106"/>
      <c r="S106" s="106"/>
      <c r="T106" s="106"/>
      <c r="U106" s="106"/>
      <c r="V106" s="106"/>
      <c r="W106" s="106"/>
    </row>
    <row r="107" spans="1:23" ht="12.9" x14ac:dyDescent="0.35">
      <c r="A107" s="11"/>
      <c r="B107" s="49"/>
      <c r="D107" s="49"/>
      <c r="G107" s="33"/>
      <c r="H107" s="49"/>
      <c r="I107" s="48"/>
      <c r="M107" s="48"/>
      <c r="N107" s="106"/>
      <c r="O107" s="106"/>
      <c r="P107" s="106"/>
      <c r="Q107" s="106"/>
      <c r="R107" s="106"/>
      <c r="S107" s="106"/>
      <c r="T107" s="106"/>
      <c r="U107" s="106"/>
      <c r="V107" s="106"/>
      <c r="W107" s="106"/>
    </row>
    <row r="108" spans="1:23" ht="12.9" x14ac:dyDescent="0.35">
      <c r="A108" s="11"/>
      <c r="B108" s="202"/>
      <c r="C108" s="190"/>
      <c r="E108" s="191"/>
      <c r="F108" s="33"/>
      <c r="G108" s="33"/>
      <c r="H108" s="49"/>
      <c r="I108" s="48"/>
      <c r="K108" s="106"/>
      <c r="L108" s="106"/>
      <c r="M108" s="106"/>
      <c r="N108" s="106"/>
      <c r="O108" s="106"/>
      <c r="P108" s="106"/>
      <c r="Q108" s="106"/>
      <c r="R108" s="106"/>
      <c r="S108" s="106"/>
      <c r="T108" s="106"/>
    </row>
    <row r="109" spans="1:23" ht="12.9" x14ac:dyDescent="0.35">
      <c r="A109" s="11"/>
      <c r="B109" s="11"/>
      <c r="C109" s="190"/>
      <c r="E109" s="191"/>
      <c r="F109" s="33"/>
      <c r="G109" s="33"/>
      <c r="H109" s="190"/>
      <c r="J109" s="191"/>
      <c r="K109" s="106"/>
      <c r="L109" s="106"/>
      <c r="M109" s="106"/>
      <c r="N109" s="106"/>
      <c r="O109" s="106"/>
      <c r="P109" s="106"/>
      <c r="Q109" s="106"/>
      <c r="R109" s="106"/>
      <c r="S109" s="106"/>
      <c r="T109" s="106"/>
    </row>
    <row r="110" spans="1:23" ht="12.9" x14ac:dyDescent="0.35">
      <c r="A110" s="11"/>
      <c r="C110" s="190"/>
      <c r="E110" s="191"/>
      <c r="F110" s="50"/>
      <c r="G110" s="50"/>
      <c r="H110" s="49"/>
      <c r="I110" s="48"/>
      <c r="K110" s="106"/>
      <c r="L110" s="106"/>
      <c r="M110" s="106"/>
      <c r="N110" s="106"/>
      <c r="O110" s="106"/>
      <c r="P110" s="106"/>
      <c r="Q110" s="106"/>
      <c r="R110" s="106"/>
      <c r="S110" s="106"/>
      <c r="T110" s="106"/>
    </row>
    <row r="111" spans="1:23" ht="12.9" x14ac:dyDescent="0.35">
      <c r="A111" s="11"/>
      <c r="C111" s="190"/>
      <c r="E111" s="191"/>
      <c r="F111" s="33"/>
      <c r="G111" s="33"/>
      <c r="I111" s="48"/>
      <c r="J111" s="117"/>
      <c r="K111" s="106"/>
      <c r="L111" s="106"/>
      <c r="M111" s="106"/>
      <c r="N111" s="106"/>
      <c r="O111" s="106"/>
      <c r="P111" s="106"/>
      <c r="Q111" s="106"/>
      <c r="R111" s="106"/>
      <c r="S111" s="106"/>
      <c r="T111" s="106"/>
    </row>
    <row r="112" spans="1:23" ht="12.9" x14ac:dyDescent="0.35">
      <c r="A112" s="11"/>
      <c r="B112" s="49"/>
      <c r="C112" s="33"/>
      <c r="E112" s="522" t="s">
        <v>500</v>
      </c>
      <c r="F112" s="522"/>
      <c r="I112" s="48"/>
      <c r="J112" s="117"/>
      <c r="K112" s="106"/>
      <c r="L112" s="106"/>
      <c r="M112" s="106"/>
      <c r="N112" s="106"/>
      <c r="O112" s="106"/>
      <c r="P112" s="106"/>
      <c r="Q112" s="106"/>
      <c r="R112" s="106"/>
      <c r="S112" s="106"/>
      <c r="T112" s="106"/>
    </row>
    <row r="113" spans="1:23" ht="12.9" x14ac:dyDescent="0.35">
      <c r="A113" s="11"/>
      <c r="B113" s="49" t="s">
        <v>102</v>
      </c>
      <c r="C113" s="516" t="s">
        <v>150</v>
      </c>
      <c r="D113" s="516"/>
      <c r="E113" s="193">
        <v>51.85</v>
      </c>
      <c r="F113" s="87" t="s">
        <v>98</v>
      </c>
      <c r="I113" s="48"/>
      <c r="J113" s="117"/>
      <c r="K113" s="106"/>
      <c r="L113" s="106"/>
      <c r="M113" s="106"/>
      <c r="N113" s="106"/>
      <c r="O113" s="106"/>
      <c r="P113" s="106"/>
      <c r="Q113" s="106"/>
      <c r="R113" s="106"/>
      <c r="S113" s="106"/>
      <c r="T113" s="106"/>
    </row>
    <row r="114" spans="1:23" ht="12.9" x14ac:dyDescent="0.35">
      <c r="A114" s="11"/>
      <c r="C114" s="516" t="s">
        <v>151</v>
      </c>
      <c r="D114" s="516"/>
      <c r="E114" s="193">
        <v>51.85</v>
      </c>
      <c r="F114" s="87" t="s">
        <v>98</v>
      </c>
      <c r="N114" s="106"/>
      <c r="O114" s="106"/>
      <c r="P114" s="106"/>
      <c r="Q114" s="106"/>
      <c r="R114" s="106"/>
      <c r="S114" s="106"/>
      <c r="T114" s="106"/>
      <c r="U114" s="106"/>
      <c r="V114" s="106"/>
      <c r="W114" s="106"/>
    </row>
    <row r="115" spans="1:23" ht="18" customHeight="1" x14ac:dyDescent="0.35">
      <c r="A115" s="11"/>
      <c r="E115" s="470"/>
      <c r="F115" s="444"/>
      <c r="G115" s="49"/>
      <c r="H115" s="49"/>
      <c r="I115" s="49"/>
      <c r="N115" s="106"/>
      <c r="O115" s="106"/>
      <c r="P115" s="106"/>
      <c r="Q115" s="106"/>
      <c r="R115" s="106"/>
      <c r="S115" s="106"/>
      <c r="T115" s="106"/>
      <c r="U115" s="106"/>
      <c r="V115" s="106"/>
      <c r="W115" s="106"/>
    </row>
    <row r="116" spans="1:23" ht="12.9" x14ac:dyDescent="0.35">
      <c r="A116" s="11"/>
      <c r="F116" s="49"/>
      <c r="G116" s="49"/>
      <c r="H116" s="49"/>
      <c r="I116" s="49"/>
      <c r="J116" s="49"/>
      <c r="N116" s="106"/>
      <c r="O116" s="106"/>
      <c r="P116" s="106"/>
      <c r="Q116" s="106"/>
      <c r="R116" s="106"/>
      <c r="S116" s="106"/>
      <c r="T116" s="106"/>
      <c r="U116" s="106"/>
      <c r="V116" s="106"/>
      <c r="W116" s="106"/>
    </row>
    <row r="117" spans="1:23" ht="12.9" x14ac:dyDescent="0.35">
      <c r="A117" s="11"/>
      <c r="F117" s="49"/>
      <c r="G117" s="49"/>
      <c r="H117" s="49"/>
      <c r="I117" s="49"/>
      <c r="J117" s="49"/>
      <c r="N117" s="106"/>
      <c r="O117" s="106"/>
      <c r="P117" s="106"/>
      <c r="Q117" s="106"/>
      <c r="R117" s="106"/>
      <c r="S117" s="106"/>
      <c r="T117" s="106"/>
      <c r="U117" s="106"/>
      <c r="V117" s="106"/>
      <c r="W117" s="106"/>
    </row>
    <row r="118" spans="1:23" x14ac:dyDescent="0.3">
      <c r="A118" s="9"/>
      <c r="B118" s="19"/>
      <c r="C118" s="16" t="s">
        <v>0</v>
      </c>
      <c r="D118" s="16" t="s">
        <v>1</v>
      </c>
      <c r="F118" s="49"/>
      <c r="G118" s="49"/>
      <c r="H118" s="49"/>
      <c r="I118" s="49"/>
      <c r="J118" s="118"/>
      <c r="N118" s="106"/>
      <c r="O118" s="106"/>
      <c r="P118" s="106"/>
      <c r="Q118" s="106"/>
      <c r="R118" s="106"/>
      <c r="S118" s="106"/>
      <c r="T118" s="106"/>
      <c r="U118" s="106"/>
      <c r="V118" s="106"/>
      <c r="W118" s="106"/>
    </row>
    <row r="119" spans="1:23" ht="12.9" x14ac:dyDescent="0.35">
      <c r="A119" s="9"/>
      <c r="B119" s="186" t="s">
        <v>184</v>
      </c>
      <c r="C119" s="446">
        <v>0.86519999999999975</v>
      </c>
      <c r="D119" s="446">
        <v>1.1569000000000003</v>
      </c>
      <c r="E119" s="49" t="s">
        <v>161</v>
      </c>
      <c r="F119" s="52" t="s">
        <v>497</v>
      </c>
      <c r="I119" s="49"/>
      <c r="J119" s="118"/>
      <c r="K119" s="53"/>
      <c r="N119" s="106"/>
      <c r="O119" s="106"/>
      <c r="P119" s="106"/>
      <c r="Q119" s="106"/>
      <c r="R119" s="106"/>
      <c r="S119" s="106"/>
      <c r="T119" s="106"/>
      <c r="U119" s="106"/>
      <c r="V119" s="106"/>
      <c r="W119" s="106"/>
    </row>
    <row r="120" spans="1:23" x14ac:dyDescent="0.3">
      <c r="A120" s="9"/>
      <c r="F120" s="49"/>
      <c r="H120" s="49"/>
      <c r="I120" s="49"/>
      <c r="J120" s="118"/>
      <c r="K120" s="53"/>
      <c r="N120" s="106"/>
      <c r="O120" s="106"/>
      <c r="P120" s="106"/>
      <c r="Q120" s="106"/>
      <c r="R120" s="106"/>
      <c r="S120" s="106"/>
      <c r="T120" s="106"/>
      <c r="U120" s="106"/>
      <c r="V120" s="106"/>
      <c r="W120" s="106"/>
    </row>
    <row r="121" spans="1:23" x14ac:dyDescent="0.3">
      <c r="A121" s="4"/>
      <c r="B121" s="49"/>
      <c r="C121" s="49"/>
      <c r="D121" s="49"/>
      <c r="E121" s="49"/>
      <c r="F121" s="49"/>
      <c r="G121" s="49"/>
      <c r="H121" s="49"/>
      <c r="I121" s="49"/>
      <c r="J121" s="49"/>
      <c r="N121" s="106"/>
      <c r="O121" s="106"/>
      <c r="P121" s="106"/>
      <c r="Q121" s="106"/>
      <c r="R121" s="106"/>
      <c r="S121" s="106"/>
      <c r="T121" s="106"/>
      <c r="U121" s="106"/>
      <c r="V121" s="106"/>
      <c r="W121" s="106"/>
    </row>
    <row r="122" spans="1:23" x14ac:dyDescent="0.3">
      <c r="A122" s="9" t="s">
        <v>72</v>
      </c>
      <c r="B122" s="7" t="s">
        <v>481</v>
      </c>
      <c r="D122" s="49"/>
      <c r="I122" s="49"/>
      <c r="J122" s="49"/>
      <c r="N122" s="106"/>
      <c r="O122" s="106"/>
      <c r="P122" s="106"/>
      <c r="Q122" s="106"/>
      <c r="R122" s="106"/>
      <c r="S122" s="106"/>
      <c r="T122" s="106"/>
      <c r="U122" s="106"/>
      <c r="V122" s="106"/>
      <c r="W122" s="106"/>
    </row>
    <row r="123" spans="1:23" x14ac:dyDescent="0.3">
      <c r="A123" s="9"/>
      <c r="B123" s="49" t="s">
        <v>482</v>
      </c>
      <c r="D123" s="193">
        <v>2</v>
      </c>
      <c r="E123" s="41" t="s">
        <v>142</v>
      </c>
      <c r="G123" s="470"/>
      <c r="I123" s="49"/>
      <c r="J123" s="49"/>
      <c r="N123" s="106"/>
      <c r="O123" s="106"/>
      <c r="P123" s="106"/>
      <c r="Q123" s="106"/>
      <c r="R123" s="106"/>
      <c r="S123" s="106"/>
      <c r="T123" s="106"/>
      <c r="U123" s="106"/>
      <c r="V123" s="106"/>
      <c r="W123" s="106"/>
    </row>
    <row r="124" spans="1:23" x14ac:dyDescent="0.3">
      <c r="A124" s="9"/>
      <c r="B124" s="49" t="s">
        <v>483</v>
      </c>
      <c r="D124" s="193">
        <v>22.640000000000004</v>
      </c>
      <c r="E124" s="41" t="s">
        <v>142</v>
      </c>
      <c r="G124" s="470"/>
      <c r="I124" s="49"/>
      <c r="J124" s="49"/>
      <c r="N124" s="106"/>
      <c r="O124" s="106"/>
      <c r="P124" s="106"/>
      <c r="Q124" s="106"/>
      <c r="R124" s="106"/>
      <c r="S124" s="106"/>
      <c r="T124" s="106"/>
      <c r="U124" s="106"/>
      <c r="V124" s="106"/>
      <c r="W124" s="106"/>
    </row>
    <row r="125" spans="1:23" ht="12.9" x14ac:dyDescent="0.35">
      <c r="A125" s="11"/>
      <c r="B125" s="8"/>
      <c r="E125" s="41"/>
      <c r="N125" s="106"/>
      <c r="O125" s="106"/>
      <c r="P125" s="106"/>
      <c r="Q125" s="106"/>
      <c r="R125" s="106"/>
      <c r="S125" s="106"/>
      <c r="T125" s="106"/>
      <c r="U125" s="106"/>
      <c r="V125" s="106"/>
      <c r="W125" s="106"/>
    </row>
    <row r="126" spans="1:23" ht="12.9" x14ac:dyDescent="0.35">
      <c r="A126" s="11"/>
      <c r="B126" s="8"/>
      <c r="F126" s="41"/>
      <c r="N126" s="106"/>
      <c r="O126" s="106"/>
      <c r="P126" s="106"/>
      <c r="Q126" s="106"/>
      <c r="R126" s="106"/>
      <c r="S126" s="106"/>
      <c r="T126" s="106"/>
      <c r="U126" s="106"/>
      <c r="V126" s="106"/>
      <c r="W126" s="106"/>
    </row>
    <row r="127" spans="1:23" ht="12.9" x14ac:dyDescent="0.35">
      <c r="A127" s="11"/>
      <c r="B127" s="7"/>
      <c r="E127" s="54"/>
      <c r="F127" s="41"/>
      <c r="N127" s="106"/>
      <c r="O127" s="106"/>
      <c r="P127" s="106"/>
      <c r="Q127" s="106"/>
      <c r="R127" s="106"/>
      <c r="S127" s="106"/>
      <c r="T127" s="106"/>
      <c r="U127" s="106"/>
      <c r="V127" s="106"/>
      <c r="W127" s="106"/>
    </row>
    <row r="128" spans="1:23" x14ac:dyDescent="0.3">
      <c r="A128" s="9"/>
      <c r="B128" s="7"/>
      <c r="N128" s="106"/>
      <c r="O128" s="106"/>
      <c r="P128" s="106"/>
      <c r="Q128" s="106"/>
      <c r="R128" s="106"/>
      <c r="S128" s="106"/>
      <c r="T128" s="106"/>
      <c r="U128" s="106"/>
      <c r="V128" s="106"/>
      <c r="W128" s="106"/>
    </row>
    <row r="129" spans="1:23" x14ac:dyDescent="0.3">
      <c r="A129" s="9" t="s">
        <v>400</v>
      </c>
      <c r="B129" s="7" t="s">
        <v>398</v>
      </c>
      <c r="N129" s="106"/>
      <c r="O129" s="106"/>
      <c r="P129" s="106"/>
      <c r="Q129" s="106"/>
      <c r="R129" s="106"/>
      <c r="S129" s="106"/>
      <c r="T129" s="106"/>
      <c r="U129" s="106"/>
      <c r="V129" s="106"/>
      <c r="W129" s="106"/>
    </row>
    <row r="130" spans="1:23" x14ac:dyDescent="0.3">
      <c r="A130" s="9"/>
      <c r="B130" s="7" t="s">
        <v>399</v>
      </c>
      <c r="C130" s="5"/>
      <c r="D130" s="449">
        <v>378.21</v>
      </c>
      <c r="E130" s="5" t="s">
        <v>141</v>
      </c>
      <c r="F130" s="5"/>
      <c r="G130" s="5"/>
      <c r="H130" s="5"/>
      <c r="I130" s="5"/>
      <c r="J130" s="5"/>
      <c r="N130" s="106"/>
      <c r="O130" s="106"/>
      <c r="P130" s="106"/>
      <c r="Q130" s="106"/>
      <c r="R130" s="106"/>
      <c r="S130" s="106"/>
      <c r="T130" s="106"/>
      <c r="U130" s="106"/>
      <c r="V130" s="106"/>
      <c r="W130" s="106"/>
    </row>
    <row r="131" spans="1:23" x14ac:dyDescent="0.3">
      <c r="A131" s="9"/>
      <c r="B131" s="7"/>
      <c r="N131" s="106"/>
      <c r="O131" s="106"/>
      <c r="P131" s="106"/>
      <c r="Q131" s="106"/>
      <c r="R131" s="106"/>
      <c r="S131" s="106"/>
      <c r="T131" s="106"/>
      <c r="U131" s="106"/>
      <c r="V131" s="106"/>
      <c r="W131" s="106"/>
    </row>
    <row r="132" spans="1:23" ht="12.9" x14ac:dyDescent="0.35">
      <c r="A132" s="11"/>
      <c r="B132" s="33"/>
      <c r="C132" s="51"/>
      <c r="D132" s="51"/>
      <c r="E132" s="51"/>
      <c r="F132" s="51"/>
      <c r="G132" s="51"/>
      <c r="H132" s="51"/>
      <c r="I132" s="51"/>
      <c r="J132" s="51"/>
      <c r="K132" s="51"/>
      <c r="L132" s="51"/>
      <c r="M132" s="51"/>
      <c r="N132" s="106"/>
      <c r="O132" s="106"/>
      <c r="P132" s="106"/>
      <c r="Q132" s="106"/>
      <c r="R132" s="106"/>
      <c r="S132" s="106"/>
      <c r="T132" s="106"/>
      <c r="U132" s="106"/>
      <c r="V132" s="106"/>
      <c r="W132" s="106"/>
    </row>
    <row r="133" spans="1:23" ht="12.9" x14ac:dyDescent="0.35">
      <c r="A133" s="11"/>
      <c r="B133" s="33"/>
      <c r="C133" s="51"/>
      <c r="D133" s="51"/>
      <c r="E133" s="51"/>
      <c r="F133" s="51"/>
      <c r="G133" s="51"/>
      <c r="H133" s="51"/>
      <c r="I133" s="51"/>
      <c r="J133" s="51"/>
      <c r="K133" s="51"/>
      <c r="L133" s="51"/>
      <c r="M133" s="51"/>
      <c r="N133" s="106"/>
      <c r="O133" s="106"/>
      <c r="P133" s="106"/>
      <c r="Q133" s="106"/>
      <c r="R133" s="106"/>
      <c r="S133" s="106"/>
      <c r="T133" s="106"/>
      <c r="U133" s="106"/>
      <c r="V133" s="106"/>
      <c r="W133" s="106"/>
    </row>
    <row r="134" spans="1:23" ht="12.9" x14ac:dyDescent="0.35">
      <c r="A134" s="11"/>
      <c r="B134" s="33"/>
      <c r="G134" s="51"/>
      <c r="H134" s="51"/>
      <c r="I134" s="51"/>
      <c r="K134" s="51"/>
      <c r="L134" s="51"/>
      <c r="M134" s="51"/>
      <c r="N134" s="106"/>
      <c r="O134" s="106"/>
      <c r="P134" s="106"/>
      <c r="Q134" s="106"/>
      <c r="R134" s="106"/>
      <c r="S134" s="106"/>
      <c r="T134" s="106"/>
      <c r="U134" s="106"/>
      <c r="V134" s="106"/>
      <c r="W134" s="106"/>
    </row>
    <row r="135" spans="1:23" ht="49.75" x14ac:dyDescent="0.3">
      <c r="A135" s="100" t="s">
        <v>405</v>
      </c>
      <c r="B135" s="103" t="s">
        <v>531</v>
      </c>
      <c r="C135" s="192" t="s">
        <v>554</v>
      </c>
      <c r="D135" s="192" t="s">
        <v>564</v>
      </c>
      <c r="E135" s="450" t="s">
        <v>593</v>
      </c>
      <c r="G135" s="51"/>
      <c r="H135" s="51"/>
      <c r="I135" s="51"/>
      <c r="J135" s="119"/>
      <c r="K135" s="192" t="s">
        <v>486</v>
      </c>
      <c r="L135" s="192" t="s">
        <v>492</v>
      </c>
      <c r="M135" s="192" t="s">
        <v>499</v>
      </c>
      <c r="N135" s="192" t="s">
        <v>498</v>
      </c>
      <c r="O135" s="192" t="s">
        <v>501</v>
      </c>
      <c r="P135" s="192" t="s">
        <v>532</v>
      </c>
      <c r="Q135" s="192" t="s">
        <v>540</v>
      </c>
      <c r="R135" s="192" t="s">
        <v>554</v>
      </c>
      <c r="S135" s="192" t="s">
        <v>564</v>
      </c>
      <c r="T135" s="106"/>
      <c r="U135" s="106"/>
      <c r="V135" s="106"/>
      <c r="W135" s="106"/>
    </row>
    <row r="136" spans="1:23" ht="12.9" x14ac:dyDescent="0.35">
      <c r="A136" s="11"/>
      <c r="B136" s="103" t="s">
        <v>204</v>
      </c>
      <c r="C136" s="193">
        <v>93.11</v>
      </c>
      <c r="D136" s="193">
        <v>80.88</v>
      </c>
      <c r="E136" s="451">
        <v>80.88</v>
      </c>
      <c r="F136" s="194"/>
      <c r="G136" s="51"/>
      <c r="H136" s="51"/>
      <c r="I136" s="51"/>
      <c r="J136" s="55"/>
      <c r="K136" s="193">
        <v>96.38</v>
      </c>
      <c r="L136" s="193">
        <v>90.78</v>
      </c>
      <c r="M136" s="193">
        <v>91.77</v>
      </c>
      <c r="N136" s="193">
        <v>98.04</v>
      </c>
      <c r="O136" s="193">
        <v>102.16</v>
      </c>
      <c r="P136" s="193">
        <v>64.8</v>
      </c>
      <c r="Q136" s="193">
        <v>76.3</v>
      </c>
      <c r="R136" s="193">
        <v>93.11</v>
      </c>
      <c r="S136" s="193">
        <v>80.88</v>
      </c>
      <c r="T136" s="106"/>
      <c r="U136" s="106"/>
      <c r="V136" s="106"/>
      <c r="W136" s="106"/>
    </row>
    <row r="137" spans="1:23" ht="12.9" x14ac:dyDescent="0.35">
      <c r="A137" s="11"/>
      <c r="B137" s="103" t="s">
        <v>305</v>
      </c>
      <c r="C137" s="195">
        <v>28</v>
      </c>
      <c r="D137" s="195">
        <v>29</v>
      </c>
      <c r="E137" s="195">
        <v>28</v>
      </c>
      <c r="F137" s="200"/>
      <c r="G137" s="51"/>
      <c r="H137" s="51"/>
      <c r="I137" s="51"/>
      <c r="K137" s="195">
        <v>28</v>
      </c>
      <c r="L137" s="195">
        <v>28</v>
      </c>
      <c r="M137" s="195">
        <v>29</v>
      </c>
      <c r="N137" s="195">
        <v>28</v>
      </c>
      <c r="O137" s="195">
        <v>28</v>
      </c>
      <c r="P137" s="195">
        <v>29</v>
      </c>
      <c r="Q137" s="195">
        <v>28</v>
      </c>
      <c r="R137" s="195">
        <v>28</v>
      </c>
      <c r="S137" s="195">
        <v>29</v>
      </c>
      <c r="T137" s="106"/>
      <c r="U137" s="106"/>
      <c r="V137" s="106"/>
      <c r="W137" s="106"/>
    </row>
    <row r="138" spans="1:23" ht="12.9" x14ac:dyDescent="0.35">
      <c r="A138" s="11"/>
      <c r="B138" s="103" t="s">
        <v>491</v>
      </c>
      <c r="C138" s="19"/>
      <c r="D138" s="19"/>
      <c r="E138" s="196" t="s">
        <v>546</v>
      </c>
      <c r="G138" s="51"/>
      <c r="H138" s="51"/>
      <c r="I138" s="51"/>
      <c r="K138" s="19"/>
      <c r="L138" s="19"/>
      <c r="M138" s="196"/>
      <c r="N138" s="196">
        <v>28.28</v>
      </c>
      <c r="O138" s="196">
        <v>37.770000000000003</v>
      </c>
      <c r="P138" s="196"/>
      <c r="Q138" s="196"/>
      <c r="R138" s="196"/>
      <c r="S138" s="196"/>
      <c r="T138" s="106"/>
      <c r="U138" s="106"/>
      <c r="V138" s="106"/>
      <c r="W138" s="106"/>
    </row>
    <row r="139" spans="1:23" ht="12.9" x14ac:dyDescent="0.35">
      <c r="A139" s="11"/>
      <c r="B139" s="7" t="s">
        <v>206</v>
      </c>
      <c r="F139" s="51"/>
      <c r="G139" s="51"/>
      <c r="H139" s="51"/>
      <c r="I139" s="51"/>
      <c r="N139" s="57">
        <f>N136-N138</f>
        <v>69.760000000000005</v>
      </c>
      <c r="O139" s="57">
        <f>O136-O138</f>
        <v>64.389999999999986</v>
      </c>
      <c r="T139" s="106"/>
      <c r="U139" s="106"/>
      <c r="V139" s="106"/>
      <c r="W139" s="106"/>
    </row>
    <row r="140" spans="1:23" x14ac:dyDescent="0.3">
      <c r="A140" s="9"/>
      <c r="B140" s="199" t="s">
        <v>207</v>
      </c>
      <c r="C140" s="197">
        <v>1</v>
      </c>
      <c r="D140" s="197">
        <v>1</v>
      </c>
      <c r="E140" s="197">
        <v>1</v>
      </c>
      <c r="F140" s="51"/>
      <c r="G140" s="51"/>
      <c r="H140" s="51"/>
      <c r="I140" s="51"/>
      <c r="K140" s="197">
        <v>1</v>
      </c>
      <c r="L140" s="197">
        <v>1</v>
      </c>
      <c r="M140" s="197">
        <v>1</v>
      </c>
      <c r="N140" s="197">
        <v>1</v>
      </c>
      <c r="O140" s="197">
        <v>1</v>
      </c>
      <c r="P140" s="197">
        <v>1</v>
      </c>
      <c r="Q140" s="197">
        <v>1</v>
      </c>
      <c r="R140" s="197">
        <v>1</v>
      </c>
      <c r="S140" s="197">
        <v>1</v>
      </c>
      <c r="T140" s="106"/>
      <c r="U140" s="106"/>
      <c r="V140" s="106"/>
      <c r="W140" s="106"/>
    </row>
    <row r="141" spans="1:23" ht="12.9" x14ac:dyDescent="0.35">
      <c r="A141" s="11"/>
      <c r="B141" s="199" t="s">
        <v>208</v>
      </c>
      <c r="C141" s="197">
        <v>1</v>
      </c>
      <c r="D141" s="197">
        <v>1</v>
      </c>
      <c r="E141" s="197">
        <v>1</v>
      </c>
      <c r="F141" s="51"/>
      <c r="G141" s="51"/>
      <c r="H141" s="51"/>
      <c r="I141" s="51"/>
      <c r="K141" s="197">
        <v>1</v>
      </c>
      <c r="L141" s="197">
        <v>1</v>
      </c>
      <c r="M141" s="197">
        <v>1</v>
      </c>
      <c r="N141" s="197">
        <v>1</v>
      </c>
      <c r="O141" s="197">
        <v>1</v>
      </c>
      <c r="P141" s="197">
        <v>1</v>
      </c>
      <c r="Q141" s="197">
        <v>1</v>
      </c>
      <c r="R141" s="197">
        <v>1</v>
      </c>
      <c r="S141" s="197">
        <v>1</v>
      </c>
      <c r="T141" s="106"/>
      <c r="U141" s="106"/>
      <c r="V141" s="106"/>
      <c r="W141" s="106"/>
    </row>
    <row r="142" spans="1:23" ht="12.9" x14ac:dyDescent="0.35">
      <c r="A142" s="11"/>
      <c r="B142" s="7"/>
    </row>
    <row r="143" spans="1:23" ht="12.9" x14ac:dyDescent="0.35">
      <c r="A143" s="11"/>
      <c r="B143" s="8"/>
      <c r="G143" s="51"/>
      <c r="O143" s="57"/>
    </row>
    <row r="144" spans="1:23" ht="12.9" x14ac:dyDescent="0.35">
      <c r="A144" s="11"/>
      <c r="B144" s="207"/>
      <c r="C144" s="208"/>
      <c r="D144" s="209"/>
      <c r="E144" s="210"/>
      <c r="F144" s="210"/>
      <c r="G144" s="211"/>
      <c r="H144" s="118"/>
    </row>
    <row r="145" spans="1:11" ht="12.9" x14ac:dyDescent="0.35">
      <c r="A145" s="11"/>
      <c r="B145" s="210"/>
      <c r="C145" s="428"/>
      <c r="D145" s="429"/>
      <c r="E145" s="430"/>
      <c r="F145" s="223"/>
      <c r="G145" s="211"/>
      <c r="H145" s="118"/>
      <c r="I145" s="5"/>
      <c r="J145" s="5"/>
    </row>
    <row r="146" spans="1:11" ht="12.9" x14ac:dyDescent="0.35">
      <c r="A146" s="11"/>
      <c r="B146" s="210"/>
      <c r="C146" s="215"/>
      <c r="D146" s="216"/>
      <c r="E146" s="217"/>
      <c r="F146" s="223"/>
      <c r="G146" s="211"/>
      <c r="H146" s="118"/>
    </row>
    <row r="147" spans="1:11" ht="12.9" x14ac:dyDescent="0.35">
      <c r="A147" s="11"/>
      <c r="B147" s="212"/>
      <c r="C147" s="215"/>
      <c r="D147" s="216"/>
      <c r="E147" s="221"/>
      <c r="F147" s="223"/>
      <c r="G147" s="208"/>
      <c r="H147" s="201"/>
      <c r="I147" s="119"/>
      <c r="J147" s="119"/>
      <c r="K147" s="119"/>
    </row>
    <row r="148" spans="1:11" ht="12.9" x14ac:dyDescent="0.35">
      <c r="A148" s="11"/>
      <c r="B148" s="213"/>
      <c r="C148" s="215"/>
      <c r="D148" s="216"/>
      <c r="E148" s="221"/>
      <c r="F148" s="223"/>
      <c r="G148" s="211"/>
      <c r="H148" s="201"/>
      <c r="I148" s="119"/>
      <c r="J148" s="119"/>
    </row>
    <row r="149" spans="1:11" ht="12.9" x14ac:dyDescent="0.35">
      <c r="A149" s="11"/>
      <c r="B149" s="213"/>
      <c r="C149" s="218"/>
      <c r="D149" s="216"/>
      <c r="E149" s="222"/>
      <c r="F149" s="224"/>
      <c r="G149" s="208"/>
      <c r="H149" s="201"/>
      <c r="I149" s="119"/>
      <c r="J149" s="119"/>
    </row>
    <row r="150" spans="1:11" ht="12.9" x14ac:dyDescent="0.35">
      <c r="A150" s="11"/>
      <c r="B150" s="211"/>
      <c r="C150" s="218"/>
      <c r="D150" s="216"/>
      <c r="E150" s="222"/>
      <c r="F150" s="224"/>
      <c r="G150" s="208"/>
      <c r="H150" s="201"/>
      <c r="I150" s="119"/>
      <c r="J150" s="119"/>
    </row>
    <row r="151" spans="1:11" ht="12.9" x14ac:dyDescent="0.35">
      <c r="A151" s="11"/>
      <c r="B151" s="211"/>
      <c r="C151" s="215"/>
      <c r="D151" s="216"/>
      <c r="E151" s="222"/>
      <c r="F151" s="224"/>
      <c r="G151" s="208"/>
      <c r="H151" s="201"/>
      <c r="I151" s="119"/>
      <c r="J151" s="119"/>
    </row>
    <row r="152" spans="1:11" ht="12.9" x14ac:dyDescent="0.35">
      <c r="A152" s="11"/>
      <c r="B152" s="211"/>
      <c r="C152" s="215"/>
      <c r="D152" s="219"/>
      <c r="E152" s="222"/>
      <c r="F152" s="224"/>
      <c r="G152" s="208"/>
      <c r="H152" s="201"/>
      <c r="I152" s="119"/>
      <c r="J152" s="119"/>
    </row>
    <row r="153" spans="1:11" ht="12.9" x14ac:dyDescent="0.35">
      <c r="A153" s="11"/>
      <c r="B153" s="211"/>
      <c r="C153" s="215"/>
      <c r="D153" s="219"/>
      <c r="E153" s="222"/>
      <c r="F153" s="224"/>
      <c r="G153" s="208"/>
      <c r="H153" s="201"/>
      <c r="I153" s="119"/>
      <c r="J153" s="119"/>
      <c r="K153" s="119"/>
    </row>
    <row r="154" spans="1:11" ht="12.9" x14ac:dyDescent="0.35">
      <c r="A154" s="11"/>
      <c r="B154" s="210"/>
      <c r="C154" s="215"/>
      <c r="D154" s="219"/>
      <c r="E154" s="222"/>
      <c r="F154" s="224"/>
      <c r="G154" s="208"/>
      <c r="H154" s="201"/>
      <c r="I154" s="119"/>
      <c r="J154" s="119"/>
    </row>
    <row r="155" spans="1:11" ht="12.9" x14ac:dyDescent="0.35">
      <c r="A155" s="11"/>
      <c r="B155" s="212"/>
      <c r="C155" s="215"/>
      <c r="D155" s="219"/>
      <c r="E155" s="222"/>
      <c r="F155" s="224"/>
      <c r="G155" s="208"/>
      <c r="H155" s="201"/>
      <c r="I155" s="119"/>
      <c r="J155" s="119"/>
    </row>
    <row r="156" spans="1:11" ht="12.9" x14ac:dyDescent="0.35">
      <c r="A156" s="11"/>
      <c r="B156" s="213"/>
      <c r="C156" s="215"/>
      <c r="D156" s="219"/>
      <c r="E156" s="222"/>
      <c r="F156" s="224"/>
      <c r="G156" s="208"/>
      <c r="H156" s="201"/>
      <c r="I156" s="119"/>
      <c r="J156" s="119"/>
    </row>
    <row r="157" spans="1:11" ht="12.9" x14ac:dyDescent="0.35">
      <c r="A157" s="11"/>
      <c r="B157" s="213"/>
      <c r="C157" s="215"/>
      <c r="D157" s="219"/>
      <c r="E157" s="222"/>
      <c r="F157" s="224"/>
      <c r="G157" s="208"/>
      <c r="H157" s="201"/>
      <c r="I157" s="119"/>
      <c r="J157" s="119"/>
      <c r="K157" s="119"/>
    </row>
    <row r="158" spans="1:11" ht="12.9" x14ac:dyDescent="0.35">
      <c r="A158" s="11"/>
      <c r="B158" s="210"/>
      <c r="C158" s="215"/>
      <c r="D158" s="219"/>
      <c r="E158" s="222"/>
      <c r="F158" s="224"/>
      <c r="G158" s="208"/>
      <c r="H158" s="201"/>
      <c r="I158" s="119"/>
      <c r="J158" s="119"/>
      <c r="K158" s="119"/>
    </row>
    <row r="159" spans="1:11" ht="12.9" x14ac:dyDescent="0.35">
      <c r="A159" s="11"/>
      <c r="B159" s="210"/>
      <c r="C159" s="215"/>
      <c r="D159" s="219"/>
      <c r="E159" s="222"/>
      <c r="F159" s="224"/>
      <c r="G159" s="208"/>
      <c r="H159" s="118"/>
      <c r="I159" s="119"/>
      <c r="J159" s="119"/>
      <c r="K159" s="119"/>
    </row>
    <row r="160" spans="1:11" ht="12.9" x14ac:dyDescent="0.35">
      <c r="A160" s="11"/>
      <c r="B160" s="210"/>
      <c r="C160" s="215"/>
      <c r="D160" s="219"/>
      <c r="E160" s="222"/>
      <c r="F160" s="224"/>
      <c r="G160" s="211"/>
      <c r="H160" s="118"/>
    </row>
    <row r="161" spans="1:15" ht="12.9" x14ac:dyDescent="0.35">
      <c r="A161" s="11"/>
      <c r="B161" s="210"/>
      <c r="C161" s="215"/>
      <c r="D161" s="219"/>
      <c r="E161" s="222"/>
      <c r="F161" s="224"/>
      <c r="G161" s="211"/>
    </row>
    <row r="162" spans="1:15" ht="12.9" x14ac:dyDescent="0.35">
      <c r="A162" s="11"/>
      <c r="B162" s="214"/>
      <c r="C162" s="218"/>
      <c r="D162" s="219"/>
      <c r="E162" s="222"/>
      <c r="F162" s="224"/>
      <c r="G162" s="119"/>
    </row>
    <row r="163" spans="1:15" ht="12.9" x14ac:dyDescent="0.35">
      <c r="A163" s="11"/>
      <c r="B163" s="207"/>
      <c r="C163" s="219"/>
      <c r="D163" s="215"/>
      <c r="E163" s="222"/>
      <c r="F163" s="224"/>
      <c r="H163" s="7"/>
      <c r="I163" s="5"/>
      <c r="J163" s="5"/>
    </row>
    <row r="164" spans="1:15" ht="12.9" x14ac:dyDescent="0.35">
      <c r="A164" s="11"/>
      <c r="B164" s="8"/>
      <c r="C164" s="219"/>
      <c r="D164" s="215"/>
      <c r="E164" s="222"/>
      <c r="F164" s="224"/>
    </row>
    <row r="165" spans="1:15" ht="12.9" x14ac:dyDescent="0.35">
      <c r="A165" s="11"/>
      <c r="C165" s="219"/>
      <c r="D165" s="215"/>
      <c r="E165" s="222"/>
      <c r="F165" s="224"/>
      <c r="H165" s="58"/>
    </row>
    <row r="166" spans="1:15" ht="12.9" x14ac:dyDescent="0.35">
      <c r="A166" s="11"/>
      <c r="C166" s="220"/>
      <c r="D166" s="431"/>
      <c r="E166" s="222"/>
      <c r="F166" s="224"/>
      <c r="H166" s="33"/>
      <c r="I166" s="120"/>
      <c r="J166" s="120"/>
      <c r="K166" s="41"/>
      <c r="O166" s="59"/>
    </row>
    <row r="167" spans="1:15" ht="12.9" x14ac:dyDescent="0.35">
      <c r="A167" s="11"/>
      <c r="B167" s="23"/>
      <c r="C167" s="72"/>
      <c r="D167" s="53"/>
      <c r="E167" s="71"/>
      <c r="F167" s="224"/>
      <c r="H167" s="33"/>
      <c r="I167" s="120"/>
      <c r="J167" s="120"/>
      <c r="K167" s="41"/>
    </row>
    <row r="168" spans="1:15" ht="12.9" x14ac:dyDescent="0.35">
      <c r="A168" s="11"/>
      <c r="B168" s="56"/>
      <c r="C168" s="72"/>
      <c r="D168" s="53"/>
      <c r="E168" s="205"/>
      <c r="F168" s="224"/>
      <c r="H168" s="33"/>
      <c r="I168" s="120"/>
      <c r="J168" s="120"/>
      <c r="K168" s="41"/>
    </row>
    <row r="169" spans="1:15" ht="12.9" x14ac:dyDescent="0.35">
      <c r="A169" s="11"/>
      <c r="B169" s="56"/>
      <c r="C169" s="72"/>
      <c r="D169" s="203"/>
      <c r="E169" s="206"/>
      <c r="F169" s="223"/>
    </row>
    <row r="170" spans="1:15" ht="12.9" x14ac:dyDescent="0.35">
      <c r="A170" s="11"/>
      <c r="C170" s="72" t="s">
        <v>568</v>
      </c>
      <c r="D170" s="203"/>
      <c r="E170" s="205"/>
      <c r="F170" s="225"/>
      <c r="H170" s="58"/>
      <c r="I170" s="60"/>
      <c r="J170" s="60"/>
      <c r="K170" s="41"/>
    </row>
    <row r="171" spans="1:15" ht="12.9" x14ac:dyDescent="0.35">
      <c r="A171" s="11"/>
      <c r="B171" s="23"/>
      <c r="C171" s="204" t="s">
        <v>570</v>
      </c>
      <c r="D171" s="119"/>
      <c r="E171" s="71"/>
      <c r="H171" s="33"/>
      <c r="I171" s="120"/>
      <c r="J171" s="120"/>
      <c r="K171" s="41"/>
    </row>
    <row r="172" spans="1:15" ht="12.9" x14ac:dyDescent="0.35">
      <c r="A172" s="11"/>
      <c r="B172" s="56"/>
      <c r="C172" s="204" t="s">
        <v>571</v>
      </c>
      <c r="D172" s="119"/>
      <c r="E172" s="205"/>
    </row>
    <row r="173" spans="1:15" ht="12.9" x14ac:dyDescent="0.35">
      <c r="A173" s="11"/>
      <c r="B173" s="56"/>
      <c r="C173" s="204" t="s">
        <v>569</v>
      </c>
      <c r="D173" s="119"/>
      <c r="E173" s="71"/>
    </row>
    <row r="174" spans="1:15" ht="12.9" x14ac:dyDescent="0.35">
      <c r="A174" s="11"/>
      <c r="B174" s="56"/>
      <c r="C174" s="204"/>
      <c r="D174" s="119"/>
      <c r="E174" s="71"/>
    </row>
    <row r="175" spans="1:15" ht="12.9" x14ac:dyDescent="0.35">
      <c r="A175" s="11"/>
      <c r="C175" s="204"/>
      <c r="D175" s="119"/>
      <c r="E175" s="71"/>
    </row>
    <row r="176" spans="1:15" ht="12.9" x14ac:dyDescent="0.35">
      <c r="A176" s="11"/>
      <c r="C176" s="204"/>
      <c r="D176" s="119"/>
      <c r="E176" s="71"/>
    </row>
    <row r="177" spans="1:7" ht="12.9" x14ac:dyDescent="0.35">
      <c r="A177" s="11"/>
      <c r="B177" s="61"/>
      <c r="C177" s="204"/>
      <c r="D177" s="119"/>
      <c r="E177" s="71"/>
    </row>
    <row r="178" spans="1:7" ht="12.9" x14ac:dyDescent="0.35">
      <c r="A178" s="11"/>
      <c r="B178" s="23"/>
      <c r="C178" s="204"/>
      <c r="D178" s="119"/>
      <c r="E178" s="71"/>
    </row>
    <row r="179" spans="1:7" ht="12.9" x14ac:dyDescent="0.35">
      <c r="A179" s="11"/>
      <c r="B179" s="56"/>
      <c r="C179" s="204"/>
      <c r="D179" s="119"/>
      <c r="E179" s="71"/>
    </row>
    <row r="180" spans="1:7" ht="12.9" x14ac:dyDescent="0.35">
      <c r="A180" s="11"/>
      <c r="B180" s="56"/>
      <c r="C180" s="204"/>
      <c r="D180" s="119"/>
      <c r="E180" s="71"/>
    </row>
    <row r="181" spans="1:7" ht="12.9" x14ac:dyDescent="0.35">
      <c r="A181" s="11"/>
      <c r="C181" s="204"/>
      <c r="D181" s="119"/>
      <c r="E181" s="71"/>
    </row>
    <row r="182" spans="1:7" ht="12.9" x14ac:dyDescent="0.35">
      <c r="A182" s="11"/>
      <c r="B182" s="23"/>
      <c r="C182" s="119"/>
      <c r="D182" s="119"/>
    </row>
    <row r="183" spans="1:7" ht="12.9" x14ac:dyDescent="0.35">
      <c r="A183" s="11"/>
      <c r="B183" s="56"/>
      <c r="C183" s="119"/>
      <c r="D183" s="119"/>
    </row>
    <row r="184" spans="1:7" ht="12.9" x14ac:dyDescent="0.35">
      <c r="A184" s="11"/>
      <c r="B184" s="56"/>
      <c r="C184" s="119"/>
      <c r="D184" s="119"/>
    </row>
    <row r="185" spans="1:7" ht="12.9" x14ac:dyDescent="0.35">
      <c r="A185" s="11"/>
      <c r="B185" s="56"/>
      <c r="C185" s="119"/>
      <c r="D185" s="119"/>
    </row>
    <row r="186" spans="1:7" ht="12.9" x14ac:dyDescent="0.35">
      <c r="A186" s="11"/>
      <c r="C186" s="119"/>
      <c r="D186" s="119"/>
    </row>
    <row r="187" spans="1:7" ht="12.9" x14ac:dyDescent="0.35">
      <c r="A187" s="11"/>
      <c r="C187" s="119"/>
      <c r="D187" s="119"/>
    </row>
    <row r="188" spans="1:7" ht="12.9" x14ac:dyDescent="0.35">
      <c r="A188" s="11"/>
      <c r="B188" s="7"/>
      <c r="C188" s="119"/>
      <c r="D188" s="119"/>
    </row>
    <row r="189" spans="1:7" ht="12.9" x14ac:dyDescent="0.35">
      <c r="A189" s="11"/>
      <c r="B189" s="33"/>
      <c r="C189" s="119"/>
      <c r="D189" s="119"/>
    </row>
    <row r="190" spans="1:7" ht="12.9" x14ac:dyDescent="0.35">
      <c r="A190" s="11"/>
      <c r="C190" s="119"/>
      <c r="D190" s="119"/>
    </row>
    <row r="191" spans="1:7" ht="12.9" x14ac:dyDescent="0.35">
      <c r="A191" s="11"/>
      <c r="C191" s="121"/>
      <c r="D191" s="121"/>
      <c r="G191" s="63"/>
    </row>
    <row r="192" spans="1:7" x14ac:dyDescent="0.3">
      <c r="A192" s="9"/>
      <c r="C192" s="119"/>
      <c r="D192" s="119"/>
    </row>
    <row r="193" spans="1:13" ht="12.9" x14ac:dyDescent="0.35">
      <c r="A193" s="11"/>
      <c r="C193" s="62"/>
    </row>
    <row r="194" spans="1:13" ht="12.9" x14ac:dyDescent="0.35">
      <c r="A194" s="11"/>
      <c r="B194" s="7"/>
      <c r="C194" s="33"/>
      <c r="D194" s="51"/>
    </row>
    <row r="195" spans="1:13" ht="12.9" x14ac:dyDescent="0.35">
      <c r="A195" s="11"/>
      <c r="B195" s="7"/>
      <c r="C195" s="33"/>
      <c r="D195" s="51"/>
    </row>
    <row r="196" spans="1:13" ht="12.9" x14ac:dyDescent="0.35">
      <c r="A196" s="11"/>
      <c r="B196" s="7"/>
    </row>
    <row r="197" spans="1:13" ht="12.9" x14ac:dyDescent="0.35">
      <c r="A197" s="11"/>
      <c r="B197" s="8"/>
      <c r="E197" s="60"/>
      <c r="H197" s="5"/>
      <c r="I197" s="5"/>
      <c r="J197" s="5"/>
    </row>
    <row r="198" spans="1:13" ht="12.9" x14ac:dyDescent="0.35">
      <c r="A198" s="11"/>
      <c r="B198" s="7"/>
    </row>
    <row r="199" spans="1:13" ht="12.9" x14ac:dyDescent="0.35">
      <c r="A199" s="11"/>
      <c r="H199" s="64"/>
      <c r="I199" s="122"/>
      <c r="J199" s="122"/>
      <c r="K199" s="123"/>
      <c r="L199" s="123"/>
      <c r="M199" s="123"/>
    </row>
    <row r="200" spans="1:13" ht="12.9" x14ac:dyDescent="0.35">
      <c r="A200" s="11"/>
      <c r="H200" s="122"/>
      <c r="I200" s="49"/>
      <c r="J200" s="124"/>
      <c r="K200" s="123"/>
      <c r="L200" s="123"/>
      <c r="M200" s="123"/>
    </row>
    <row r="201" spans="1:13" ht="12.9" x14ac:dyDescent="0.35">
      <c r="A201" s="11"/>
      <c r="B201" s="23"/>
      <c r="G201" s="5"/>
      <c r="H201" s="66"/>
      <c r="I201" s="49"/>
      <c r="J201" s="124"/>
      <c r="K201" s="67"/>
      <c r="L201" s="123"/>
      <c r="M201" s="123"/>
    </row>
    <row r="202" spans="1:13" ht="12.9" x14ac:dyDescent="0.35">
      <c r="A202" s="11"/>
      <c r="B202" s="56"/>
      <c r="G202" s="5"/>
      <c r="L202" s="123"/>
      <c r="M202" s="123"/>
    </row>
    <row r="203" spans="1:13" ht="12.9" x14ac:dyDescent="0.35">
      <c r="A203" s="11"/>
      <c r="B203" s="56"/>
      <c r="C203" s="5"/>
      <c r="D203" s="5"/>
      <c r="E203" s="5"/>
      <c r="F203" s="5"/>
      <c r="G203" s="64"/>
      <c r="H203" s="123"/>
      <c r="I203" s="123"/>
      <c r="J203" s="123"/>
      <c r="K203" s="123"/>
      <c r="L203" s="123"/>
      <c r="M203" s="123"/>
    </row>
    <row r="204" spans="1:13" x14ac:dyDescent="0.3">
      <c r="A204" s="9"/>
      <c r="C204" s="5"/>
      <c r="D204" s="5"/>
      <c r="E204" s="5"/>
      <c r="F204" s="5"/>
      <c r="G204" s="122"/>
      <c r="H204" s="123"/>
      <c r="I204" s="123"/>
      <c r="J204" s="123"/>
      <c r="K204" s="123"/>
      <c r="L204" s="123"/>
      <c r="M204" s="123"/>
    </row>
    <row r="205" spans="1:13" x14ac:dyDescent="0.3">
      <c r="A205" s="9"/>
      <c r="B205" s="68"/>
      <c r="E205" s="122"/>
      <c r="F205" s="64"/>
      <c r="G205" s="122"/>
      <c r="H205" s="123"/>
      <c r="I205" s="123"/>
      <c r="J205" s="123"/>
      <c r="K205" s="123"/>
      <c r="L205" s="123"/>
      <c r="M205" s="123"/>
    </row>
    <row r="206" spans="1:13" ht="12.9" x14ac:dyDescent="0.35">
      <c r="A206" s="11"/>
      <c r="B206" s="68"/>
      <c r="C206" s="65"/>
      <c r="D206" s="123"/>
      <c r="E206" s="64"/>
      <c r="F206" s="122"/>
      <c r="G206" s="123"/>
      <c r="H206" s="123"/>
      <c r="I206" s="123"/>
      <c r="J206" s="123"/>
      <c r="K206" s="123"/>
      <c r="L206" s="123"/>
      <c r="M206" s="123"/>
    </row>
    <row r="207" spans="1:13" ht="12.9" x14ac:dyDescent="0.35">
      <c r="A207" s="11"/>
      <c r="B207" s="68"/>
      <c r="C207" s="65"/>
      <c r="D207" s="123"/>
      <c r="E207" s="64"/>
      <c r="F207" s="122"/>
      <c r="G207" s="123"/>
      <c r="H207" s="123"/>
      <c r="I207" s="123"/>
      <c r="J207" s="123"/>
      <c r="K207" s="123"/>
      <c r="L207" s="123"/>
      <c r="M207" s="123"/>
    </row>
    <row r="208" spans="1:13" ht="12.9" x14ac:dyDescent="0.35">
      <c r="A208" s="11"/>
      <c r="E208" s="65"/>
      <c r="F208" s="123"/>
      <c r="G208" s="123"/>
      <c r="H208" s="123"/>
      <c r="I208" s="123"/>
      <c r="J208" s="123"/>
      <c r="K208" s="123"/>
      <c r="L208" s="123"/>
      <c r="M208" s="123"/>
    </row>
    <row r="209" spans="1:13" ht="12.9" x14ac:dyDescent="0.35">
      <c r="A209" s="11"/>
      <c r="C209" s="64"/>
      <c r="D209" s="64"/>
      <c r="E209" s="65"/>
      <c r="F209" s="123"/>
      <c r="G209" s="123"/>
      <c r="H209" s="64"/>
      <c r="I209" s="122"/>
      <c r="J209" s="122"/>
      <c r="K209" s="123"/>
      <c r="L209" s="123"/>
      <c r="M209" s="123"/>
    </row>
    <row r="210" spans="1:13" ht="12.9" x14ac:dyDescent="0.35">
      <c r="A210" s="11"/>
      <c r="C210" s="69"/>
      <c r="D210" s="69"/>
      <c r="E210" s="72"/>
      <c r="F210" s="123"/>
      <c r="G210" s="123"/>
      <c r="H210" s="123"/>
      <c r="J210" s="124"/>
      <c r="K210" s="123"/>
      <c r="L210" s="123"/>
      <c r="M210" s="123"/>
    </row>
    <row r="211" spans="1:13" ht="12.9" x14ac:dyDescent="0.35">
      <c r="A211" s="11"/>
      <c r="B211" s="23"/>
      <c r="C211" s="69"/>
      <c r="D211" s="69"/>
      <c r="E211" s="72"/>
      <c r="F211" s="123"/>
      <c r="J211" s="124"/>
      <c r="K211" s="67"/>
      <c r="L211" s="123"/>
      <c r="M211" s="123"/>
    </row>
    <row r="212" spans="1:13" ht="12.9" x14ac:dyDescent="0.35">
      <c r="A212" s="11"/>
      <c r="B212" s="56"/>
      <c r="G212" s="123"/>
      <c r="K212" s="123"/>
      <c r="L212" s="123"/>
      <c r="M212" s="123"/>
    </row>
    <row r="213" spans="1:13" ht="12.9" x14ac:dyDescent="0.35">
      <c r="A213" s="11"/>
      <c r="B213" s="56"/>
      <c r="G213" s="64"/>
      <c r="H213" s="122"/>
      <c r="I213" s="122"/>
      <c r="J213" s="122"/>
      <c r="K213" s="123"/>
      <c r="L213" s="123"/>
      <c r="M213" s="123"/>
    </row>
    <row r="214" spans="1:13" ht="12.9" x14ac:dyDescent="0.35">
      <c r="A214" s="11"/>
      <c r="C214" s="123"/>
      <c r="D214" s="123"/>
      <c r="E214" s="123"/>
      <c r="F214" s="123"/>
      <c r="G214" s="123"/>
    </row>
    <row r="215" spans="1:13" ht="12.9" x14ac:dyDescent="0.35">
      <c r="A215" s="11"/>
      <c r="C215" s="64"/>
      <c r="D215" s="64"/>
      <c r="E215" s="122"/>
      <c r="F215" s="64"/>
      <c r="G215" s="123"/>
    </row>
    <row r="216" spans="1:13" ht="12.9" x14ac:dyDescent="0.35">
      <c r="A216" s="11"/>
      <c r="C216" s="123"/>
      <c r="D216" s="123"/>
      <c r="E216" s="64"/>
      <c r="F216" s="123"/>
      <c r="G216" s="123"/>
    </row>
    <row r="217" spans="1:13" ht="12.9" x14ac:dyDescent="0.35">
      <c r="A217" s="11"/>
      <c r="C217" s="123"/>
      <c r="D217" s="123"/>
      <c r="E217" s="64"/>
      <c r="F217" s="123"/>
      <c r="G217" s="122"/>
    </row>
    <row r="218" spans="1:13" ht="12.9" x14ac:dyDescent="0.35">
      <c r="A218" s="11"/>
      <c r="B218" s="7"/>
      <c r="C218" s="123"/>
      <c r="D218" s="123"/>
      <c r="E218" s="123"/>
      <c r="F218" s="123"/>
    </row>
    <row r="219" spans="1:13" ht="12.9" x14ac:dyDescent="0.35">
      <c r="A219" s="11"/>
      <c r="B219" s="8"/>
      <c r="C219" s="122"/>
      <c r="D219" s="122"/>
      <c r="E219" s="122"/>
      <c r="F219" s="122"/>
      <c r="H219" s="7"/>
    </row>
    <row r="220" spans="1:13" ht="12.9" x14ac:dyDescent="0.35">
      <c r="A220" s="11"/>
      <c r="B220" s="49"/>
    </row>
    <row r="221" spans="1:13" ht="12.9" x14ac:dyDescent="0.35">
      <c r="A221" s="11"/>
      <c r="H221" s="58"/>
    </row>
    <row r="222" spans="1:13" ht="12.9" x14ac:dyDescent="0.35">
      <c r="A222" s="11"/>
      <c r="H222" s="33"/>
      <c r="I222" s="125"/>
      <c r="J222" s="125"/>
      <c r="K222" s="41"/>
    </row>
    <row r="223" spans="1:13" ht="12.9" x14ac:dyDescent="0.35">
      <c r="A223" s="11"/>
      <c r="B223" s="23"/>
      <c r="H223" s="33"/>
      <c r="I223" s="125"/>
      <c r="J223" s="125"/>
      <c r="K223" s="41"/>
    </row>
    <row r="224" spans="1:13" ht="12.9" x14ac:dyDescent="0.35">
      <c r="A224" s="11"/>
      <c r="B224" s="56"/>
      <c r="H224" s="33"/>
      <c r="I224" s="125"/>
      <c r="J224" s="125"/>
      <c r="K224" s="41"/>
    </row>
    <row r="225" spans="1:11" ht="12.9" x14ac:dyDescent="0.35">
      <c r="A225" s="11"/>
      <c r="B225" s="56"/>
      <c r="C225" s="5"/>
      <c r="D225" s="5"/>
      <c r="E225" s="5"/>
      <c r="F225" s="5"/>
    </row>
    <row r="226" spans="1:11" ht="12.9" x14ac:dyDescent="0.35">
      <c r="A226" s="11"/>
      <c r="C226" s="5"/>
      <c r="D226" s="70"/>
      <c r="E226" s="5"/>
      <c r="F226" s="70"/>
      <c r="H226" s="58"/>
      <c r="I226" s="60"/>
      <c r="J226" s="60"/>
    </row>
    <row r="227" spans="1:11" ht="12.9" x14ac:dyDescent="0.35">
      <c r="A227" s="11"/>
      <c r="B227" s="23"/>
      <c r="C227" s="64"/>
      <c r="D227" s="67"/>
      <c r="E227" s="66"/>
      <c r="F227" s="66"/>
      <c r="H227" s="33"/>
      <c r="I227" s="125"/>
      <c r="J227" s="125"/>
      <c r="K227" s="41"/>
    </row>
    <row r="228" spans="1:11" ht="12.9" x14ac:dyDescent="0.35">
      <c r="A228" s="11"/>
      <c r="B228" s="56"/>
      <c r="C228" s="122"/>
      <c r="D228" s="67"/>
      <c r="E228" s="64"/>
      <c r="F228" s="67"/>
    </row>
    <row r="229" spans="1:11" ht="12.9" x14ac:dyDescent="0.35">
      <c r="A229" s="11"/>
      <c r="B229" s="56"/>
      <c r="C229" s="122"/>
      <c r="D229" s="67"/>
      <c r="E229" s="64"/>
      <c r="F229" s="67"/>
    </row>
    <row r="230" spans="1:11" ht="12.9" x14ac:dyDescent="0.35">
      <c r="A230" s="11"/>
      <c r="C230" s="122"/>
      <c r="D230" s="67"/>
      <c r="E230" s="122"/>
      <c r="F230" s="67"/>
    </row>
    <row r="231" spans="1:11" ht="12.9" x14ac:dyDescent="0.35">
      <c r="A231" s="11"/>
      <c r="C231" s="64"/>
      <c r="D231" s="67"/>
      <c r="E231" s="64"/>
      <c r="F231" s="67"/>
    </row>
    <row r="232" spans="1:11" x14ac:dyDescent="0.3">
      <c r="C232" s="122"/>
      <c r="D232" s="66"/>
      <c r="E232" s="64"/>
      <c r="F232" s="67"/>
    </row>
    <row r="233" spans="1:11" x14ac:dyDescent="0.3">
      <c r="A233" s="7"/>
      <c r="C233" s="122"/>
      <c r="D233" s="66"/>
      <c r="E233" s="64"/>
      <c r="F233" s="67"/>
    </row>
    <row r="234" spans="1:11" ht="12.9" x14ac:dyDescent="0.35">
      <c r="A234" s="11"/>
      <c r="C234" s="122"/>
      <c r="D234" s="66"/>
      <c r="E234" s="122"/>
      <c r="F234" s="66"/>
    </row>
    <row r="235" spans="1:11" ht="12.9" x14ac:dyDescent="0.35">
      <c r="A235" s="11"/>
      <c r="C235" s="122"/>
      <c r="D235" s="66"/>
      <c r="E235" s="122"/>
      <c r="F235" s="66"/>
    </row>
    <row r="236" spans="1:11" ht="12.9" x14ac:dyDescent="0.35">
      <c r="A236" s="11"/>
      <c r="B236" s="33"/>
      <c r="C236" s="123"/>
      <c r="E236" s="123"/>
    </row>
    <row r="237" spans="1:11" ht="12.9" x14ac:dyDescent="0.35">
      <c r="A237" s="11"/>
      <c r="B237" s="33"/>
      <c r="C237" s="123"/>
      <c r="E237" s="123"/>
    </row>
    <row r="238" spans="1:11" ht="12.9" x14ac:dyDescent="0.35">
      <c r="A238" s="11"/>
      <c r="B238" s="33"/>
    </row>
    <row r="239" spans="1:11" ht="12.9" x14ac:dyDescent="0.35">
      <c r="A239" s="11"/>
      <c r="B239" s="33"/>
      <c r="E239" s="53"/>
    </row>
    <row r="240" spans="1:11" ht="12.9" x14ac:dyDescent="0.35">
      <c r="A240" s="11"/>
      <c r="B240" s="33"/>
      <c r="C240" s="57"/>
      <c r="D240" s="41"/>
      <c r="E240" s="3"/>
    </row>
    <row r="241" spans="1:13" ht="12.9" x14ac:dyDescent="0.35">
      <c r="A241" s="11"/>
      <c r="B241" s="33"/>
      <c r="C241" s="57"/>
      <c r="D241" s="41"/>
      <c r="E241" s="3"/>
    </row>
    <row r="242" spans="1:13" ht="12.9" x14ac:dyDescent="0.35">
      <c r="A242" s="11"/>
      <c r="B242" s="33"/>
    </row>
    <row r="243" spans="1:13" ht="12.9" x14ac:dyDescent="0.35">
      <c r="A243" s="11"/>
      <c r="B243" s="33"/>
      <c r="C243" s="57"/>
      <c r="D243" s="41"/>
      <c r="E243" s="54"/>
    </row>
    <row r="244" spans="1:13" ht="12.9" x14ac:dyDescent="0.35">
      <c r="A244" s="11"/>
      <c r="B244" s="33"/>
      <c r="C244" s="71"/>
      <c r="E244" s="54"/>
    </row>
    <row r="245" spans="1:13" ht="12.9" x14ac:dyDescent="0.35">
      <c r="A245" s="11"/>
      <c r="B245" s="33"/>
      <c r="C245" s="71"/>
      <c r="E245" s="54"/>
    </row>
    <row r="246" spans="1:13" ht="12.9" x14ac:dyDescent="0.35">
      <c r="A246" s="11"/>
      <c r="B246" s="33"/>
      <c r="C246" s="81"/>
    </row>
    <row r="247" spans="1:13" x14ac:dyDescent="0.3">
      <c r="B247" s="33"/>
      <c r="C247" s="49"/>
    </row>
    <row r="248" spans="1:13" x14ac:dyDescent="0.3">
      <c r="B248" s="33"/>
      <c r="C248" s="72"/>
    </row>
    <row r="249" spans="1:13" ht="12.9" x14ac:dyDescent="0.35">
      <c r="A249" s="11"/>
      <c r="C249" s="3"/>
    </row>
    <row r="250" spans="1:13" ht="12.9" x14ac:dyDescent="0.35">
      <c r="A250" s="11"/>
      <c r="B250" s="33"/>
    </row>
    <row r="251" spans="1:13" ht="12.9" x14ac:dyDescent="0.35">
      <c r="A251" s="11"/>
    </row>
    <row r="252" spans="1:13" x14ac:dyDescent="0.3">
      <c r="A252" s="9"/>
    </row>
    <row r="253" spans="1:13" ht="12.9" x14ac:dyDescent="0.35">
      <c r="A253" s="11"/>
    </row>
    <row r="254" spans="1:13" ht="12.9" x14ac:dyDescent="0.35">
      <c r="A254" s="11"/>
      <c r="B254" s="7"/>
      <c r="H254" s="5"/>
      <c r="I254" s="5"/>
      <c r="J254" s="5"/>
      <c r="K254" s="5"/>
      <c r="L254" s="5"/>
      <c r="M254" s="5"/>
    </row>
    <row r="255" spans="1:13" ht="12.9" x14ac:dyDescent="0.35">
      <c r="A255" s="11"/>
      <c r="B255" s="7"/>
      <c r="C255" s="123"/>
      <c r="E255" s="123"/>
    </row>
    <row r="256" spans="1:13" ht="12.9" x14ac:dyDescent="0.35">
      <c r="A256" s="11"/>
      <c r="C256" s="123"/>
      <c r="E256" s="123"/>
      <c r="H256" s="62"/>
      <c r="I256" s="62"/>
      <c r="J256" s="62"/>
      <c r="K256" s="62"/>
      <c r="L256" s="62"/>
      <c r="M256" s="62"/>
    </row>
    <row r="257" spans="1:13" ht="12.9" x14ac:dyDescent="0.35">
      <c r="A257" s="11"/>
      <c r="C257" s="123"/>
      <c r="E257" s="123"/>
      <c r="H257" s="62"/>
      <c r="I257" s="62"/>
      <c r="J257" s="62"/>
      <c r="K257" s="62"/>
      <c r="L257" s="62"/>
      <c r="M257" s="62"/>
    </row>
    <row r="258" spans="1:13" ht="12.9" x14ac:dyDescent="0.35">
      <c r="A258" s="11"/>
      <c r="B258" s="28"/>
      <c r="G258" s="5"/>
      <c r="H258" s="63"/>
      <c r="I258" s="63"/>
      <c r="J258" s="62"/>
      <c r="K258" s="62"/>
      <c r="L258" s="62"/>
      <c r="M258" s="62"/>
    </row>
    <row r="259" spans="1:13" ht="12.9" x14ac:dyDescent="0.35">
      <c r="A259" s="11"/>
      <c r="B259" s="28"/>
    </row>
    <row r="260" spans="1:13" ht="12.9" x14ac:dyDescent="0.35">
      <c r="A260" s="11"/>
      <c r="B260" s="28"/>
      <c r="C260" s="5"/>
      <c r="D260" s="5"/>
      <c r="E260" s="5"/>
      <c r="F260" s="5"/>
      <c r="G260" s="62"/>
    </row>
    <row r="261" spans="1:13" ht="12.9" x14ac:dyDescent="0.35">
      <c r="A261" s="11"/>
      <c r="B261" s="28"/>
      <c r="G261" s="62"/>
      <c r="H261" s="38"/>
      <c r="I261" s="38"/>
      <c r="J261" s="38"/>
      <c r="K261" s="38"/>
      <c r="L261" s="38"/>
      <c r="M261" s="38"/>
    </row>
    <row r="262" spans="1:13" ht="12.9" x14ac:dyDescent="0.35">
      <c r="A262" s="11"/>
      <c r="C262" s="126"/>
      <c r="D262" s="126"/>
      <c r="E262" s="62"/>
      <c r="F262" s="62"/>
      <c r="G262" s="63"/>
      <c r="H262" s="38"/>
      <c r="I262" s="38"/>
      <c r="J262" s="38"/>
      <c r="K262" s="38"/>
      <c r="L262" s="38"/>
      <c r="M262" s="38"/>
    </row>
    <row r="263" spans="1:13" ht="12.9" x14ac:dyDescent="0.35">
      <c r="A263" s="11"/>
      <c r="B263" s="28"/>
      <c r="C263" s="62"/>
      <c r="D263" s="62"/>
      <c r="E263" s="62"/>
      <c r="F263" s="62"/>
    </row>
    <row r="264" spans="1:13" ht="12.9" x14ac:dyDescent="0.35">
      <c r="A264" s="11"/>
      <c r="B264" s="28"/>
      <c r="C264" s="63"/>
      <c r="D264" s="63"/>
      <c r="E264" s="63"/>
      <c r="F264" s="63"/>
    </row>
    <row r="265" spans="1:13" ht="12.9" x14ac:dyDescent="0.35">
      <c r="A265" s="11"/>
      <c r="G265" s="38"/>
    </row>
    <row r="266" spans="1:13" ht="12.9" x14ac:dyDescent="0.35">
      <c r="A266" s="11"/>
      <c r="G266" s="38"/>
    </row>
    <row r="267" spans="1:13" ht="12.9" x14ac:dyDescent="0.35">
      <c r="A267" s="11"/>
      <c r="B267" s="28"/>
      <c r="C267" s="38"/>
      <c r="D267" s="38"/>
      <c r="E267" s="38"/>
      <c r="F267" s="38"/>
    </row>
    <row r="268" spans="1:13" ht="12.9" x14ac:dyDescent="0.35">
      <c r="A268" s="11"/>
      <c r="B268" s="28"/>
      <c r="C268" s="38"/>
      <c r="D268" s="38"/>
      <c r="E268" s="38"/>
      <c r="F268" s="38"/>
      <c r="L268" s="74"/>
    </row>
    <row r="269" spans="1:13" ht="12.9" x14ac:dyDescent="0.35">
      <c r="A269" s="11"/>
      <c r="B269" s="28"/>
      <c r="K269" s="28"/>
    </row>
    <row r="270" spans="1:13" ht="12.9" x14ac:dyDescent="0.35">
      <c r="A270" s="11"/>
      <c r="K270" s="28"/>
      <c r="L270" s="37"/>
      <c r="M270" s="75"/>
    </row>
    <row r="271" spans="1:13" ht="12.9" x14ac:dyDescent="0.35">
      <c r="A271" s="11"/>
      <c r="C271" s="73"/>
      <c r="K271" s="28"/>
      <c r="L271" s="37"/>
      <c r="M271" s="75"/>
    </row>
    <row r="272" spans="1:13" ht="12.9" x14ac:dyDescent="0.35">
      <c r="A272" s="11"/>
      <c r="B272" s="28"/>
      <c r="C272" s="73"/>
    </row>
    <row r="273" spans="1:12" ht="12.9" x14ac:dyDescent="0.35">
      <c r="A273" s="11"/>
      <c r="B273" s="28"/>
      <c r="C273" s="63"/>
      <c r="D273" s="59"/>
    </row>
    <row r="274" spans="1:12" x14ac:dyDescent="0.3">
      <c r="A274" s="9"/>
    </row>
    <row r="275" spans="1:12" ht="12.9" x14ac:dyDescent="0.35">
      <c r="A275" s="11"/>
    </row>
    <row r="276" spans="1:12" ht="12.9" x14ac:dyDescent="0.35">
      <c r="A276" s="11"/>
      <c r="B276" s="7"/>
      <c r="C276" s="38"/>
      <c r="E276" s="53"/>
    </row>
    <row r="277" spans="1:12" ht="12.9" x14ac:dyDescent="0.35">
      <c r="A277" s="11"/>
      <c r="C277" s="38"/>
      <c r="E277" s="53"/>
    </row>
    <row r="278" spans="1:12" ht="12.9" x14ac:dyDescent="0.35">
      <c r="A278" s="11"/>
      <c r="B278" s="33"/>
    </row>
    <row r="279" spans="1:12" ht="12.9" x14ac:dyDescent="0.35">
      <c r="A279" s="11"/>
      <c r="B279" s="33"/>
      <c r="C279" s="123"/>
      <c r="E279" s="123"/>
    </row>
    <row r="280" spans="1:12" ht="12.9" x14ac:dyDescent="0.35">
      <c r="A280" s="11"/>
      <c r="B280" s="33"/>
      <c r="C280" s="123"/>
      <c r="E280" s="123"/>
      <c r="H280" s="5"/>
      <c r="I280" s="5"/>
      <c r="J280" s="5"/>
      <c r="K280" s="5"/>
      <c r="L280" s="5"/>
    </row>
    <row r="281" spans="1:12" ht="12.9" x14ac:dyDescent="0.35">
      <c r="A281" s="11"/>
      <c r="C281" s="123"/>
      <c r="E281" s="123"/>
    </row>
    <row r="282" spans="1:12" ht="12.9" x14ac:dyDescent="0.35">
      <c r="A282" s="11"/>
      <c r="C282" s="119"/>
      <c r="E282" s="76"/>
      <c r="H282" s="62"/>
      <c r="I282" s="62"/>
      <c r="J282" s="62"/>
      <c r="K282" s="77"/>
      <c r="L282" s="77"/>
    </row>
    <row r="283" spans="1:12" ht="12.9" x14ac:dyDescent="0.35">
      <c r="A283" s="11"/>
      <c r="C283" s="127"/>
      <c r="E283" s="123"/>
      <c r="H283" s="62"/>
      <c r="I283" s="62"/>
      <c r="J283" s="62"/>
      <c r="K283" s="77"/>
      <c r="L283" s="77"/>
    </row>
    <row r="284" spans="1:12" ht="12.9" x14ac:dyDescent="0.35">
      <c r="A284" s="11"/>
      <c r="B284" s="28"/>
      <c r="C284" s="127"/>
      <c r="E284" s="123"/>
      <c r="G284" s="5"/>
      <c r="H284" s="63"/>
      <c r="I284" s="63"/>
      <c r="J284" s="63"/>
      <c r="K284" s="63"/>
      <c r="L284" s="63"/>
    </row>
    <row r="285" spans="1:12" ht="12.9" x14ac:dyDescent="0.35">
      <c r="A285" s="11"/>
      <c r="B285" s="28"/>
      <c r="C285" s="123"/>
      <c r="E285" s="123"/>
      <c r="H285" s="63"/>
      <c r="I285" s="63"/>
      <c r="J285" s="63"/>
      <c r="K285" s="63"/>
      <c r="L285" s="63"/>
    </row>
    <row r="286" spans="1:12" ht="12.9" x14ac:dyDescent="0.35">
      <c r="A286" s="11"/>
      <c r="B286" s="28"/>
      <c r="C286" s="5"/>
      <c r="D286" s="5"/>
      <c r="E286" s="5"/>
      <c r="F286" s="5"/>
      <c r="G286" s="62"/>
      <c r="H286" s="63"/>
      <c r="I286" s="63"/>
      <c r="J286" s="63"/>
      <c r="K286" s="63"/>
      <c r="L286" s="63"/>
    </row>
    <row r="287" spans="1:12" ht="12.9" x14ac:dyDescent="0.35">
      <c r="A287" s="11"/>
      <c r="B287" s="28"/>
      <c r="G287" s="62"/>
    </row>
    <row r="288" spans="1:12" ht="12.9" x14ac:dyDescent="0.35">
      <c r="A288" s="11"/>
      <c r="B288" s="28"/>
      <c r="C288" s="62"/>
      <c r="D288" s="62"/>
      <c r="E288" s="77"/>
      <c r="F288" s="62"/>
      <c r="G288" s="63"/>
    </row>
    <row r="289" spans="1:12" ht="12.9" x14ac:dyDescent="0.35">
      <c r="A289" s="11"/>
      <c r="B289" s="28"/>
      <c r="C289" s="62"/>
      <c r="D289" s="62"/>
      <c r="E289" s="77"/>
      <c r="F289" s="62"/>
      <c r="G289" s="63"/>
    </row>
    <row r="290" spans="1:12" ht="12.9" x14ac:dyDescent="0.35">
      <c r="A290" s="11"/>
      <c r="B290" s="28"/>
      <c r="C290" s="63"/>
      <c r="D290" s="63"/>
      <c r="E290" s="63"/>
      <c r="F290" s="63"/>
      <c r="G290" s="63"/>
      <c r="H290" s="5"/>
      <c r="I290" s="5"/>
      <c r="J290" s="5"/>
      <c r="K290" s="5"/>
      <c r="L290" s="5"/>
    </row>
    <row r="291" spans="1:12" ht="12.9" x14ac:dyDescent="0.35">
      <c r="A291" s="11"/>
      <c r="B291" s="28"/>
      <c r="C291" s="63"/>
      <c r="D291" s="63"/>
      <c r="E291" s="63"/>
      <c r="F291" s="63"/>
    </row>
    <row r="292" spans="1:12" ht="12.9" x14ac:dyDescent="0.35">
      <c r="A292" s="11"/>
      <c r="C292" s="63"/>
      <c r="D292" s="63"/>
      <c r="E292" s="63"/>
      <c r="F292" s="63"/>
      <c r="H292" s="62"/>
      <c r="I292" s="62"/>
      <c r="J292" s="62"/>
      <c r="K292" s="62"/>
      <c r="L292" s="62"/>
    </row>
    <row r="293" spans="1:12" ht="12.9" x14ac:dyDescent="0.35">
      <c r="A293" s="11"/>
      <c r="C293" s="63"/>
      <c r="E293" s="123"/>
      <c r="H293" s="62"/>
      <c r="I293" s="62"/>
      <c r="J293" s="62"/>
      <c r="K293" s="62"/>
      <c r="L293" s="62"/>
    </row>
    <row r="294" spans="1:12" ht="12.9" x14ac:dyDescent="0.35">
      <c r="A294" s="11"/>
      <c r="B294" s="28"/>
      <c r="C294" s="63"/>
      <c r="E294" s="123"/>
      <c r="G294" s="5"/>
      <c r="H294" s="63"/>
      <c r="I294" s="63"/>
      <c r="J294" s="62"/>
      <c r="K294" s="62"/>
      <c r="L294" s="62"/>
    </row>
    <row r="295" spans="1:12" ht="12.9" x14ac:dyDescent="0.35">
      <c r="A295" s="11"/>
      <c r="B295" s="28"/>
      <c r="C295" s="123"/>
      <c r="E295" s="123"/>
      <c r="H295" s="123"/>
      <c r="I295" s="123"/>
      <c r="J295" s="123"/>
      <c r="K295" s="123"/>
      <c r="L295" s="123"/>
    </row>
    <row r="296" spans="1:12" ht="12.9" x14ac:dyDescent="0.35">
      <c r="A296" s="11"/>
      <c r="B296" s="28"/>
      <c r="C296" s="5"/>
      <c r="D296" s="5"/>
      <c r="E296" s="5"/>
      <c r="F296" s="5"/>
      <c r="G296" s="62"/>
    </row>
    <row r="297" spans="1:12" ht="12.9" x14ac:dyDescent="0.35">
      <c r="A297" s="11"/>
      <c r="G297" s="62"/>
    </row>
    <row r="298" spans="1:12" ht="12.9" x14ac:dyDescent="0.35">
      <c r="A298" s="11"/>
      <c r="B298" s="28"/>
      <c r="C298" s="62"/>
      <c r="D298" s="62"/>
      <c r="E298" s="62"/>
      <c r="F298" s="62"/>
      <c r="G298" s="63"/>
    </row>
    <row r="299" spans="1:12" ht="12.9" x14ac:dyDescent="0.35">
      <c r="A299" s="11"/>
      <c r="B299" s="28"/>
      <c r="C299" s="62"/>
      <c r="D299" s="62"/>
      <c r="E299" s="62"/>
      <c r="F299" s="62"/>
      <c r="G299" s="123"/>
    </row>
    <row r="300" spans="1:12" x14ac:dyDescent="0.3">
      <c r="B300" s="28"/>
      <c r="C300" s="63"/>
      <c r="D300" s="63"/>
      <c r="E300" s="63"/>
      <c r="F300" s="63"/>
    </row>
    <row r="301" spans="1:12" x14ac:dyDescent="0.3">
      <c r="C301" s="123"/>
      <c r="D301" s="123"/>
      <c r="E301" s="123"/>
      <c r="F301" s="123"/>
    </row>
    <row r="302" spans="1:12" x14ac:dyDescent="0.3">
      <c r="B302" s="33"/>
      <c r="C302" s="63"/>
    </row>
    <row r="303" spans="1:12" x14ac:dyDescent="0.3">
      <c r="C303" s="63"/>
    </row>
    <row r="304" spans="1:12" x14ac:dyDescent="0.3">
      <c r="A304" s="9"/>
      <c r="C304" s="63"/>
    </row>
    <row r="305" spans="1:10" x14ac:dyDescent="0.3">
      <c r="C305" s="123"/>
      <c r="E305" s="123"/>
    </row>
    <row r="306" spans="1:10" x14ac:dyDescent="0.3">
      <c r="B306" s="7"/>
      <c r="C306" s="63"/>
    </row>
    <row r="307" spans="1:10" ht="12.9" x14ac:dyDescent="0.35">
      <c r="B307" s="8"/>
    </row>
    <row r="308" spans="1:10" x14ac:dyDescent="0.3">
      <c r="B308" s="28"/>
    </row>
    <row r="309" spans="1:10" x14ac:dyDescent="0.3">
      <c r="B309" s="28"/>
    </row>
    <row r="310" spans="1:10" ht="12.9" hidden="1" outlineLevel="1" x14ac:dyDescent="0.35">
      <c r="A310" s="79"/>
      <c r="B310" s="28"/>
      <c r="C310" s="52"/>
    </row>
    <row r="311" spans="1:10" hidden="1" outlineLevel="1" x14ac:dyDescent="0.3">
      <c r="A311" s="9"/>
    </row>
    <row r="312" spans="1:10" hidden="1" outlineLevel="1" x14ac:dyDescent="0.3">
      <c r="C312" s="29"/>
    </row>
    <row r="313" spans="1:10" hidden="1" outlineLevel="1" x14ac:dyDescent="0.3">
      <c r="A313" s="4"/>
      <c r="B313" s="7"/>
      <c r="C313" s="78"/>
    </row>
    <row r="314" spans="1:10" hidden="1" outlineLevel="1" x14ac:dyDescent="0.3">
      <c r="A314" s="4"/>
      <c r="C314" s="29"/>
    </row>
    <row r="315" spans="1:10" hidden="1" outlineLevel="1" x14ac:dyDescent="0.3">
      <c r="A315" s="4"/>
    </row>
    <row r="316" spans="1:10" hidden="1" outlineLevel="1" x14ac:dyDescent="0.3">
      <c r="A316" s="4"/>
    </row>
    <row r="317" spans="1:10" hidden="1" outlineLevel="1" x14ac:dyDescent="0.3">
      <c r="A317" s="4"/>
    </row>
    <row r="318" spans="1:10" hidden="1" outlineLevel="1" x14ac:dyDescent="0.3">
      <c r="A318" s="4"/>
    </row>
    <row r="319" spans="1:10" hidden="1" outlineLevel="1" x14ac:dyDescent="0.3">
      <c r="A319" s="4"/>
      <c r="C319" s="80"/>
      <c r="D319" s="80"/>
      <c r="E319" s="80"/>
      <c r="G319" s="57"/>
      <c r="H319" s="5"/>
      <c r="I319" s="5"/>
      <c r="J319" s="5"/>
    </row>
    <row r="320" spans="1:10" hidden="1" outlineLevel="1" x14ac:dyDescent="0.3">
      <c r="A320" s="4"/>
      <c r="C320" s="81"/>
      <c r="D320" s="81"/>
      <c r="E320" s="81"/>
      <c r="H320" s="82"/>
      <c r="I320" s="82"/>
      <c r="J320" s="82"/>
    </row>
    <row r="321" spans="1:10" hidden="1" outlineLevel="1" x14ac:dyDescent="0.3">
      <c r="A321" s="4"/>
      <c r="C321" s="57"/>
      <c r="D321" s="57"/>
      <c r="E321" s="57"/>
      <c r="F321" s="57"/>
      <c r="H321" s="29"/>
      <c r="I321" s="29"/>
      <c r="J321" s="29"/>
    </row>
    <row r="322" spans="1:10" hidden="1" outlineLevel="1" x14ac:dyDescent="0.3">
      <c r="A322" s="4"/>
    </row>
    <row r="323" spans="1:10" hidden="1" outlineLevel="1" x14ac:dyDescent="0.3">
      <c r="A323" s="4"/>
      <c r="C323" s="57"/>
      <c r="D323" s="57"/>
      <c r="E323" s="57"/>
      <c r="F323" s="57"/>
      <c r="G323" s="5"/>
    </row>
    <row r="324" spans="1:10" hidden="1" outlineLevel="1" x14ac:dyDescent="0.3">
      <c r="A324" s="4"/>
      <c r="G324" s="82"/>
    </row>
    <row r="325" spans="1:10" hidden="1" outlineLevel="1" x14ac:dyDescent="0.3">
      <c r="A325" s="4"/>
      <c r="C325" s="5"/>
      <c r="D325" s="5"/>
      <c r="E325" s="5"/>
      <c r="F325" s="5"/>
      <c r="G325" s="29"/>
    </row>
    <row r="326" spans="1:10" hidden="1" outlineLevel="1" x14ac:dyDescent="0.3">
      <c r="A326" s="4"/>
      <c r="C326" s="82"/>
      <c r="D326" s="82"/>
      <c r="E326" s="82"/>
      <c r="F326" s="82"/>
    </row>
    <row r="327" spans="1:10" hidden="1" outlineLevel="1" x14ac:dyDescent="0.3">
      <c r="A327" s="4"/>
      <c r="C327" s="29"/>
      <c r="D327" s="29"/>
      <c r="E327" s="29"/>
      <c r="F327" s="29"/>
    </row>
    <row r="328" spans="1:10" hidden="1" outlineLevel="1" x14ac:dyDescent="0.3">
      <c r="A328" s="4"/>
    </row>
    <row r="329" spans="1:10" hidden="1" outlineLevel="1" x14ac:dyDescent="0.3"/>
    <row r="330" spans="1:10" hidden="1" outlineLevel="1" x14ac:dyDescent="0.3"/>
    <row r="331" spans="1:10" hidden="1" outlineLevel="1" x14ac:dyDescent="0.3">
      <c r="C331" s="5"/>
      <c r="D331" s="5"/>
    </row>
    <row r="332" spans="1:10" hidden="1" outlineLevel="1" x14ac:dyDescent="0.3">
      <c r="C332" s="57"/>
      <c r="D332" s="57"/>
    </row>
    <row r="333" spans="1:10" hidden="1" outlineLevel="1" x14ac:dyDescent="0.3">
      <c r="C333" s="60"/>
      <c r="D333" s="60"/>
    </row>
    <row r="334" spans="1:10" hidden="1" outlineLevel="1" x14ac:dyDescent="0.3">
      <c r="C334" s="57"/>
      <c r="D334" s="57"/>
    </row>
    <row r="335" spans="1:10" hidden="1" outlineLevel="1" x14ac:dyDescent="0.3">
      <c r="A335" s="9"/>
      <c r="C335" s="57"/>
      <c r="D335" s="57"/>
    </row>
    <row r="336" spans="1:10" hidden="1" outlineLevel="1" x14ac:dyDescent="0.3">
      <c r="C336" s="60"/>
      <c r="D336" s="60"/>
    </row>
    <row r="337" spans="1:12" hidden="1" outlineLevel="1" x14ac:dyDescent="0.3">
      <c r="B337" s="7"/>
      <c r="H337" s="5"/>
      <c r="I337" s="5"/>
      <c r="J337" s="5"/>
      <c r="K337" s="5"/>
      <c r="L337" s="5"/>
    </row>
    <row r="338" spans="1:12" hidden="1" outlineLevel="1" x14ac:dyDescent="0.3">
      <c r="C338" s="60"/>
      <c r="D338" s="60"/>
      <c r="H338" s="5"/>
      <c r="I338" s="5"/>
      <c r="J338" s="5"/>
      <c r="K338" s="5"/>
      <c r="L338" s="5"/>
    </row>
    <row r="339" spans="1:12" hidden="1" outlineLevel="1" x14ac:dyDescent="0.3"/>
    <row r="340" spans="1:12" hidden="1" outlineLevel="1" x14ac:dyDescent="0.3">
      <c r="C340" s="60"/>
      <c r="H340" s="57"/>
      <c r="I340" s="57"/>
      <c r="J340" s="57"/>
    </row>
    <row r="341" spans="1:12" hidden="1" outlineLevel="1" x14ac:dyDescent="0.3">
      <c r="B341" s="28"/>
      <c r="G341" s="5"/>
    </row>
    <row r="342" spans="1:12" hidden="1" outlineLevel="1" x14ac:dyDescent="0.3">
      <c r="A342" s="4"/>
      <c r="B342" s="28"/>
      <c r="G342" s="5"/>
    </row>
    <row r="343" spans="1:12" hidden="1" outlineLevel="1" x14ac:dyDescent="0.3">
      <c r="A343" s="4"/>
      <c r="B343" s="28"/>
      <c r="C343" s="5"/>
      <c r="D343" s="5"/>
      <c r="E343" s="5"/>
      <c r="F343" s="5"/>
    </row>
    <row r="344" spans="1:12" hidden="1" outlineLevel="1" x14ac:dyDescent="0.3">
      <c r="A344" s="4"/>
      <c r="B344" s="28"/>
      <c r="C344" s="5"/>
      <c r="D344" s="5"/>
      <c r="E344" s="5"/>
      <c r="F344" s="5"/>
      <c r="G344" s="57"/>
    </row>
    <row r="345" spans="1:12" hidden="1" outlineLevel="1" x14ac:dyDescent="0.3">
      <c r="A345" s="4"/>
      <c r="B345" s="28"/>
    </row>
    <row r="346" spans="1:12" hidden="1" outlineLevel="1" x14ac:dyDescent="0.3">
      <c r="A346" s="4"/>
      <c r="B346" s="28"/>
      <c r="C346" s="57"/>
      <c r="D346" s="57"/>
      <c r="E346" s="57"/>
      <c r="F346" s="57"/>
    </row>
    <row r="347" spans="1:12" hidden="1" outlineLevel="1" x14ac:dyDescent="0.3">
      <c r="A347" s="4"/>
      <c r="B347" s="28"/>
    </row>
    <row r="348" spans="1:12" hidden="1" outlineLevel="1" x14ac:dyDescent="0.3">
      <c r="A348" s="4"/>
      <c r="B348" s="28"/>
      <c r="C348" s="5"/>
      <c r="D348" s="5"/>
    </row>
    <row r="349" spans="1:12" hidden="1" outlineLevel="1" x14ac:dyDescent="0.3">
      <c r="A349" s="4"/>
      <c r="B349" s="28"/>
      <c r="C349" s="46"/>
      <c r="D349" s="46"/>
    </row>
    <row r="350" spans="1:12" hidden="1" outlineLevel="1" x14ac:dyDescent="0.3">
      <c r="A350" s="4"/>
      <c r="B350" s="28"/>
      <c r="C350" s="60"/>
      <c r="D350" s="60"/>
    </row>
    <row r="351" spans="1:12" hidden="1" outlineLevel="1" x14ac:dyDescent="0.3">
      <c r="A351" s="4"/>
      <c r="B351" s="28"/>
      <c r="C351" s="59"/>
      <c r="D351" s="59"/>
    </row>
    <row r="352" spans="1:12" hidden="1" outlineLevel="1" x14ac:dyDescent="0.3">
      <c r="A352" s="4"/>
      <c r="B352" s="28"/>
      <c r="H352" s="5"/>
      <c r="I352" s="5"/>
      <c r="J352" s="5"/>
      <c r="K352" s="5"/>
      <c r="L352" s="5"/>
    </row>
    <row r="353" spans="1:12" hidden="1" outlineLevel="1" x14ac:dyDescent="0.3">
      <c r="A353" s="4"/>
      <c r="B353" s="28"/>
      <c r="H353" s="5"/>
      <c r="I353" s="5"/>
      <c r="J353" s="5"/>
      <c r="K353" s="5"/>
      <c r="L353" s="5"/>
    </row>
    <row r="354" spans="1:12" hidden="1" outlineLevel="1" x14ac:dyDescent="0.3">
      <c r="A354" s="4"/>
      <c r="C354" s="57"/>
      <c r="H354" s="46"/>
      <c r="I354" s="46"/>
      <c r="J354" s="46"/>
      <c r="K354" s="46"/>
      <c r="L354" s="46"/>
    </row>
    <row r="355" spans="1:12" hidden="1" outlineLevel="1" x14ac:dyDescent="0.3">
      <c r="A355" s="4"/>
      <c r="C355" s="57"/>
      <c r="H355" s="57"/>
      <c r="I355" s="57"/>
      <c r="J355" s="57"/>
      <c r="K355" s="57"/>
      <c r="L355" s="57"/>
    </row>
    <row r="356" spans="1:12" hidden="1" outlineLevel="1" x14ac:dyDescent="0.3">
      <c r="A356" s="4"/>
      <c r="B356" s="28"/>
      <c r="C356" s="57"/>
      <c r="G356" s="5"/>
      <c r="H356" s="57"/>
      <c r="I356" s="57"/>
      <c r="J356" s="57"/>
      <c r="K356" s="57"/>
      <c r="L356" s="57"/>
    </row>
    <row r="357" spans="1:12" hidden="1" outlineLevel="1" x14ac:dyDescent="0.3">
      <c r="A357" s="4"/>
      <c r="B357" s="28"/>
      <c r="C357" s="57"/>
      <c r="G357" s="5"/>
      <c r="H357" s="57"/>
      <c r="I357" s="57"/>
      <c r="J357" s="57"/>
      <c r="K357" s="57"/>
      <c r="L357" s="57"/>
    </row>
    <row r="358" spans="1:12" hidden="1" outlineLevel="1" x14ac:dyDescent="0.3">
      <c r="B358" s="28"/>
      <c r="C358" s="5"/>
      <c r="D358" s="5"/>
      <c r="E358" s="5"/>
      <c r="F358" s="5"/>
      <c r="G358" s="46"/>
      <c r="H358" s="57"/>
      <c r="I358" s="57"/>
      <c r="J358" s="57"/>
      <c r="K358" s="57"/>
      <c r="L358" s="57"/>
    </row>
    <row r="359" spans="1:12" hidden="1" outlineLevel="1" x14ac:dyDescent="0.3">
      <c r="B359" s="28"/>
      <c r="C359" s="5"/>
      <c r="D359" s="5"/>
      <c r="E359" s="5"/>
      <c r="F359" s="5"/>
      <c r="G359" s="57"/>
      <c r="H359" s="57"/>
      <c r="I359" s="57"/>
      <c r="J359" s="57"/>
      <c r="K359" s="57"/>
      <c r="L359" s="57"/>
    </row>
    <row r="360" spans="1:12" hidden="1" outlineLevel="1" x14ac:dyDescent="0.3">
      <c r="B360" s="28"/>
      <c r="C360" s="46"/>
      <c r="D360" s="46"/>
      <c r="E360" s="46"/>
      <c r="F360" s="46"/>
      <c r="G360" s="57"/>
      <c r="H360" s="57"/>
      <c r="I360" s="57"/>
      <c r="J360" s="57"/>
      <c r="K360" s="57"/>
      <c r="L360" s="57"/>
    </row>
    <row r="361" spans="1:12" hidden="1" outlineLevel="1" x14ac:dyDescent="0.3">
      <c r="B361" s="28"/>
      <c r="C361" s="57"/>
      <c r="D361" s="57"/>
      <c r="E361" s="57"/>
      <c r="F361" s="57"/>
      <c r="G361" s="57"/>
    </row>
    <row r="362" spans="1:12" hidden="1" outlineLevel="1" x14ac:dyDescent="0.3">
      <c r="B362" s="28"/>
      <c r="C362" s="57"/>
      <c r="D362" s="57"/>
      <c r="E362" s="57"/>
      <c r="F362" s="57"/>
      <c r="G362" s="57"/>
    </row>
    <row r="363" spans="1:12" hidden="1" outlineLevel="1" x14ac:dyDescent="0.3">
      <c r="B363" s="28"/>
      <c r="C363" s="57"/>
      <c r="D363" s="57"/>
      <c r="E363" s="57"/>
      <c r="F363" s="57"/>
      <c r="G363" s="57"/>
    </row>
    <row r="364" spans="1:12" hidden="1" outlineLevel="1" x14ac:dyDescent="0.3">
      <c r="B364" s="28"/>
      <c r="C364" s="57"/>
      <c r="D364" s="57"/>
      <c r="E364" s="57"/>
      <c r="F364" s="57"/>
      <c r="G364" s="57"/>
    </row>
    <row r="365" spans="1:12" hidden="1" outlineLevel="1" x14ac:dyDescent="0.3">
      <c r="C365" s="57"/>
      <c r="D365" s="57"/>
      <c r="E365" s="57"/>
      <c r="F365" s="57"/>
    </row>
    <row r="366" spans="1:12" hidden="1" outlineLevel="1" x14ac:dyDescent="0.3">
      <c r="B366" s="33"/>
      <c r="C366" s="57"/>
      <c r="D366" s="57"/>
      <c r="E366" s="57"/>
      <c r="F366" s="57"/>
    </row>
    <row r="367" spans="1:12" hidden="1" outlineLevel="1" x14ac:dyDescent="0.3">
      <c r="C367" s="57"/>
    </row>
    <row r="368" spans="1:12" hidden="1" outlineLevel="1" x14ac:dyDescent="0.3">
      <c r="C368" s="57"/>
    </row>
    <row r="369" spans="1:4" hidden="1" outlineLevel="1" x14ac:dyDescent="0.3">
      <c r="A369" s="83"/>
    </row>
    <row r="370" spans="1:4" hidden="1" outlineLevel="1" x14ac:dyDescent="0.3">
      <c r="A370" s="33"/>
      <c r="C370" s="63"/>
    </row>
    <row r="371" spans="1:4" hidden="1" outlineLevel="1" x14ac:dyDescent="0.3">
      <c r="A371" s="33"/>
    </row>
    <row r="372" spans="1:4" hidden="1" outlineLevel="1" x14ac:dyDescent="0.3">
      <c r="A372" s="33"/>
    </row>
    <row r="373" spans="1:4" hidden="1" outlineLevel="1" x14ac:dyDescent="0.3">
      <c r="A373" s="33"/>
    </row>
    <row r="374" spans="1:4" hidden="1" outlineLevel="1" x14ac:dyDescent="0.3">
      <c r="A374" s="33"/>
    </row>
    <row r="375" spans="1:4" hidden="1" outlineLevel="1" x14ac:dyDescent="0.3">
      <c r="A375" s="33"/>
    </row>
    <row r="376" spans="1:4" hidden="1" outlineLevel="1" x14ac:dyDescent="0.3">
      <c r="C376" s="128"/>
    </row>
    <row r="377" spans="1:4" hidden="1" outlineLevel="1" x14ac:dyDescent="0.3">
      <c r="C377" s="129"/>
    </row>
    <row r="378" spans="1:4" hidden="1" outlineLevel="1" x14ac:dyDescent="0.3">
      <c r="A378" s="33"/>
      <c r="C378" s="129"/>
    </row>
    <row r="379" spans="1:4" hidden="1" outlineLevel="1" x14ac:dyDescent="0.3">
      <c r="A379" s="33"/>
      <c r="C379" s="84"/>
      <c r="D379" s="41"/>
    </row>
    <row r="380" spans="1:4" hidden="1" outlineLevel="1" x14ac:dyDescent="0.3">
      <c r="C380" s="48"/>
    </row>
    <row r="381" spans="1:4" hidden="1" outlineLevel="1" x14ac:dyDescent="0.3">
      <c r="A381" s="4"/>
      <c r="C381" s="85"/>
      <c r="D381" s="41"/>
    </row>
    <row r="382" spans="1:4" hidden="1" outlineLevel="1" x14ac:dyDescent="0.3">
      <c r="A382" s="4"/>
    </row>
    <row r="383" spans="1:4" hidden="1" outlineLevel="1" x14ac:dyDescent="0.3">
      <c r="A383" s="4"/>
    </row>
    <row r="384" spans="1:4" hidden="1" outlineLevel="1" x14ac:dyDescent="0.3">
      <c r="A384" s="4"/>
      <c r="C384" s="46"/>
      <c r="D384" s="41"/>
    </row>
    <row r="385" spans="1:4" hidden="1" outlineLevel="1" x14ac:dyDescent="0.3">
      <c r="A385" s="4"/>
      <c r="C385" s="86"/>
      <c r="D385" s="41"/>
    </row>
    <row r="386" spans="1:4" hidden="1" outlineLevel="1" x14ac:dyDescent="0.3">
      <c r="A386" s="4"/>
    </row>
    <row r="387" spans="1:4" collapsed="1" x14ac:dyDescent="0.3">
      <c r="A387" s="4"/>
      <c r="C387" s="47"/>
    </row>
    <row r="388" spans="1:4" x14ac:dyDescent="0.3">
      <c r="A388" s="4"/>
      <c r="C388" s="86"/>
      <c r="D388" s="41"/>
    </row>
    <row r="389" spans="1:4" x14ac:dyDescent="0.3">
      <c r="A389" s="4"/>
    </row>
    <row r="390" spans="1:4" x14ac:dyDescent="0.3">
      <c r="A390" s="4"/>
      <c r="C390" s="86"/>
      <c r="D390" s="41"/>
    </row>
    <row r="391" spans="1:4" x14ac:dyDescent="0.3">
      <c r="C391" s="86"/>
    </row>
    <row r="392" spans="1:4" x14ac:dyDescent="0.3">
      <c r="C392" s="86"/>
    </row>
    <row r="393" spans="1:4" x14ac:dyDescent="0.3">
      <c r="A393" s="4"/>
    </row>
    <row r="394" spans="1:4" x14ac:dyDescent="0.3">
      <c r="A394" s="4"/>
    </row>
    <row r="395" spans="1:4" x14ac:dyDescent="0.3">
      <c r="A395" s="4"/>
    </row>
  </sheetData>
  <customSheetViews>
    <customSheetView guid="{9BF7FAF1-D686-4A6B-A2BE-0DAD43841920}" scale="80" hiddenRows="1">
      <selection activeCell="B5" sqref="B5:L5"/>
      <pageMargins left="0.7" right="0.7" top="0.75" bottom="0.75" header="0.3" footer="0.3"/>
      <pageSetup orientation="portrait" r:id="rId1"/>
    </customSheetView>
    <customSheetView guid="{D5524E47-947F-4D9F-AE8B-3F0380261994}" scale="85" hiddenRows="1">
      <selection activeCell="B5" sqref="B5:L5"/>
      <pageMargins left="0.7" right="0.7" top="0.75" bottom="0.75" header="0.3" footer="0.3"/>
      <pageSetup orientation="portrait" r:id="rId2"/>
    </customSheetView>
    <customSheetView guid="{88B031DE-0423-45A5-B384-E560A52FDD07}" scale="85" hiddenRows="1">
      <selection activeCell="B5" sqref="B5:L5"/>
      <pageMargins left="0.7" right="0.7" top="0.75" bottom="0.75" header="0.3" footer="0.3"/>
      <pageSetup orientation="portrait" r:id="rId3"/>
    </customSheetView>
    <customSheetView guid="{782F5CFE-DE26-4D5A-B82E-30A424B0A39B}" scale="80" hiddenRows="1">
      <selection activeCell="B5" sqref="B5:L5"/>
      <pageMargins left="0.7" right="0.7" top="0.75" bottom="0.75" header="0.3" footer="0.3"/>
      <pageSetup orientation="portrait" r:id="rId4"/>
    </customSheetView>
  </customSheetViews>
  <mergeCells count="5">
    <mergeCell ref="C113:D113"/>
    <mergeCell ref="C114:D114"/>
    <mergeCell ref="B5:L5"/>
    <mergeCell ref="F78:G78"/>
    <mergeCell ref="E112:F112"/>
  </mergeCells>
  <hyperlinks>
    <hyperlink ref="P10" r:id="rId5" display="\\njnwkfp06\PSE&amp;G\Customer Operations\CS\regulato\2015 BGS-RSCP for 2016-2017\2015-07 Initial Filing\BGS-FP Initial Filing Supporting Documents\Table1&amp;2 - OnPeak%\Table 1 - Time period usage for 2016-17 Spreadsheet.xls" xr:uid="{00000000-0004-0000-0200-000000000000}"/>
  </hyperlinks>
  <pageMargins left="0.7" right="0.7" top="0.75" bottom="0.75" header="0.3" footer="0.3"/>
  <pageSetup orientation="portrait" r:id="rId6"/>
  <drawing r:id="rId7"/>
  <legacyDrawing r:id="rId8"/>
  <mc:AlternateContent xmlns:mc="http://schemas.openxmlformats.org/markup-compatibility/2006">
    <mc:Choice Requires="x14">
      <controls>
        <mc:AlternateContent xmlns:mc="http://schemas.openxmlformats.org/markup-compatibility/2006">
          <mc:Choice Requires="x14">
            <control shapeId="47108" r:id="rId9" name="Button 4">
              <controlPr defaultSize="0" print="0" autoFill="0" autoPict="0" macro="[0]!CreateScenarios" altText="Run Scenario">
                <anchor>
                  <from>
                    <xdr:col>5</xdr:col>
                    <xdr:colOff>555171</xdr:colOff>
                    <xdr:row>0</xdr:row>
                    <xdr:rowOff>5443</xdr:rowOff>
                  </from>
                  <to>
                    <xdr:col>7</xdr:col>
                    <xdr:colOff>43543</xdr:colOff>
                    <xdr:row>2</xdr:row>
                    <xdr:rowOff>43543</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EBF9"/>
  </sheetPr>
  <dimension ref="A1:AM354"/>
  <sheetViews>
    <sheetView view="pageBreakPreview" zoomScaleNormal="70" zoomScaleSheetLayoutView="100" workbookViewId="0"/>
  </sheetViews>
  <sheetFormatPr defaultColWidth="9.07421875" defaultRowHeight="12.45" x14ac:dyDescent="0.3"/>
  <cols>
    <col min="1" max="1" width="13.07421875" style="3" customWidth="1"/>
    <col min="2" max="2" width="36.4609375" style="4" customWidth="1"/>
    <col min="3" max="11" width="13.3046875" style="4" customWidth="1"/>
    <col min="12" max="12" width="14.4609375" style="4" customWidth="1"/>
    <col min="13" max="13" width="16.53515625" style="4" customWidth="1"/>
    <col min="14" max="14" width="15.07421875" style="4" bestFit="1" customWidth="1"/>
    <col min="15" max="16" width="11.53515625" style="4" customWidth="1"/>
    <col min="17" max="17" width="18.4609375" style="4" customWidth="1"/>
    <col min="18" max="18" width="29" style="4" bestFit="1" customWidth="1"/>
    <col min="19" max="19" width="16.4609375" style="4" customWidth="1"/>
    <col min="20" max="20" width="23.84375" style="4" bestFit="1" customWidth="1"/>
    <col min="21" max="21" width="18" style="4" bestFit="1" customWidth="1"/>
    <col min="22" max="24" width="11.53515625" style="4" customWidth="1"/>
    <col min="25" max="25" width="11.4609375" style="4" bestFit="1" customWidth="1"/>
    <col min="26" max="26" width="10.07421875" style="4" customWidth="1"/>
    <col min="27" max="27" width="10.53515625" style="4" customWidth="1"/>
    <col min="28" max="28" width="12.84375" style="4" bestFit="1" customWidth="1"/>
    <col min="29" max="29" width="9.07421875" style="4"/>
    <col min="30" max="30" width="17.53515625" style="4" customWidth="1"/>
    <col min="31" max="31" width="9.07421875" style="4"/>
    <col min="32" max="32" width="10.4609375" style="4" bestFit="1" customWidth="1"/>
    <col min="33" max="33" width="10.53515625" style="4" customWidth="1"/>
    <col min="34" max="16384" width="9.07421875" style="4"/>
  </cols>
  <sheetData>
    <row r="1" spans="1:24" x14ac:dyDescent="0.3">
      <c r="A1" s="3" t="s">
        <v>283</v>
      </c>
      <c r="C1" s="5"/>
      <c r="D1" s="5"/>
      <c r="E1" s="5"/>
      <c r="F1" s="5"/>
      <c r="G1" s="5"/>
      <c r="H1" s="5"/>
      <c r="I1" s="5"/>
      <c r="J1" s="5"/>
      <c r="K1" s="5"/>
      <c r="L1" s="5"/>
    </row>
    <row r="2" spans="1:24" ht="15.45" x14ac:dyDescent="0.4">
      <c r="B2" s="307" t="str">
        <f>Input!B7</f>
        <v>Development of BGS-RSCP Cost and Bid Factors for 2025/2026 BGS Filing</v>
      </c>
      <c r="C2" s="328"/>
      <c r="D2" s="328"/>
      <c r="E2" s="328"/>
      <c r="F2" s="328"/>
    </row>
    <row r="3" spans="1:24" ht="12.9" x14ac:dyDescent="0.35">
      <c r="A3" s="6"/>
      <c r="B3" s="7" t="s">
        <v>91</v>
      </c>
      <c r="C3" s="328"/>
      <c r="D3" s="328"/>
      <c r="E3" s="328"/>
      <c r="F3" s="328"/>
    </row>
    <row r="4" spans="1:24" ht="12.9" x14ac:dyDescent="0.35">
      <c r="B4" s="328"/>
      <c r="C4" s="328"/>
      <c r="D4" s="328"/>
      <c r="E4" s="8" t="str">
        <f>+Input!E9</f>
        <v>Based on average of year 2021, 2022 &amp; 2023 Load Profile Information</v>
      </c>
      <c r="F4" s="328"/>
    </row>
    <row r="5" spans="1:24" ht="12.9" x14ac:dyDescent="0.35">
      <c r="A5" s="9" t="s">
        <v>64</v>
      </c>
      <c r="B5" s="10" t="s">
        <v>129</v>
      </c>
      <c r="C5" s="355"/>
      <c r="D5" s="328"/>
      <c r="E5" s="8" t="s">
        <v>60</v>
      </c>
      <c r="F5" s="328"/>
      <c r="N5" s="10"/>
      <c r="O5" s="10" t="s">
        <v>173</v>
      </c>
      <c r="P5" s="328"/>
      <c r="Q5" s="328"/>
      <c r="R5" s="328"/>
      <c r="S5" s="328"/>
      <c r="T5" s="328"/>
      <c r="U5" s="328"/>
      <c r="V5" s="328"/>
      <c r="W5" s="328"/>
      <c r="X5" s="328"/>
    </row>
    <row r="6" spans="1:24" ht="25.75" x14ac:dyDescent="0.35">
      <c r="A6" s="11"/>
      <c r="B6" s="328"/>
      <c r="C6" s="14" t="s">
        <v>50</v>
      </c>
      <c r="D6" s="14" t="s">
        <v>50</v>
      </c>
      <c r="E6" s="14" t="s">
        <v>50</v>
      </c>
      <c r="F6" s="14" t="s">
        <v>50</v>
      </c>
      <c r="G6" s="14" t="s">
        <v>50</v>
      </c>
      <c r="H6" s="14" t="s">
        <v>50</v>
      </c>
      <c r="I6" s="8" t="s">
        <v>96</v>
      </c>
      <c r="J6" s="356"/>
      <c r="K6" s="14" t="s">
        <v>50</v>
      </c>
      <c r="L6" s="14" t="s">
        <v>50</v>
      </c>
      <c r="M6" s="14"/>
      <c r="N6" s="8"/>
      <c r="O6" s="14" t="s">
        <v>50</v>
      </c>
      <c r="P6" s="14" t="s">
        <v>50</v>
      </c>
      <c r="Q6" s="14" t="s">
        <v>50</v>
      </c>
      <c r="R6" s="14" t="s">
        <v>50</v>
      </c>
      <c r="S6" s="14" t="s">
        <v>50</v>
      </c>
      <c r="T6" s="14" t="s">
        <v>50</v>
      </c>
      <c r="U6" s="8" t="s">
        <v>43</v>
      </c>
      <c r="V6" s="356"/>
      <c r="W6" s="14" t="s">
        <v>50</v>
      </c>
      <c r="X6" s="14" t="s">
        <v>50</v>
      </c>
    </row>
    <row r="7" spans="1:24" ht="12.9" x14ac:dyDescent="0.35">
      <c r="A7" s="11"/>
      <c r="B7" s="52" t="s">
        <v>233</v>
      </c>
      <c r="C7" s="5" t="s">
        <v>0</v>
      </c>
      <c r="D7" s="5" t="s">
        <v>1</v>
      </c>
      <c r="E7" s="5" t="s">
        <v>2</v>
      </c>
      <c r="F7" s="5" t="s">
        <v>3</v>
      </c>
      <c r="G7" s="5" t="s">
        <v>4</v>
      </c>
      <c r="H7" s="5" t="s">
        <v>6</v>
      </c>
      <c r="I7" s="5" t="s">
        <v>37</v>
      </c>
      <c r="J7" s="5" t="s">
        <v>38</v>
      </c>
      <c r="K7" s="5" t="s">
        <v>5</v>
      </c>
      <c r="L7" s="5" t="s">
        <v>36</v>
      </c>
      <c r="M7" s="17"/>
      <c r="N7" s="18"/>
      <c r="O7" s="5" t="str">
        <f>+C7</f>
        <v>RS</v>
      </c>
      <c r="P7" s="5" t="str">
        <f t="shared" ref="P7:X7" si="0">+D7</f>
        <v>RHS</v>
      </c>
      <c r="Q7" s="5" t="str">
        <f t="shared" si="0"/>
        <v>RLM</v>
      </c>
      <c r="R7" s="5" t="str">
        <f t="shared" si="0"/>
        <v>WH</v>
      </c>
      <c r="S7" s="5" t="str">
        <f t="shared" si="0"/>
        <v>WHS</v>
      </c>
      <c r="T7" s="5" t="str">
        <f t="shared" si="0"/>
        <v>HS</v>
      </c>
      <c r="U7" s="5" t="str">
        <f t="shared" si="0"/>
        <v>PSAL</v>
      </c>
      <c r="V7" s="5" t="str">
        <f t="shared" si="0"/>
        <v>BPL</v>
      </c>
      <c r="W7" s="5" t="str">
        <f t="shared" si="0"/>
        <v>GLP</v>
      </c>
      <c r="X7" s="5" t="str">
        <f t="shared" si="0"/>
        <v>LPL-S</v>
      </c>
    </row>
    <row r="8" spans="1:24" ht="12.9" x14ac:dyDescent="0.35">
      <c r="A8" s="11"/>
      <c r="C8" s="5"/>
      <c r="D8" s="5"/>
      <c r="E8" s="5"/>
      <c r="F8" s="5"/>
      <c r="G8" s="5"/>
      <c r="H8" s="5"/>
      <c r="I8" s="5"/>
      <c r="J8" s="5"/>
      <c r="K8" s="5"/>
      <c r="L8" s="5"/>
      <c r="O8" s="328"/>
      <c r="P8" s="328"/>
      <c r="Q8" s="328"/>
      <c r="R8" s="328"/>
      <c r="S8" s="328"/>
      <c r="T8" s="328"/>
      <c r="U8" s="328"/>
      <c r="V8" s="328"/>
      <c r="W8" s="328"/>
      <c r="X8" s="328"/>
    </row>
    <row r="9" spans="1:24" ht="12.9" x14ac:dyDescent="0.35">
      <c r="A9" s="11"/>
      <c r="B9" s="23" t="s">
        <v>7</v>
      </c>
      <c r="C9" s="357">
        <f>Input!C14</f>
        <v>0.47199999999999998</v>
      </c>
      <c r="D9" s="357">
        <f>Input!D14</f>
        <v>0.4587</v>
      </c>
      <c r="E9" s="357">
        <f>Input!E14</f>
        <v>0.46329999999999999</v>
      </c>
      <c r="F9" s="357">
        <f>Input!F14</f>
        <v>0.47199999999999998</v>
      </c>
      <c r="G9" s="357">
        <f>Input!G14</f>
        <v>0.47199999999999998</v>
      </c>
      <c r="H9" s="357">
        <f>Input!H14</f>
        <v>0.46870000000000001</v>
      </c>
      <c r="I9" s="357">
        <f>Input!I14</f>
        <v>0.3</v>
      </c>
      <c r="J9" s="357">
        <f>Input!J14</f>
        <v>0.3</v>
      </c>
      <c r="K9" s="357">
        <f>Input!K14</f>
        <v>0.52600000000000002</v>
      </c>
      <c r="L9" s="357">
        <f>Input!L14</f>
        <v>0.50900000000000001</v>
      </c>
      <c r="M9" s="358"/>
      <c r="N9" s="359"/>
      <c r="O9" s="360">
        <f t="shared" ref="O9:X9" si="1">1-C9</f>
        <v>0.52800000000000002</v>
      </c>
      <c r="P9" s="360">
        <f t="shared" si="1"/>
        <v>0.5413</v>
      </c>
      <c r="Q9" s="360">
        <f t="shared" si="1"/>
        <v>0.53669999999999995</v>
      </c>
      <c r="R9" s="360">
        <f t="shared" si="1"/>
        <v>0.52800000000000002</v>
      </c>
      <c r="S9" s="360">
        <f t="shared" si="1"/>
        <v>0.52800000000000002</v>
      </c>
      <c r="T9" s="360">
        <f t="shared" si="1"/>
        <v>0.53129999999999999</v>
      </c>
      <c r="U9" s="360">
        <f t="shared" si="1"/>
        <v>0.7</v>
      </c>
      <c r="V9" s="360">
        <f t="shared" si="1"/>
        <v>0.7</v>
      </c>
      <c r="W9" s="360">
        <f t="shared" si="1"/>
        <v>0.47399999999999998</v>
      </c>
      <c r="X9" s="360">
        <f t="shared" si="1"/>
        <v>0.49099999999999999</v>
      </c>
    </row>
    <row r="10" spans="1:24" ht="12.9" x14ac:dyDescent="0.35">
      <c r="A10" s="11"/>
      <c r="B10" s="23" t="s">
        <v>8</v>
      </c>
      <c r="C10" s="357">
        <f>Input!C15</f>
        <v>0.48830000000000001</v>
      </c>
      <c r="D10" s="357">
        <f>Input!D15</f>
        <v>0.46500000000000002</v>
      </c>
      <c r="E10" s="357">
        <f>Input!E15</f>
        <v>0.4783</v>
      </c>
      <c r="F10" s="357">
        <f>Input!F15</f>
        <v>0.48830000000000001</v>
      </c>
      <c r="G10" s="357">
        <f>Input!G15</f>
        <v>0.48830000000000001</v>
      </c>
      <c r="H10" s="357">
        <f>Input!H15</f>
        <v>0.4713</v>
      </c>
      <c r="I10" s="357">
        <f>Input!I15</f>
        <v>0.29199999999999998</v>
      </c>
      <c r="J10" s="357">
        <f>Input!J15</f>
        <v>0.29199999999999998</v>
      </c>
      <c r="K10" s="357">
        <f>Input!K15</f>
        <v>0.53869999999999996</v>
      </c>
      <c r="L10" s="357">
        <f>Input!L15</f>
        <v>0.52629999999999999</v>
      </c>
      <c r="M10" s="358"/>
      <c r="N10" s="359"/>
      <c r="O10" s="360">
        <f t="shared" ref="O10:O20" si="2">1-C10</f>
        <v>0.51170000000000004</v>
      </c>
      <c r="P10" s="360">
        <f t="shared" ref="P10:P20" si="3">1-D10</f>
        <v>0.53499999999999992</v>
      </c>
      <c r="Q10" s="360">
        <f t="shared" ref="Q10:Q20" si="4">1-E10</f>
        <v>0.52170000000000005</v>
      </c>
      <c r="R10" s="360">
        <f t="shared" ref="R10:R20" si="5">1-F10</f>
        <v>0.51170000000000004</v>
      </c>
      <c r="S10" s="360">
        <f t="shared" ref="S10:S20" si="6">1-G10</f>
        <v>0.51170000000000004</v>
      </c>
      <c r="T10" s="360">
        <f t="shared" ref="T10:T20" si="7">1-H10</f>
        <v>0.52869999999999995</v>
      </c>
      <c r="U10" s="360">
        <f t="shared" ref="U10:U20" si="8">1-I10</f>
        <v>0.70799999999999996</v>
      </c>
      <c r="V10" s="360">
        <f t="shared" ref="V10:V20" si="9">1-J10</f>
        <v>0.70799999999999996</v>
      </c>
      <c r="W10" s="360">
        <f t="shared" ref="W10:W20" si="10">1-K10</f>
        <v>0.46130000000000004</v>
      </c>
      <c r="X10" s="360">
        <f t="shared" ref="X10:X20" si="11">1-L10</f>
        <v>0.47370000000000001</v>
      </c>
    </row>
    <row r="11" spans="1:24" ht="12.9" x14ac:dyDescent="0.35">
      <c r="A11" s="11"/>
      <c r="B11" s="23" t="s">
        <v>9</v>
      </c>
      <c r="C11" s="357">
        <f>Input!C16</f>
        <v>0.50870000000000004</v>
      </c>
      <c r="D11" s="357">
        <f>Input!D16</f>
        <v>0.49299999999999999</v>
      </c>
      <c r="E11" s="357">
        <f>Input!E16</f>
        <v>0.48970000000000002</v>
      </c>
      <c r="F11" s="357">
        <f>Input!F16</f>
        <v>0.50870000000000004</v>
      </c>
      <c r="G11" s="357">
        <f>Input!G16</f>
        <v>0.50870000000000004</v>
      </c>
      <c r="H11" s="357">
        <f>Input!H16</f>
        <v>0.503</v>
      </c>
      <c r="I11" s="357">
        <f>Input!I16</f>
        <v>0.26329999999999998</v>
      </c>
      <c r="J11" s="357">
        <f>Input!J16</f>
        <v>0.26329999999999998</v>
      </c>
      <c r="K11" s="357">
        <f>Input!K16</f>
        <v>0.56669999999999998</v>
      </c>
      <c r="L11" s="357">
        <f>Input!L16</f>
        <v>0.54730000000000001</v>
      </c>
      <c r="M11" s="358"/>
      <c r="N11" s="359"/>
      <c r="O11" s="360">
        <f t="shared" si="2"/>
        <v>0.49129999999999996</v>
      </c>
      <c r="P11" s="360">
        <f t="shared" si="3"/>
        <v>0.50700000000000001</v>
      </c>
      <c r="Q11" s="360">
        <f t="shared" si="4"/>
        <v>0.51029999999999998</v>
      </c>
      <c r="R11" s="360">
        <f t="shared" si="5"/>
        <v>0.49129999999999996</v>
      </c>
      <c r="S11" s="360">
        <f t="shared" si="6"/>
        <v>0.49129999999999996</v>
      </c>
      <c r="T11" s="360">
        <f t="shared" si="7"/>
        <v>0.497</v>
      </c>
      <c r="U11" s="360">
        <f t="shared" si="8"/>
        <v>0.73670000000000002</v>
      </c>
      <c r="V11" s="360">
        <f t="shared" si="9"/>
        <v>0.73670000000000002</v>
      </c>
      <c r="W11" s="360">
        <f t="shared" si="10"/>
        <v>0.43330000000000002</v>
      </c>
      <c r="X11" s="360">
        <f t="shared" si="11"/>
        <v>0.45269999999999999</v>
      </c>
    </row>
    <row r="12" spans="1:24" ht="12.9" x14ac:dyDescent="0.35">
      <c r="A12" s="11"/>
      <c r="B12" s="23" t="s">
        <v>10</v>
      </c>
      <c r="C12" s="357">
        <f>Input!C17</f>
        <v>0.51029999999999998</v>
      </c>
      <c r="D12" s="357">
        <f>Input!D17</f>
        <v>0.504</v>
      </c>
      <c r="E12" s="357">
        <f>Input!E17</f>
        <v>0.49099999999999999</v>
      </c>
      <c r="F12" s="357">
        <f>Input!F17</f>
        <v>0.51029999999999998</v>
      </c>
      <c r="G12" s="357">
        <f>Input!G17</f>
        <v>0.51029999999999998</v>
      </c>
      <c r="H12" s="357">
        <f>Input!H17</f>
        <v>0.51400000000000001</v>
      </c>
      <c r="I12" s="357">
        <f>Input!I17</f>
        <v>0.22900000000000001</v>
      </c>
      <c r="J12" s="357">
        <f>Input!J17</f>
        <v>0.22900000000000001</v>
      </c>
      <c r="K12" s="357">
        <f>Input!K17</f>
        <v>0.56069999999999998</v>
      </c>
      <c r="L12" s="357">
        <f>Input!L17</f>
        <v>0.54169999999999996</v>
      </c>
      <c r="M12" s="358"/>
      <c r="N12" s="359"/>
      <c r="O12" s="360">
        <f t="shared" si="2"/>
        <v>0.48970000000000002</v>
      </c>
      <c r="P12" s="360">
        <f t="shared" si="3"/>
        <v>0.496</v>
      </c>
      <c r="Q12" s="360">
        <f t="shared" si="4"/>
        <v>0.50900000000000001</v>
      </c>
      <c r="R12" s="360">
        <f t="shared" si="5"/>
        <v>0.48970000000000002</v>
      </c>
      <c r="S12" s="360">
        <f t="shared" si="6"/>
        <v>0.48970000000000002</v>
      </c>
      <c r="T12" s="360">
        <f t="shared" si="7"/>
        <v>0.48599999999999999</v>
      </c>
      <c r="U12" s="360">
        <f t="shared" si="8"/>
        <v>0.77100000000000002</v>
      </c>
      <c r="V12" s="360">
        <f t="shared" si="9"/>
        <v>0.77100000000000002</v>
      </c>
      <c r="W12" s="360">
        <f t="shared" si="10"/>
        <v>0.43930000000000002</v>
      </c>
      <c r="X12" s="360">
        <f t="shared" si="11"/>
        <v>0.45830000000000004</v>
      </c>
    </row>
    <row r="13" spans="1:24" ht="12.9" x14ac:dyDescent="0.35">
      <c r="A13" s="11"/>
      <c r="B13" s="23" t="s">
        <v>11</v>
      </c>
      <c r="C13" s="357">
        <f>Input!C18</f>
        <v>0.45129999999999998</v>
      </c>
      <c r="D13" s="357">
        <f>Input!D18</f>
        <v>0.45469999999999999</v>
      </c>
      <c r="E13" s="357">
        <f>Input!E18</f>
        <v>0.44269999999999998</v>
      </c>
      <c r="F13" s="357">
        <f>Input!F18</f>
        <v>0.45129999999999998</v>
      </c>
      <c r="G13" s="357">
        <f>Input!G18</f>
        <v>0.45129999999999998</v>
      </c>
      <c r="H13" s="357">
        <f>Input!H18</f>
        <v>0.50470000000000004</v>
      </c>
      <c r="I13" s="357">
        <f>Input!I18</f>
        <v>0.19500000000000001</v>
      </c>
      <c r="J13" s="357">
        <f>Input!J18</f>
        <v>0.19500000000000001</v>
      </c>
      <c r="K13" s="357">
        <f>Input!K18</f>
        <v>0.52070000000000005</v>
      </c>
      <c r="L13" s="357">
        <f>Input!L18</f>
        <v>0.49769999999999998</v>
      </c>
      <c r="M13" s="358"/>
      <c r="N13" s="359"/>
      <c r="O13" s="360">
        <f t="shared" si="2"/>
        <v>0.54869999999999997</v>
      </c>
      <c r="P13" s="360">
        <f t="shared" si="3"/>
        <v>0.54530000000000001</v>
      </c>
      <c r="Q13" s="360">
        <f t="shared" si="4"/>
        <v>0.55730000000000002</v>
      </c>
      <c r="R13" s="360">
        <f t="shared" si="5"/>
        <v>0.54869999999999997</v>
      </c>
      <c r="S13" s="360">
        <f t="shared" si="6"/>
        <v>0.54869999999999997</v>
      </c>
      <c r="T13" s="360">
        <f t="shared" si="7"/>
        <v>0.49529999999999996</v>
      </c>
      <c r="U13" s="360">
        <f t="shared" si="8"/>
        <v>0.80499999999999994</v>
      </c>
      <c r="V13" s="360">
        <f t="shared" si="9"/>
        <v>0.80499999999999994</v>
      </c>
      <c r="W13" s="360">
        <f t="shared" si="10"/>
        <v>0.47929999999999995</v>
      </c>
      <c r="X13" s="360">
        <f t="shared" si="11"/>
        <v>0.50229999999999997</v>
      </c>
    </row>
    <row r="14" spans="1:24" ht="12.9" x14ac:dyDescent="0.35">
      <c r="A14" s="11"/>
      <c r="B14" s="23" t="s">
        <v>12</v>
      </c>
      <c r="C14" s="357">
        <f>Input!C19</f>
        <v>0.54200000000000004</v>
      </c>
      <c r="D14" s="357">
        <f>Input!D19</f>
        <v>0.55169999999999997</v>
      </c>
      <c r="E14" s="357">
        <f>Input!E19</f>
        <v>0.54400000000000004</v>
      </c>
      <c r="F14" s="357">
        <f>Input!F19</f>
        <v>0.54200000000000004</v>
      </c>
      <c r="G14" s="357">
        <f>Input!G19</f>
        <v>0.54200000000000004</v>
      </c>
      <c r="H14" s="357">
        <f>Input!H19</f>
        <v>0.62</v>
      </c>
      <c r="I14" s="357">
        <f>Input!I19</f>
        <v>0.20699999999999999</v>
      </c>
      <c r="J14" s="357">
        <f>Input!J19</f>
        <v>0.20699999999999999</v>
      </c>
      <c r="K14" s="357">
        <f>Input!K19</f>
        <v>0.59670000000000001</v>
      </c>
      <c r="L14" s="357">
        <f>Input!L19</f>
        <v>0.56699999999999995</v>
      </c>
      <c r="M14" s="358"/>
      <c r="N14" s="359"/>
      <c r="O14" s="360">
        <f t="shared" si="2"/>
        <v>0.45799999999999996</v>
      </c>
      <c r="P14" s="360">
        <f t="shared" si="3"/>
        <v>0.44830000000000003</v>
      </c>
      <c r="Q14" s="360">
        <f t="shared" si="4"/>
        <v>0.45599999999999996</v>
      </c>
      <c r="R14" s="360">
        <f t="shared" si="5"/>
        <v>0.45799999999999996</v>
      </c>
      <c r="S14" s="360">
        <f t="shared" si="6"/>
        <v>0.45799999999999996</v>
      </c>
      <c r="T14" s="360">
        <f t="shared" si="7"/>
        <v>0.38</v>
      </c>
      <c r="U14" s="360">
        <f t="shared" si="8"/>
        <v>0.79300000000000004</v>
      </c>
      <c r="V14" s="360">
        <f t="shared" si="9"/>
        <v>0.79300000000000004</v>
      </c>
      <c r="W14" s="360">
        <f t="shared" si="10"/>
        <v>0.40329999999999999</v>
      </c>
      <c r="X14" s="360">
        <f t="shared" si="11"/>
        <v>0.43300000000000005</v>
      </c>
    </row>
    <row r="15" spans="1:24" ht="12.9" x14ac:dyDescent="0.35">
      <c r="A15" s="11"/>
      <c r="B15" s="23" t="s">
        <v>13</v>
      </c>
      <c r="C15" s="357">
        <f>Input!C20</f>
        <v>0.52600000000000002</v>
      </c>
      <c r="D15" s="357">
        <f>Input!D20</f>
        <v>0.53300000000000003</v>
      </c>
      <c r="E15" s="357">
        <f>Input!E20</f>
        <v>0.52729999999999999</v>
      </c>
      <c r="F15" s="357">
        <f>Input!F20</f>
        <v>0.52600000000000002</v>
      </c>
      <c r="G15" s="357">
        <f>Input!G20</f>
        <v>0.52600000000000002</v>
      </c>
      <c r="H15" s="357">
        <f>Input!H20</f>
        <v>0.6</v>
      </c>
      <c r="I15" s="357">
        <f>Input!I20</f>
        <v>0.19500000000000001</v>
      </c>
      <c r="J15" s="357">
        <f>Input!J20</f>
        <v>0.19500000000000001</v>
      </c>
      <c r="K15" s="357">
        <f>Input!K20</f>
        <v>0.57199999999999995</v>
      </c>
      <c r="L15" s="357">
        <f>Input!L20</f>
        <v>0.54100000000000004</v>
      </c>
      <c r="M15" s="358"/>
      <c r="N15" s="359"/>
      <c r="O15" s="360">
        <f t="shared" si="2"/>
        <v>0.47399999999999998</v>
      </c>
      <c r="P15" s="360">
        <f t="shared" si="3"/>
        <v>0.46699999999999997</v>
      </c>
      <c r="Q15" s="360">
        <f t="shared" si="4"/>
        <v>0.47270000000000001</v>
      </c>
      <c r="R15" s="360">
        <f t="shared" si="5"/>
        <v>0.47399999999999998</v>
      </c>
      <c r="S15" s="360">
        <f t="shared" si="6"/>
        <v>0.47399999999999998</v>
      </c>
      <c r="T15" s="360">
        <f t="shared" si="7"/>
        <v>0.4</v>
      </c>
      <c r="U15" s="360">
        <f t="shared" si="8"/>
        <v>0.80499999999999994</v>
      </c>
      <c r="V15" s="360">
        <f t="shared" si="9"/>
        <v>0.80499999999999994</v>
      </c>
      <c r="W15" s="360">
        <f t="shared" si="10"/>
        <v>0.42800000000000005</v>
      </c>
      <c r="X15" s="360">
        <f t="shared" si="11"/>
        <v>0.45899999999999996</v>
      </c>
    </row>
    <row r="16" spans="1:24" ht="12.9" x14ac:dyDescent="0.35">
      <c r="A16" s="11"/>
      <c r="B16" s="23" t="s">
        <v>14</v>
      </c>
      <c r="C16" s="357">
        <f>Input!C21</f>
        <v>0.53269999999999995</v>
      </c>
      <c r="D16" s="357">
        <f>Input!D21</f>
        <v>0.54</v>
      </c>
      <c r="E16" s="357">
        <f>Input!E21</f>
        <v>0.5353</v>
      </c>
      <c r="F16" s="357">
        <f>Input!F21</f>
        <v>0.53269999999999995</v>
      </c>
      <c r="G16" s="357">
        <f>Input!G21</f>
        <v>0.53269999999999995</v>
      </c>
      <c r="H16" s="357">
        <f>Input!H21</f>
        <v>0.61</v>
      </c>
      <c r="I16" s="357">
        <f>Input!I21</f>
        <v>0.215</v>
      </c>
      <c r="J16" s="357">
        <f>Input!J21</f>
        <v>0.215</v>
      </c>
      <c r="K16" s="357">
        <f>Input!K21</f>
        <v>0.58130000000000004</v>
      </c>
      <c r="L16" s="357">
        <f>Input!L21</f>
        <v>0.54769999999999996</v>
      </c>
      <c r="M16" s="358"/>
      <c r="N16" s="359"/>
      <c r="O16" s="360">
        <f t="shared" si="2"/>
        <v>0.46730000000000005</v>
      </c>
      <c r="P16" s="360">
        <f t="shared" si="3"/>
        <v>0.45999999999999996</v>
      </c>
      <c r="Q16" s="360">
        <f t="shared" si="4"/>
        <v>0.4647</v>
      </c>
      <c r="R16" s="360">
        <f t="shared" si="5"/>
        <v>0.46730000000000005</v>
      </c>
      <c r="S16" s="360">
        <f t="shared" si="6"/>
        <v>0.46730000000000005</v>
      </c>
      <c r="T16" s="360">
        <f t="shared" si="7"/>
        <v>0.39</v>
      </c>
      <c r="U16" s="360">
        <f t="shared" si="8"/>
        <v>0.78500000000000003</v>
      </c>
      <c r="V16" s="360">
        <f t="shared" si="9"/>
        <v>0.78500000000000003</v>
      </c>
      <c r="W16" s="360">
        <f t="shared" si="10"/>
        <v>0.41869999999999996</v>
      </c>
      <c r="X16" s="360">
        <f t="shared" si="11"/>
        <v>0.45230000000000004</v>
      </c>
    </row>
    <row r="17" spans="1:24" ht="12.9" x14ac:dyDescent="0.35">
      <c r="A17" s="11"/>
      <c r="B17" s="23" t="s">
        <v>15</v>
      </c>
      <c r="C17" s="357">
        <f>Input!C22</f>
        <v>0.50329999999999997</v>
      </c>
      <c r="D17" s="357">
        <f>Input!D22</f>
        <v>0.51600000000000001</v>
      </c>
      <c r="E17" s="357">
        <f>Input!E22</f>
        <v>0.505</v>
      </c>
      <c r="F17" s="357">
        <f>Input!F22</f>
        <v>0.50329999999999997</v>
      </c>
      <c r="G17" s="357">
        <f>Input!G22</f>
        <v>0.50329999999999997</v>
      </c>
      <c r="H17" s="357">
        <f>Input!H22</f>
        <v>0.58330000000000004</v>
      </c>
      <c r="I17" s="357">
        <f>Input!I22</f>
        <v>0.23799999999999999</v>
      </c>
      <c r="J17" s="357">
        <f>Input!J22</f>
        <v>0.23799999999999999</v>
      </c>
      <c r="K17" s="357">
        <f>Input!K22</f>
        <v>0.56999999999999995</v>
      </c>
      <c r="L17" s="357">
        <f>Input!L22</f>
        <v>0.54630000000000001</v>
      </c>
      <c r="M17" s="358"/>
      <c r="N17" s="359"/>
      <c r="O17" s="360">
        <f t="shared" si="2"/>
        <v>0.49670000000000003</v>
      </c>
      <c r="P17" s="360">
        <f t="shared" si="3"/>
        <v>0.48399999999999999</v>
      </c>
      <c r="Q17" s="360">
        <f t="shared" si="4"/>
        <v>0.495</v>
      </c>
      <c r="R17" s="360">
        <f t="shared" si="5"/>
        <v>0.49670000000000003</v>
      </c>
      <c r="S17" s="360">
        <f t="shared" si="6"/>
        <v>0.49670000000000003</v>
      </c>
      <c r="T17" s="360">
        <f t="shared" si="7"/>
        <v>0.41669999999999996</v>
      </c>
      <c r="U17" s="360">
        <f t="shared" si="8"/>
        <v>0.76200000000000001</v>
      </c>
      <c r="V17" s="360">
        <f t="shared" si="9"/>
        <v>0.76200000000000001</v>
      </c>
      <c r="W17" s="360">
        <f t="shared" si="10"/>
        <v>0.43000000000000005</v>
      </c>
      <c r="X17" s="360">
        <f t="shared" si="11"/>
        <v>0.45369999999999999</v>
      </c>
    </row>
    <row r="18" spans="1:24" ht="12.9" x14ac:dyDescent="0.35">
      <c r="A18" s="11"/>
      <c r="B18" s="23" t="s">
        <v>16</v>
      </c>
      <c r="C18" s="357">
        <f>Input!C23</f>
        <v>0.49230000000000002</v>
      </c>
      <c r="D18" s="357">
        <f>Input!D23</f>
        <v>0.49430000000000002</v>
      </c>
      <c r="E18" s="357">
        <f>Input!E23</f>
        <v>0.48130000000000001</v>
      </c>
      <c r="F18" s="357">
        <f>Input!F23</f>
        <v>0.49230000000000002</v>
      </c>
      <c r="G18" s="357">
        <f>Input!G23</f>
        <v>0.49230000000000002</v>
      </c>
      <c r="H18" s="357">
        <f>Input!H23</f>
        <v>0.53800000000000003</v>
      </c>
      <c r="I18" s="357">
        <f>Input!I23</f>
        <v>0.26169999999999999</v>
      </c>
      <c r="J18" s="357">
        <f>Input!J23</f>
        <v>0.26169999999999999</v>
      </c>
      <c r="K18" s="357">
        <f>Input!K23</f>
        <v>0.55630000000000002</v>
      </c>
      <c r="L18" s="357">
        <f>Input!L23</f>
        <v>0.5363</v>
      </c>
      <c r="M18" s="358"/>
      <c r="N18" s="359"/>
      <c r="O18" s="360">
        <f t="shared" si="2"/>
        <v>0.50770000000000004</v>
      </c>
      <c r="P18" s="360">
        <f t="shared" si="3"/>
        <v>0.50570000000000004</v>
      </c>
      <c r="Q18" s="360">
        <f t="shared" si="4"/>
        <v>0.51869999999999994</v>
      </c>
      <c r="R18" s="360">
        <f t="shared" si="5"/>
        <v>0.50770000000000004</v>
      </c>
      <c r="S18" s="360">
        <f t="shared" si="6"/>
        <v>0.50770000000000004</v>
      </c>
      <c r="T18" s="360">
        <f t="shared" si="7"/>
        <v>0.46199999999999997</v>
      </c>
      <c r="U18" s="360">
        <f t="shared" si="8"/>
        <v>0.73829999999999996</v>
      </c>
      <c r="V18" s="360">
        <f t="shared" si="9"/>
        <v>0.73829999999999996</v>
      </c>
      <c r="W18" s="360">
        <f t="shared" si="10"/>
        <v>0.44369999999999998</v>
      </c>
      <c r="X18" s="360">
        <f t="shared" si="11"/>
        <v>0.4637</v>
      </c>
    </row>
    <row r="19" spans="1:24" ht="12.9" x14ac:dyDescent="0.35">
      <c r="A19" s="11"/>
      <c r="B19" s="23" t="s">
        <v>17</v>
      </c>
      <c r="C19" s="357">
        <f>Input!C24</f>
        <v>0.47970000000000002</v>
      </c>
      <c r="D19" s="357">
        <f>Input!D24</f>
        <v>0.47170000000000001</v>
      </c>
      <c r="E19" s="357">
        <f>Input!E24</f>
        <v>0.4703</v>
      </c>
      <c r="F19" s="357">
        <f>Input!F24</f>
        <v>0.47970000000000002</v>
      </c>
      <c r="G19" s="357">
        <f>Input!G24</f>
        <v>0.47970000000000002</v>
      </c>
      <c r="H19" s="357">
        <f>Input!H24</f>
        <v>0.48630000000000001</v>
      </c>
      <c r="I19" s="357">
        <f>Input!I24</f>
        <v>0.30530000000000002</v>
      </c>
      <c r="J19" s="357">
        <f>Input!J24</f>
        <v>0.30530000000000002</v>
      </c>
      <c r="K19" s="357">
        <f>Input!K24</f>
        <v>0.54369999999999996</v>
      </c>
      <c r="L19" s="357">
        <f>Input!L24</f>
        <v>0.52529999999999999</v>
      </c>
      <c r="M19" s="358"/>
      <c r="N19" s="359"/>
      <c r="O19" s="360">
        <f t="shared" si="2"/>
        <v>0.52029999999999998</v>
      </c>
      <c r="P19" s="360">
        <f t="shared" si="3"/>
        <v>0.52829999999999999</v>
      </c>
      <c r="Q19" s="360">
        <f t="shared" si="4"/>
        <v>0.52970000000000006</v>
      </c>
      <c r="R19" s="360">
        <f t="shared" si="5"/>
        <v>0.52029999999999998</v>
      </c>
      <c r="S19" s="360">
        <f t="shared" si="6"/>
        <v>0.52029999999999998</v>
      </c>
      <c r="T19" s="360">
        <f t="shared" si="7"/>
        <v>0.51370000000000005</v>
      </c>
      <c r="U19" s="360">
        <f t="shared" si="8"/>
        <v>0.69469999999999998</v>
      </c>
      <c r="V19" s="360">
        <f t="shared" si="9"/>
        <v>0.69469999999999998</v>
      </c>
      <c r="W19" s="360">
        <f t="shared" si="10"/>
        <v>0.45630000000000004</v>
      </c>
      <c r="X19" s="360">
        <f t="shared" si="11"/>
        <v>0.47470000000000001</v>
      </c>
    </row>
    <row r="20" spans="1:24" ht="12.9" x14ac:dyDescent="0.35">
      <c r="A20" s="11"/>
      <c r="B20" s="23" t="s">
        <v>18</v>
      </c>
      <c r="C20" s="357">
        <f>Input!C25</f>
        <v>0.495</v>
      </c>
      <c r="D20" s="357">
        <f>Input!D25</f>
        <v>0.48</v>
      </c>
      <c r="E20" s="357">
        <f>Input!E25</f>
        <v>0.49</v>
      </c>
      <c r="F20" s="357">
        <f>Input!F25</f>
        <v>0.495</v>
      </c>
      <c r="G20" s="357">
        <f>Input!G25</f>
        <v>0.495</v>
      </c>
      <c r="H20" s="357">
        <f>Input!H25</f>
        <v>0.48430000000000001</v>
      </c>
      <c r="I20" s="357">
        <f>Input!I25</f>
        <v>0.32300000000000001</v>
      </c>
      <c r="J20" s="357">
        <f>Input!J25</f>
        <v>0.32300000000000001</v>
      </c>
      <c r="K20" s="357">
        <f>Input!K25</f>
        <v>0.54669999999999996</v>
      </c>
      <c r="L20" s="357">
        <f>Input!L25</f>
        <v>0.52829999999999999</v>
      </c>
      <c r="M20" s="358"/>
      <c r="N20" s="359"/>
      <c r="O20" s="360">
        <f t="shared" si="2"/>
        <v>0.505</v>
      </c>
      <c r="P20" s="360">
        <f t="shared" si="3"/>
        <v>0.52</v>
      </c>
      <c r="Q20" s="360">
        <f t="shared" si="4"/>
        <v>0.51</v>
      </c>
      <c r="R20" s="360">
        <f t="shared" si="5"/>
        <v>0.505</v>
      </c>
      <c r="S20" s="360">
        <f t="shared" si="6"/>
        <v>0.505</v>
      </c>
      <c r="T20" s="360">
        <f t="shared" si="7"/>
        <v>0.51570000000000005</v>
      </c>
      <c r="U20" s="360">
        <f t="shared" si="8"/>
        <v>0.67700000000000005</v>
      </c>
      <c r="V20" s="360">
        <f t="shared" si="9"/>
        <v>0.67700000000000005</v>
      </c>
      <c r="W20" s="360">
        <f t="shared" si="10"/>
        <v>0.45330000000000004</v>
      </c>
      <c r="X20" s="360">
        <f t="shared" si="11"/>
        <v>0.47170000000000001</v>
      </c>
    </row>
    <row r="21" spans="1:24" ht="12.9" x14ac:dyDescent="0.35">
      <c r="A21" s="11"/>
      <c r="B21" s="23"/>
      <c r="C21" s="359"/>
      <c r="D21" s="359"/>
      <c r="E21" s="359"/>
      <c r="F21" s="359"/>
      <c r="G21" s="359"/>
      <c r="H21" s="359"/>
      <c r="I21" s="359"/>
      <c r="J21" s="359"/>
      <c r="K21" s="359"/>
      <c r="L21" s="359"/>
      <c r="M21" s="359"/>
      <c r="N21" s="359"/>
      <c r="O21" s="360"/>
      <c r="P21" s="360"/>
      <c r="Q21" s="360"/>
      <c r="R21" s="360"/>
      <c r="S21" s="360"/>
      <c r="T21" s="360"/>
      <c r="U21" s="360"/>
      <c r="V21" s="360"/>
      <c r="W21" s="360"/>
      <c r="X21" s="360"/>
    </row>
    <row r="22" spans="1:24" ht="12.9" x14ac:dyDescent="0.35">
      <c r="A22" s="11"/>
      <c r="B22" s="23"/>
      <c r="C22" s="359"/>
      <c r="D22" s="359"/>
      <c r="E22" s="8" t="str">
        <f>+Input!E9</f>
        <v>Based on average of year 2021, 2022 &amp; 2023 Load Profile Information</v>
      </c>
      <c r="K22" s="359"/>
      <c r="L22" s="359"/>
      <c r="M22" s="359"/>
      <c r="N22" s="359"/>
      <c r="O22" s="360"/>
      <c r="P22" s="360"/>
      <c r="Q22" s="360"/>
      <c r="R22" s="360"/>
      <c r="S22" s="360"/>
      <c r="T22" s="360"/>
      <c r="U22" s="360"/>
      <c r="V22" s="360"/>
      <c r="W22" s="360"/>
      <c r="X22" s="360"/>
    </row>
    <row r="23" spans="1:24" ht="12.9" x14ac:dyDescent="0.35">
      <c r="A23" s="9" t="s">
        <v>65</v>
      </c>
      <c r="B23" s="10" t="s">
        <v>130</v>
      </c>
      <c r="C23" s="359"/>
      <c r="D23" s="359"/>
      <c r="E23" s="361" t="str">
        <f>Input!E28</f>
        <v>On-Peak periods as defined in specified rate schedule (average of %s for 2021, 2022 &amp; 2023)</v>
      </c>
      <c r="G23" s="359"/>
      <c r="H23" s="359"/>
      <c r="I23" s="362"/>
      <c r="J23" s="362"/>
      <c r="K23" s="359"/>
      <c r="L23" s="359"/>
      <c r="M23" s="359"/>
      <c r="N23" s="359"/>
      <c r="O23" s="360"/>
      <c r="P23" s="360"/>
      <c r="Q23" s="360"/>
      <c r="R23" s="360"/>
      <c r="S23" s="360"/>
      <c r="T23" s="360"/>
      <c r="U23" s="360"/>
      <c r="V23" s="360"/>
      <c r="W23" s="360"/>
      <c r="X23" s="360"/>
    </row>
    <row r="24" spans="1:24" ht="25.75" x14ac:dyDescent="0.35">
      <c r="A24" s="11"/>
      <c r="C24" s="14" t="s">
        <v>79</v>
      </c>
      <c r="D24" s="14" t="s">
        <v>79</v>
      </c>
      <c r="E24" s="14" t="s">
        <v>50</v>
      </c>
      <c r="F24" s="14" t="s">
        <v>79</v>
      </c>
      <c r="G24" s="14" t="s">
        <v>79</v>
      </c>
      <c r="H24" s="14" t="s">
        <v>79</v>
      </c>
      <c r="I24" s="14" t="s">
        <v>79</v>
      </c>
      <c r="J24" s="14" t="s">
        <v>79</v>
      </c>
      <c r="K24" s="14" t="s">
        <v>79</v>
      </c>
      <c r="L24" s="14" t="s">
        <v>50</v>
      </c>
      <c r="M24" s="14"/>
      <c r="N24" s="8"/>
      <c r="O24" s="14" t="s">
        <v>79</v>
      </c>
      <c r="P24" s="14" t="s">
        <v>79</v>
      </c>
      <c r="Q24" s="14" t="s">
        <v>221</v>
      </c>
      <c r="R24" s="14" t="s">
        <v>79</v>
      </c>
      <c r="S24" s="14" t="s">
        <v>79</v>
      </c>
      <c r="T24" s="14" t="s">
        <v>79</v>
      </c>
      <c r="U24" s="14" t="s">
        <v>79</v>
      </c>
      <c r="V24" s="14" t="s">
        <v>79</v>
      </c>
      <c r="W24" s="14" t="s">
        <v>79</v>
      </c>
      <c r="X24" s="14" t="s">
        <v>221</v>
      </c>
    </row>
    <row r="25" spans="1:24" ht="12.9" x14ac:dyDescent="0.35">
      <c r="A25" s="11"/>
      <c r="B25" s="52" t="s">
        <v>233</v>
      </c>
      <c r="C25" s="5" t="str">
        <f>+C7</f>
        <v>RS</v>
      </c>
      <c r="D25" s="5" t="str">
        <f t="shared" ref="D25:L25" si="12">+D7</f>
        <v>RHS</v>
      </c>
      <c r="E25" s="5" t="str">
        <f t="shared" si="12"/>
        <v>RLM</v>
      </c>
      <c r="F25" s="5" t="str">
        <f t="shared" si="12"/>
        <v>WH</v>
      </c>
      <c r="G25" s="5" t="str">
        <f t="shared" si="12"/>
        <v>WHS</v>
      </c>
      <c r="H25" s="5" t="str">
        <f t="shared" si="12"/>
        <v>HS</v>
      </c>
      <c r="I25" s="5" t="str">
        <f t="shared" si="12"/>
        <v>PSAL</v>
      </c>
      <c r="J25" s="5" t="str">
        <f t="shared" si="12"/>
        <v>BPL</v>
      </c>
      <c r="K25" s="5" t="str">
        <f t="shared" si="12"/>
        <v>GLP</v>
      </c>
      <c r="L25" s="5" t="str">
        <f t="shared" si="12"/>
        <v>LPL-S</v>
      </c>
      <c r="M25" s="5"/>
      <c r="N25" s="18"/>
      <c r="O25" s="5" t="str">
        <f>+C7</f>
        <v>RS</v>
      </c>
      <c r="P25" s="5" t="str">
        <f t="shared" ref="P25:X25" si="13">+D7</f>
        <v>RHS</v>
      </c>
      <c r="Q25" s="5" t="str">
        <f t="shared" si="13"/>
        <v>RLM</v>
      </c>
      <c r="R25" s="5" t="str">
        <f t="shared" si="13"/>
        <v>WH</v>
      </c>
      <c r="S25" s="5" t="str">
        <f t="shared" si="13"/>
        <v>WHS</v>
      </c>
      <c r="T25" s="5" t="str">
        <f t="shared" si="13"/>
        <v>HS</v>
      </c>
      <c r="U25" s="5" t="str">
        <f t="shared" si="13"/>
        <v>PSAL</v>
      </c>
      <c r="V25" s="5" t="str">
        <f t="shared" si="13"/>
        <v>BPL</v>
      </c>
      <c r="W25" s="5" t="str">
        <f t="shared" si="13"/>
        <v>GLP</v>
      </c>
      <c r="X25" s="5" t="str">
        <f t="shared" si="13"/>
        <v>LPL-S</v>
      </c>
    </row>
    <row r="26" spans="1:24" ht="12.9" x14ac:dyDescent="0.35">
      <c r="A26" s="11"/>
      <c r="O26" s="328"/>
      <c r="P26" s="328"/>
      <c r="Q26" s="328"/>
      <c r="R26" s="328"/>
      <c r="S26" s="328"/>
      <c r="T26" s="328"/>
      <c r="U26" s="328"/>
      <c r="V26" s="328"/>
      <c r="W26" s="328"/>
      <c r="X26" s="328"/>
    </row>
    <row r="27" spans="1:24" ht="12.9" x14ac:dyDescent="0.35">
      <c r="A27" s="11"/>
      <c r="B27" s="23" t="s">
        <v>7</v>
      </c>
      <c r="C27" s="363">
        <v>0</v>
      </c>
      <c r="D27" s="363">
        <v>0</v>
      </c>
      <c r="E27" s="363">
        <f>Input!C32</f>
        <v>0.42349999999999999</v>
      </c>
      <c r="F27" s="363">
        <v>0</v>
      </c>
      <c r="G27" s="363">
        <v>0</v>
      </c>
      <c r="H27" s="363">
        <v>0</v>
      </c>
      <c r="I27" s="363">
        <v>0</v>
      </c>
      <c r="J27" s="363">
        <v>0</v>
      </c>
      <c r="K27" s="363">
        <v>0</v>
      </c>
      <c r="L27" s="363">
        <f>Input!D32</f>
        <v>0.46400000000000002</v>
      </c>
      <c r="M27" s="358"/>
      <c r="N27" s="359"/>
      <c r="O27" s="360"/>
      <c r="P27" s="360"/>
      <c r="Q27" s="360">
        <f t="shared" ref="Q27:Q38" si="14">1-E27</f>
        <v>0.57650000000000001</v>
      </c>
      <c r="R27" s="360"/>
      <c r="S27" s="360"/>
      <c r="T27" s="360"/>
      <c r="U27" s="360"/>
      <c r="V27" s="360"/>
      <c r="W27" s="360"/>
      <c r="X27" s="360">
        <f t="shared" ref="X27:X38" si="15">1-L27</f>
        <v>0.53600000000000003</v>
      </c>
    </row>
    <row r="28" spans="1:24" ht="12.9" x14ac:dyDescent="0.35">
      <c r="A28" s="11"/>
      <c r="B28" s="23" t="s">
        <v>8</v>
      </c>
      <c r="C28" s="363">
        <v>0</v>
      </c>
      <c r="D28" s="363">
        <v>0</v>
      </c>
      <c r="E28" s="363">
        <f>Input!C33</f>
        <v>0.41649999999999998</v>
      </c>
      <c r="F28" s="363">
        <v>0</v>
      </c>
      <c r="G28" s="363">
        <v>0</v>
      </c>
      <c r="H28" s="363">
        <v>0</v>
      </c>
      <c r="I28" s="363">
        <v>0</v>
      </c>
      <c r="J28" s="363">
        <v>0</v>
      </c>
      <c r="K28" s="363">
        <v>0</v>
      </c>
      <c r="L28" s="363">
        <f>Input!D33</f>
        <v>0.46089999999999998</v>
      </c>
      <c r="M28" s="358"/>
      <c r="N28" s="359"/>
      <c r="O28" s="360"/>
      <c r="P28" s="360"/>
      <c r="Q28" s="360">
        <f t="shared" si="14"/>
        <v>0.58350000000000002</v>
      </c>
      <c r="R28" s="360"/>
      <c r="S28" s="360"/>
      <c r="T28" s="360"/>
      <c r="U28" s="360"/>
      <c r="V28" s="360"/>
      <c r="W28" s="360"/>
      <c r="X28" s="360">
        <f t="shared" si="15"/>
        <v>0.53910000000000002</v>
      </c>
    </row>
    <row r="29" spans="1:24" ht="12.9" x14ac:dyDescent="0.35">
      <c r="A29" s="11"/>
      <c r="B29" s="23" t="s">
        <v>9</v>
      </c>
      <c r="C29" s="363">
        <v>0</v>
      </c>
      <c r="D29" s="363">
        <v>0</v>
      </c>
      <c r="E29" s="363">
        <f>Input!C34</f>
        <v>0.41049999999999998</v>
      </c>
      <c r="F29" s="363">
        <v>0</v>
      </c>
      <c r="G29" s="363">
        <v>0</v>
      </c>
      <c r="H29" s="363">
        <v>0</v>
      </c>
      <c r="I29" s="363">
        <v>0</v>
      </c>
      <c r="J29" s="363">
        <v>0</v>
      </c>
      <c r="K29" s="363">
        <v>0</v>
      </c>
      <c r="L29" s="363">
        <f>Input!D34</f>
        <v>0.46279999999999999</v>
      </c>
      <c r="M29" s="358"/>
      <c r="N29" s="359"/>
      <c r="O29" s="360"/>
      <c r="P29" s="360"/>
      <c r="Q29" s="360">
        <f t="shared" si="14"/>
        <v>0.58950000000000002</v>
      </c>
      <c r="R29" s="360"/>
      <c r="S29" s="360"/>
      <c r="T29" s="360"/>
      <c r="U29" s="360"/>
      <c r="V29" s="360"/>
      <c r="W29" s="360"/>
      <c r="X29" s="360">
        <f t="shared" si="15"/>
        <v>0.53720000000000001</v>
      </c>
    </row>
    <row r="30" spans="1:24" ht="12.9" x14ac:dyDescent="0.35">
      <c r="A30" s="11"/>
      <c r="B30" s="23" t="s">
        <v>10</v>
      </c>
      <c r="C30" s="363">
        <v>0</v>
      </c>
      <c r="D30" s="363">
        <v>0</v>
      </c>
      <c r="E30" s="363">
        <f>Input!C35</f>
        <v>0.41839999999999999</v>
      </c>
      <c r="F30" s="363">
        <v>0</v>
      </c>
      <c r="G30" s="363">
        <v>0</v>
      </c>
      <c r="H30" s="363">
        <v>0</v>
      </c>
      <c r="I30" s="363">
        <v>0</v>
      </c>
      <c r="J30" s="363">
        <v>0</v>
      </c>
      <c r="K30" s="363">
        <v>0</v>
      </c>
      <c r="L30" s="363">
        <f>Input!D35</f>
        <v>0.47310000000000002</v>
      </c>
      <c r="M30" s="358"/>
      <c r="N30" s="359"/>
      <c r="O30" s="360"/>
      <c r="P30" s="360"/>
      <c r="Q30" s="360">
        <f t="shared" si="14"/>
        <v>0.58160000000000001</v>
      </c>
      <c r="R30" s="360"/>
      <c r="S30" s="360"/>
      <c r="T30" s="360"/>
      <c r="U30" s="360"/>
      <c r="V30" s="360"/>
      <c r="W30" s="360"/>
      <c r="X30" s="360">
        <f t="shared" si="15"/>
        <v>0.52689999999999992</v>
      </c>
    </row>
    <row r="31" spans="1:24" ht="12.9" x14ac:dyDescent="0.35">
      <c r="A31" s="11"/>
      <c r="B31" s="23" t="s">
        <v>11</v>
      </c>
      <c r="C31" s="363">
        <v>0</v>
      </c>
      <c r="D31" s="363">
        <v>0</v>
      </c>
      <c r="E31" s="363">
        <f>Input!C36</f>
        <v>0.43480000000000002</v>
      </c>
      <c r="F31" s="363">
        <v>0</v>
      </c>
      <c r="G31" s="363">
        <v>0</v>
      </c>
      <c r="H31" s="363">
        <v>0</v>
      </c>
      <c r="I31" s="363">
        <v>0</v>
      </c>
      <c r="J31" s="363">
        <v>0</v>
      </c>
      <c r="K31" s="363">
        <v>0</v>
      </c>
      <c r="L31" s="363">
        <f>Input!D36</f>
        <v>0.4798</v>
      </c>
      <c r="M31" s="358"/>
      <c r="N31" s="364"/>
      <c r="O31" s="360"/>
      <c r="P31" s="360"/>
      <c r="Q31" s="360">
        <f t="shared" si="14"/>
        <v>0.56519999999999992</v>
      </c>
      <c r="R31" s="360"/>
      <c r="S31" s="360"/>
      <c r="T31" s="360"/>
      <c r="U31" s="360"/>
      <c r="V31" s="360"/>
      <c r="W31" s="360"/>
      <c r="X31" s="360">
        <f t="shared" si="15"/>
        <v>0.5202</v>
      </c>
    </row>
    <row r="32" spans="1:24" ht="12.9" x14ac:dyDescent="0.35">
      <c r="A32" s="11"/>
      <c r="B32" s="23" t="s">
        <v>12</v>
      </c>
      <c r="C32" s="363">
        <v>0</v>
      </c>
      <c r="D32" s="363">
        <v>0</v>
      </c>
      <c r="E32" s="363">
        <f>Input!C37</f>
        <v>0.46260000000000001</v>
      </c>
      <c r="F32" s="363">
        <v>0</v>
      </c>
      <c r="G32" s="363">
        <v>0</v>
      </c>
      <c r="H32" s="363">
        <v>0</v>
      </c>
      <c r="I32" s="363">
        <v>0</v>
      </c>
      <c r="J32" s="363">
        <v>0</v>
      </c>
      <c r="K32" s="363">
        <v>0</v>
      </c>
      <c r="L32" s="363">
        <f>Input!D37</f>
        <v>0.48870000000000002</v>
      </c>
      <c r="M32" s="358"/>
      <c r="N32" s="364"/>
      <c r="O32" s="360"/>
      <c r="P32" s="360"/>
      <c r="Q32" s="360">
        <f t="shared" si="14"/>
        <v>0.53739999999999999</v>
      </c>
      <c r="R32" s="360"/>
      <c r="S32" s="360"/>
      <c r="T32" s="360"/>
      <c r="U32" s="360"/>
      <c r="V32" s="360"/>
      <c r="W32" s="360"/>
      <c r="X32" s="360">
        <f t="shared" si="15"/>
        <v>0.51129999999999998</v>
      </c>
    </row>
    <row r="33" spans="1:32" ht="12.9" x14ac:dyDescent="0.35">
      <c r="A33" s="11"/>
      <c r="B33" s="23" t="s">
        <v>13</v>
      </c>
      <c r="C33" s="363">
        <v>0</v>
      </c>
      <c r="D33" s="363">
        <v>0</v>
      </c>
      <c r="E33" s="363">
        <f>Input!C38</f>
        <v>0.48039999999999999</v>
      </c>
      <c r="F33" s="363">
        <v>0</v>
      </c>
      <c r="G33" s="363">
        <v>0</v>
      </c>
      <c r="H33" s="363">
        <v>0</v>
      </c>
      <c r="I33" s="363">
        <v>0</v>
      </c>
      <c r="J33" s="363">
        <v>0</v>
      </c>
      <c r="K33" s="363">
        <v>0</v>
      </c>
      <c r="L33" s="363">
        <f>Input!D38</f>
        <v>0.49070000000000003</v>
      </c>
      <c r="M33" s="358"/>
      <c r="N33" s="364"/>
      <c r="O33" s="360"/>
      <c r="P33" s="360"/>
      <c r="Q33" s="360">
        <f t="shared" si="14"/>
        <v>0.51960000000000006</v>
      </c>
      <c r="R33" s="360"/>
      <c r="S33" s="360"/>
      <c r="T33" s="360"/>
      <c r="U33" s="360"/>
      <c r="V33" s="360"/>
      <c r="W33" s="360"/>
      <c r="X33" s="360">
        <f t="shared" si="15"/>
        <v>0.50929999999999997</v>
      </c>
    </row>
    <row r="34" spans="1:32" ht="12.9" x14ac:dyDescent="0.35">
      <c r="A34" s="11"/>
      <c r="B34" s="23" t="s">
        <v>14</v>
      </c>
      <c r="C34" s="363">
        <v>0</v>
      </c>
      <c r="D34" s="363">
        <v>0</v>
      </c>
      <c r="E34" s="363">
        <f>Input!C39</f>
        <v>0.4839</v>
      </c>
      <c r="F34" s="363">
        <v>0</v>
      </c>
      <c r="G34" s="363">
        <v>0</v>
      </c>
      <c r="H34" s="363">
        <v>0</v>
      </c>
      <c r="I34" s="363">
        <v>0</v>
      </c>
      <c r="J34" s="363">
        <v>0</v>
      </c>
      <c r="K34" s="363">
        <v>0</v>
      </c>
      <c r="L34" s="363">
        <f>Input!D39</f>
        <v>0.48449999999999999</v>
      </c>
      <c r="M34" s="358"/>
      <c r="N34" s="364"/>
      <c r="O34" s="360"/>
      <c r="P34" s="360"/>
      <c r="Q34" s="360">
        <f t="shared" si="14"/>
        <v>0.5161</v>
      </c>
      <c r="R34" s="360"/>
      <c r="S34" s="360"/>
      <c r="T34" s="360"/>
      <c r="U34" s="360"/>
      <c r="V34" s="360"/>
      <c r="W34" s="360"/>
      <c r="X34" s="360">
        <f t="shared" si="15"/>
        <v>0.51550000000000007</v>
      </c>
    </row>
    <row r="35" spans="1:32" ht="12.9" x14ac:dyDescent="0.35">
      <c r="A35" s="11"/>
      <c r="B35" s="23" t="s">
        <v>15</v>
      </c>
      <c r="C35" s="363">
        <v>0</v>
      </c>
      <c r="D35" s="363">
        <v>0</v>
      </c>
      <c r="E35" s="363">
        <f>Input!C40</f>
        <v>0.48520000000000002</v>
      </c>
      <c r="F35" s="363">
        <v>0</v>
      </c>
      <c r="G35" s="363">
        <v>0</v>
      </c>
      <c r="H35" s="363">
        <v>0</v>
      </c>
      <c r="I35" s="363">
        <v>0</v>
      </c>
      <c r="J35" s="363">
        <v>0</v>
      </c>
      <c r="K35" s="363">
        <v>0</v>
      </c>
      <c r="L35" s="363">
        <f>Input!D40</f>
        <v>0.48880000000000001</v>
      </c>
      <c r="M35" s="358"/>
      <c r="N35" s="364"/>
      <c r="O35" s="360"/>
      <c r="P35" s="360"/>
      <c r="Q35" s="360">
        <f t="shared" si="14"/>
        <v>0.51479999999999992</v>
      </c>
      <c r="R35" s="360"/>
      <c r="S35" s="360"/>
      <c r="T35" s="360"/>
      <c r="U35" s="360"/>
      <c r="V35" s="360"/>
      <c r="W35" s="360"/>
      <c r="X35" s="360">
        <f t="shared" si="15"/>
        <v>0.51119999999999999</v>
      </c>
    </row>
    <row r="36" spans="1:32" ht="12.9" x14ac:dyDescent="0.35">
      <c r="A36" s="11"/>
      <c r="B36" s="23" t="s">
        <v>16</v>
      </c>
      <c r="C36" s="363">
        <v>0</v>
      </c>
      <c r="D36" s="363">
        <v>0</v>
      </c>
      <c r="E36" s="363">
        <f>Input!C41</f>
        <v>0.45519999999999999</v>
      </c>
      <c r="F36" s="363">
        <v>0</v>
      </c>
      <c r="G36" s="363">
        <v>0</v>
      </c>
      <c r="H36" s="363">
        <v>0</v>
      </c>
      <c r="I36" s="363">
        <v>0</v>
      </c>
      <c r="J36" s="363">
        <v>0</v>
      </c>
      <c r="K36" s="363">
        <v>0</v>
      </c>
      <c r="L36" s="363">
        <f>Input!D41</f>
        <v>0.48970000000000002</v>
      </c>
      <c r="M36" s="358"/>
      <c r="N36" s="364"/>
      <c r="O36" s="360"/>
      <c r="P36" s="360"/>
      <c r="Q36" s="360">
        <f t="shared" si="14"/>
        <v>0.54479999999999995</v>
      </c>
      <c r="R36" s="360"/>
      <c r="S36" s="360"/>
      <c r="T36" s="360"/>
      <c r="U36" s="360"/>
      <c r="V36" s="360"/>
      <c r="W36" s="360"/>
      <c r="X36" s="360">
        <f t="shared" si="15"/>
        <v>0.51029999999999998</v>
      </c>
    </row>
    <row r="37" spans="1:32" ht="12.9" x14ac:dyDescent="0.35">
      <c r="A37" s="11"/>
      <c r="B37" s="23" t="s">
        <v>17</v>
      </c>
      <c r="C37" s="363">
        <v>0</v>
      </c>
      <c r="D37" s="363">
        <v>0</v>
      </c>
      <c r="E37" s="363">
        <f>Input!C42</f>
        <v>0.42909999999999998</v>
      </c>
      <c r="F37" s="363">
        <v>0</v>
      </c>
      <c r="G37" s="363">
        <v>0</v>
      </c>
      <c r="H37" s="363">
        <v>0</v>
      </c>
      <c r="I37" s="363">
        <v>0</v>
      </c>
      <c r="J37" s="363">
        <v>0</v>
      </c>
      <c r="K37" s="363">
        <v>0</v>
      </c>
      <c r="L37" s="363">
        <f>Input!D42</f>
        <v>0.4788</v>
      </c>
      <c r="M37" s="358"/>
      <c r="N37" s="364"/>
      <c r="O37" s="360"/>
      <c r="P37" s="360"/>
      <c r="Q37" s="360">
        <f t="shared" si="14"/>
        <v>0.57089999999999996</v>
      </c>
      <c r="R37" s="360"/>
      <c r="S37" s="360"/>
      <c r="T37" s="360"/>
      <c r="U37" s="360"/>
      <c r="V37" s="360"/>
      <c r="W37" s="360"/>
      <c r="X37" s="360">
        <f t="shared" si="15"/>
        <v>0.5212</v>
      </c>
    </row>
    <row r="38" spans="1:32" ht="12.9" x14ac:dyDescent="0.35">
      <c r="A38" s="11"/>
      <c r="B38" s="23" t="s">
        <v>18</v>
      </c>
      <c r="C38" s="363">
        <v>0</v>
      </c>
      <c r="D38" s="363">
        <v>0</v>
      </c>
      <c r="E38" s="363">
        <f>Input!C43</f>
        <v>0.42080000000000001</v>
      </c>
      <c r="F38" s="363">
        <v>0</v>
      </c>
      <c r="G38" s="363">
        <v>0</v>
      </c>
      <c r="H38" s="363">
        <v>0</v>
      </c>
      <c r="I38" s="363">
        <v>0</v>
      </c>
      <c r="J38" s="363">
        <v>0</v>
      </c>
      <c r="K38" s="363">
        <v>0</v>
      </c>
      <c r="L38" s="363">
        <f>Input!D43</f>
        <v>0.47099999999999997</v>
      </c>
      <c r="M38" s="358"/>
      <c r="N38" s="364"/>
      <c r="O38" s="360"/>
      <c r="P38" s="360"/>
      <c r="Q38" s="360">
        <f t="shared" si="14"/>
        <v>0.57919999999999994</v>
      </c>
      <c r="R38" s="360"/>
      <c r="S38" s="360"/>
      <c r="T38" s="360"/>
      <c r="U38" s="360"/>
      <c r="V38" s="360"/>
      <c r="W38" s="360"/>
      <c r="X38" s="360">
        <f t="shared" si="15"/>
        <v>0.52900000000000003</v>
      </c>
    </row>
    <row r="39" spans="1:32" ht="12.9" x14ac:dyDescent="0.35">
      <c r="A39" s="11"/>
      <c r="B39" s="23"/>
      <c r="C39" s="359"/>
      <c r="D39" s="359"/>
      <c r="E39" s="359"/>
      <c r="F39" s="359"/>
      <c r="G39" s="359"/>
      <c r="H39" s="359"/>
      <c r="I39" s="362"/>
      <c r="J39" s="362"/>
      <c r="K39" s="359"/>
      <c r="L39" s="359"/>
      <c r="M39" s="359"/>
      <c r="N39" s="364"/>
      <c r="O39" s="360"/>
      <c r="P39" s="360"/>
      <c r="Q39" s="360"/>
      <c r="R39" s="360"/>
      <c r="S39" s="360"/>
      <c r="T39" s="360"/>
      <c r="U39" s="360"/>
      <c r="V39" s="360"/>
      <c r="W39" s="360"/>
      <c r="X39" s="360"/>
    </row>
    <row r="40" spans="1:32" ht="12.9" x14ac:dyDescent="0.35">
      <c r="A40" s="11"/>
      <c r="B40" s="23"/>
      <c r="C40" s="359"/>
      <c r="D40" s="359"/>
      <c r="E40" s="359"/>
      <c r="F40" s="359"/>
      <c r="G40" s="359"/>
      <c r="H40" s="359"/>
      <c r="I40" s="362"/>
      <c r="J40" s="362"/>
      <c r="K40" s="359"/>
      <c r="L40" s="359"/>
      <c r="M40" s="359"/>
      <c r="N40" s="364"/>
      <c r="O40" s="360"/>
      <c r="P40" s="360"/>
      <c r="Q40" s="360"/>
      <c r="R40" s="360"/>
      <c r="S40" s="360"/>
      <c r="T40" s="360"/>
      <c r="U40" s="360"/>
      <c r="V40" s="360"/>
      <c r="W40" s="360"/>
      <c r="X40" s="360"/>
    </row>
    <row r="41" spans="1:32" x14ac:dyDescent="0.3">
      <c r="A41" s="9" t="s">
        <v>75</v>
      </c>
      <c r="B41" s="26" t="s">
        <v>131</v>
      </c>
      <c r="C41" s="5"/>
      <c r="D41" s="5"/>
      <c r="E41" s="5"/>
      <c r="F41" s="5"/>
      <c r="G41" s="5"/>
      <c r="H41" s="5"/>
      <c r="I41" s="5"/>
      <c r="J41" s="5"/>
      <c r="K41" s="5"/>
      <c r="L41" s="5"/>
      <c r="O41" s="7" t="s">
        <v>188</v>
      </c>
    </row>
    <row r="42" spans="1:32" ht="12.9" x14ac:dyDescent="0.35">
      <c r="A42" s="11"/>
      <c r="B42" s="365" t="str">
        <f>Input!B47</f>
        <v>Calendar month sales forecasted for 2025, less % for LPL-Sec &gt; 500 kW Peak Load Share</v>
      </c>
      <c r="G42" s="366"/>
      <c r="L42" s="5" t="s">
        <v>302</v>
      </c>
      <c r="AB42" s="28" t="s">
        <v>19</v>
      </c>
      <c r="AD42" s="7" t="s">
        <v>301</v>
      </c>
    </row>
    <row r="43" spans="1:32" ht="12.9" x14ac:dyDescent="0.35">
      <c r="A43" s="11"/>
      <c r="B43" s="8" t="s">
        <v>78</v>
      </c>
      <c r="C43" s="5" t="str">
        <f>+C7</f>
        <v>RS</v>
      </c>
      <c r="D43" s="5" t="str">
        <f t="shared" ref="D43:L43" si="16">+D7</f>
        <v>RHS</v>
      </c>
      <c r="E43" s="5" t="str">
        <f t="shared" si="16"/>
        <v>RLM</v>
      </c>
      <c r="F43" s="5" t="str">
        <f t="shared" si="16"/>
        <v>WH</v>
      </c>
      <c r="G43" s="5" t="str">
        <f t="shared" si="16"/>
        <v>WHS</v>
      </c>
      <c r="H43" s="5" t="str">
        <f t="shared" si="16"/>
        <v>HS</v>
      </c>
      <c r="I43" s="5" t="str">
        <f t="shared" si="16"/>
        <v>PSAL</v>
      </c>
      <c r="J43" s="5" t="str">
        <f t="shared" si="16"/>
        <v>BPL</v>
      </c>
      <c r="K43" s="5" t="str">
        <f t="shared" si="16"/>
        <v>GLP</v>
      </c>
      <c r="L43" s="5" t="str">
        <f t="shared" si="16"/>
        <v>LPL-S</v>
      </c>
      <c r="M43" s="5"/>
      <c r="N43" s="5"/>
      <c r="O43" s="5" t="str">
        <f>+C7</f>
        <v>RS</v>
      </c>
      <c r="P43" s="5" t="str">
        <f t="shared" ref="P43:X43" si="17">+D7</f>
        <v>RHS</v>
      </c>
      <c r="Q43" s="5" t="str">
        <f t="shared" si="17"/>
        <v>RLM</v>
      </c>
      <c r="R43" s="5" t="str">
        <f t="shared" si="17"/>
        <v>WH</v>
      </c>
      <c r="S43" s="5" t="str">
        <f t="shared" si="17"/>
        <v>WHS</v>
      </c>
      <c r="T43" s="5" t="str">
        <f t="shared" si="17"/>
        <v>HS</v>
      </c>
      <c r="U43" s="5" t="str">
        <f t="shared" si="17"/>
        <v>PSAL</v>
      </c>
      <c r="V43" s="5" t="str">
        <f t="shared" si="17"/>
        <v>BPL</v>
      </c>
      <c r="W43" s="5" t="str">
        <f t="shared" si="17"/>
        <v>GLP</v>
      </c>
      <c r="X43" s="5" t="str">
        <f t="shared" si="17"/>
        <v>LPL-S</v>
      </c>
      <c r="Y43" s="5"/>
      <c r="Z43" s="5" t="s">
        <v>193</v>
      </c>
      <c r="AB43" s="28" t="s">
        <v>36</v>
      </c>
      <c r="AD43" s="345" t="s">
        <v>195</v>
      </c>
      <c r="AE43" s="345" t="s">
        <v>195</v>
      </c>
      <c r="AF43" s="28" t="s">
        <v>195</v>
      </c>
    </row>
    <row r="44" spans="1:32" ht="12.9" x14ac:dyDescent="0.35">
      <c r="A44" s="11"/>
      <c r="C44" s="5"/>
      <c r="D44" s="5"/>
      <c r="E44" s="5"/>
      <c r="F44" s="5"/>
      <c r="G44" s="5"/>
      <c r="H44" s="5"/>
      <c r="I44" s="5"/>
      <c r="J44" s="5"/>
      <c r="K44" s="5"/>
      <c r="L44" s="5"/>
      <c r="Y44" s="29"/>
      <c r="AB44" s="28"/>
      <c r="AD44" s="28" t="s">
        <v>194</v>
      </c>
      <c r="AE44" s="28" t="s">
        <v>196</v>
      </c>
      <c r="AF44" s="28" t="s">
        <v>197</v>
      </c>
    </row>
    <row r="45" spans="1:32" ht="12.9" x14ac:dyDescent="0.35">
      <c r="A45" s="11"/>
      <c r="B45" s="23" t="s">
        <v>7</v>
      </c>
      <c r="C45" s="367">
        <f>Input!C50</f>
        <v>1121491.5651200744</v>
      </c>
      <c r="D45" s="367">
        <f>Input!D50</f>
        <v>12422.381688635198</v>
      </c>
      <c r="E45" s="367">
        <f>Input!E50</f>
        <v>14246.696042579952</v>
      </c>
      <c r="F45" s="367">
        <f>Input!F50</f>
        <v>55</v>
      </c>
      <c r="G45" s="367">
        <f>Input!G50</f>
        <v>1</v>
      </c>
      <c r="H45" s="367">
        <f>Input!H50</f>
        <v>1656.724617716701</v>
      </c>
      <c r="I45" s="367">
        <f>Input!I50</f>
        <v>14910</v>
      </c>
      <c r="J45" s="367">
        <f>Input!J50</f>
        <v>31151</v>
      </c>
      <c r="K45" s="367">
        <f>Input!K50</f>
        <v>531647.04672762146</v>
      </c>
      <c r="L45" s="368">
        <f>AB45*$M$45</f>
        <v>445034.62958265928</v>
      </c>
      <c r="M45" s="369">
        <f>(1-AD45)</f>
        <v>0.69411986390342162</v>
      </c>
      <c r="N45" s="33" t="s">
        <v>61</v>
      </c>
      <c r="O45" s="31">
        <f>SUM(C45:C49,C54:C56)</f>
        <v>7348911.4358567232</v>
      </c>
      <c r="P45" s="29">
        <f t="shared" ref="P45:X45" si="18">SUM(D45:D49,D54:D56)</f>
        <v>58713.203921070133</v>
      </c>
      <c r="Q45" s="29">
        <f t="shared" si="18"/>
        <v>94472.757813328615</v>
      </c>
      <c r="R45" s="29">
        <f t="shared" si="18"/>
        <v>402</v>
      </c>
      <c r="S45" s="29">
        <f t="shared" si="18"/>
        <v>5</v>
      </c>
      <c r="T45" s="29">
        <f t="shared" si="18"/>
        <v>7309.3940726725523</v>
      </c>
      <c r="U45" s="29">
        <f t="shared" si="18"/>
        <v>88873</v>
      </c>
      <c r="V45" s="29">
        <f t="shared" si="18"/>
        <v>204001</v>
      </c>
      <c r="W45" s="29">
        <f t="shared" si="18"/>
        <v>3941851.5107721277</v>
      </c>
      <c r="X45" s="29">
        <f t="shared" si="18"/>
        <v>3299623.1661730479</v>
      </c>
      <c r="Y45" s="29">
        <f>SUM(O45:X45)</f>
        <v>15044162.468608972</v>
      </c>
      <c r="Z45" s="370">
        <f>+Y45/(Y45+Y49)</f>
        <v>0.60201045349780691</v>
      </c>
      <c r="AB45" s="371">
        <f>Input!L50</f>
        <v>641149.53731475468</v>
      </c>
      <c r="AD45" s="372">
        <f>Input!C66</f>
        <v>0.30588013609657833</v>
      </c>
      <c r="AE45" s="373">
        <f>Input!D66</f>
        <v>0.2897106941926979</v>
      </c>
      <c r="AF45" s="374">
        <f>AE45</f>
        <v>0.2897106941926979</v>
      </c>
    </row>
    <row r="46" spans="1:32" ht="12.9" x14ac:dyDescent="0.35">
      <c r="A46" s="11"/>
      <c r="B46" s="23" t="s">
        <v>8</v>
      </c>
      <c r="C46" s="367">
        <f>Input!C51</f>
        <v>943088.51438200544</v>
      </c>
      <c r="D46" s="367">
        <f>Input!D51</f>
        <v>9972.5145846000833</v>
      </c>
      <c r="E46" s="367">
        <f>Input!E51</f>
        <v>12197.260210938475</v>
      </c>
      <c r="F46" s="367">
        <f>Input!F51</f>
        <v>53</v>
      </c>
      <c r="G46" s="367">
        <f>Input!G51</f>
        <v>1</v>
      </c>
      <c r="H46" s="367">
        <f>Input!H51</f>
        <v>1361.4225991576122</v>
      </c>
      <c r="I46" s="367">
        <f>Input!I51</f>
        <v>11882</v>
      </c>
      <c r="J46" s="367">
        <f>Input!J51</f>
        <v>29306</v>
      </c>
      <c r="K46" s="367">
        <f>Input!K51</f>
        <v>498617.12294565397</v>
      </c>
      <c r="L46" s="368">
        <f t="shared" ref="L46:L56" si="19">AB46*$M$45</f>
        <v>407025.11644193513</v>
      </c>
      <c r="M46" s="315"/>
      <c r="N46" s="33" t="s">
        <v>119</v>
      </c>
      <c r="O46" s="29"/>
      <c r="P46" s="29"/>
      <c r="Q46" s="29">
        <f>SUMPRODUCT(E27:E31,E45:E49)+SUMPRODUCT(E36:E38,E54:E56)</f>
        <v>40232.200221618754</v>
      </c>
      <c r="R46" s="29"/>
      <c r="X46" s="29">
        <f>SUMPRODUCT(L27:L31,L45:L49)+SUMPRODUCT(L36:L38,L54:L56)</f>
        <v>1558600.5114884789</v>
      </c>
      <c r="Y46" s="29"/>
      <c r="Z46" s="370"/>
      <c r="AB46" s="371">
        <f>Input!L51</f>
        <v>586390.24411865522</v>
      </c>
      <c r="AD46" s="375"/>
    </row>
    <row r="47" spans="1:32" ht="12.9" x14ac:dyDescent="0.35">
      <c r="A47" s="11"/>
      <c r="B47" s="23" t="s">
        <v>9</v>
      </c>
      <c r="C47" s="367">
        <f>Input!C52</f>
        <v>914188.33170792577</v>
      </c>
      <c r="D47" s="367">
        <f>Input!D52</f>
        <v>7639.307818852355</v>
      </c>
      <c r="E47" s="367">
        <f>Input!E52</f>
        <v>11831.011222013953</v>
      </c>
      <c r="F47" s="367">
        <f>Input!F52</f>
        <v>59</v>
      </c>
      <c r="G47" s="367">
        <f>Input!G52</f>
        <v>1</v>
      </c>
      <c r="H47" s="367">
        <f>Input!H52</f>
        <v>1113.4045896125165</v>
      </c>
      <c r="I47" s="367">
        <f>Input!I52</f>
        <v>11649</v>
      </c>
      <c r="J47" s="367">
        <f>Input!J52</f>
        <v>27223</v>
      </c>
      <c r="K47" s="367">
        <f>Input!K52</f>
        <v>533580.76340651233</v>
      </c>
      <c r="L47" s="368">
        <f t="shared" si="19"/>
        <v>427818.08556591091</v>
      </c>
      <c r="M47" s="315"/>
      <c r="N47" s="33" t="s">
        <v>120</v>
      </c>
      <c r="O47" s="29">
        <f>+O45-O46</f>
        <v>7348911.4358567232</v>
      </c>
      <c r="P47" s="29">
        <f>+P45-P46</f>
        <v>58713.203921070133</v>
      </c>
      <c r="Q47" s="29">
        <f>+Q45-Q46</f>
        <v>54240.557591709861</v>
      </c>
      <c r="R47" s="29">
        <f>+R45-R46</f>
        <v>402</v>
      </c>
      <c r="X47" s="29">
        <f>+X45-X46</f>
        <v>1741022.654684569</v>
      </c>
      <c r="Y47" s="29"/>
      <c r="Z47" s="34"/>
      <c r="AB47" s="371">
        <f>Input!L52</f>
        <v>616346.12091354385</v>
      </c>
    </row>
    <row r="48" spans="1:32" ht="12.9" x14ac:dyDescent="0.35">
      <c r="A48" s="11"/>
      <c r="B48" s="23" t="s">
        <v>10</v>
      </c>
      <c r="C48" s="367">
        <f>Input!C53</f>
        <v>752016.3936038306</v>
      </c>
      <c r="D48" s="367">
        <f>Input!D53</f>
        <v>3826.4590958262747</v>
      </c>
      <c r="E48" s="367">
        <f>Input!E53</f>
        <v>9990.0256127922858</v>
      </c>
      <c r="F48" s="367">
        <f>Input!F53</f>
        <v>51</v>
      </c>
      <c r="G48" s="367">
        <f>Input!G53</f>
        <v>1</v>
      </c>
      <c r="H48" s="367">
        <f>Input!H53</f>
        <v>620.04502386273953</v>
      </c>
      <c r="I48" s="367">
        <f>Input!I53</f>
        <v>9193</v>
      </c>
      <c r="J48" s="367">
        <f>Input!J53</f>
        <v>23864</v>
      </c>
      <c r="K48" s="367">
        <f>Input!K53</f>
        <v>458953.03638647136</v>
      </c>
      <c r="L48" s="368">
        <f t="shared" si="19"/>
        <v>370142.78964621463</v>
      </c>
      <c r="M48" s="315"/>
      <c r="Y48" s="29"/>
      <c r="AB48" s="371">
        <f>Input!L53</f>
        <v>533254.85826712416</v>
      </c>
    </row>
    <row r="49" spans="1:28" ht="12.9" x14ac:dyDescent="0.35">
      <c r="A49" s="11"/>
      <c r="B49" s="23" t="s">
        <v>11</v>
      </c>
      <c r="C49" s="367">
        <f>Input!C54</f>
        <v>874037.42671892652</v>
      </c>
      <c r="D49" s="367">
        <f>Input!D54</f>
        <v>3246.0739128465275</v>
      </c>
      <c r="E49" s="367">
        <f>Input!E54</f>
        <v>12272.26332835121</v>
      </c>
      <c r="F49" s="367">
        <f>Input!F54</f>
        <v>54</v>
      </c>
      <c r="G49" s="367">
        <f>Input!G54</f>
        <v>0</v>
      </c>
      <c r="H49" s="367">
        <f>Input!H54</f>
        <v>386.30143213318877</v>
      </c>
      <c r="I49" s="367">
        <f>Input!I54</f>
        <v>8838</v>
      </c>
      <c r="J49" s="367">
        <f>Input!J54</f>
        <v>19584</v>
      </c>
      <c r="K49" s="367">
        <f>Input!K54</f>
        <v>482213.11201165582</v>
      </c>
      <c r="L49" s="368">
        <f t="shared" si="19"/>
        <v>426819.46021400602</v>
      </c>
      <c r="N49" s="33" t="s">
        <v>62</v>
      </c>
      <c r="O49" s="31">
        <f>SUM(C50:C53)</f>
        <v>5614597.5939695882</v>
      </c>
      <c r="P49" s="29">
        <f t="shared" ref="P49:X49" si="20">+SUM(D50:D53)</f>
        <v>16780.617493154812</v>
      </c>
      <c r="Q49" s="29">
        <f t="shared" si="20"/>
        <v>77647.707851378422</v>
      </c>
      <c r="R49" s="29">
        <f t="shared" si="20"/>
        <v>154</v>
      </c>
      <c r="S49" s="29">
        <f t="shared" si="20"/>
        <v>3</v>
      </c>
      <c r="T49" s="29">
        <f t="shared" si="20"/>
        <v>1943.9972762545458</v>
      </c>
      <c r="U49" s="29">
        <f t="shared" si="20"/>
        <v>33457</v>
      </c>
      <c r="V49" s="29">
        <f t="shared" si="20"/>
        <v>77192</v>
      </c>
      <c r="W49" s="29">
        <f t="shared" si="20"/>
        <v>2289221.1563356821</v>
      </c>
      <c r="X49" s="29">
        <f t="shared" si="20"/>
        <v>1834709.6230272045</v>
      </c>
      <c r="Y49" s="29">
        <f>SUM(O49:X49)</f>
        <v>9945706.6959532611</v>
      </c>
      <c r="Z49" s="34">
        <f>1-Z45</f>
        <v>0.39798954650219309</v>
      </c>
      <c r="AB49" s="371">
        <f>Input!L54</f>
        <v>614907.42796750274</v>
      </c>
    </row>
    <row r="50" spans="1:28" ht="12.9" x14ac:dyDescent="0.35">
      <c r="A50" s="11"/>
      <c r="B50" s="23" t="s">
        <v>12</v>
      </c>
      <c r="C50" s="367">
        <f>Input!C55</f>
        <v>1222207.9763920987</v>
      </c>
      <c r="D50" s="367">
        <f>Input!D55</f>
        <v>3600.9157751373277</v>
      </c>
      <c r="E50" s="367">
        <f>Input!E55</f>
        <v>17689.046911886497</v>
      </c>
      <c r="F50" s="367">
        <f>Input!F55</f>
        <v>41</v>
      </c>
      <c r="G50" s="367">
        <f>Input!G55</f>
        <v>1</v>
      </c>
      <c r="H50" s="367">
        <f>Input!H55</f>
        <v>423.77177889899463</v>
      </c>
      <c r="I50" s="367">
        <f>Input!I55</f>
        <v>7865</v>
      </c>
      <c r="J50" s="367">
        <f>Input!J55</f>
        <v>19801</v>
      </c>
      <c r="K50" s="367">
        <f>Input!K55</f>
        <v>530905.61255474971</v>
      </c>
      <c r="L50" s="368">
        <f t="shared" si="19"/>
        <v>421693.21715060383</v>
      </c>
      <c r="M50" s="315"/>
      <c r="N50" s="33" t="s">
        <v>119</v>
      </c>
      <c r="O50" s="31"/>
      <c r="Q50" s="29">
        <f>+SUMPRODUCT(E32:E35,E50:E53)</f>
        <v>37134.588616042514</v>
      </c>
      <c r="X50" s="29">
        <f>+SUMPRODUCT(L32:L35,L50:L53)</f>
        <v>895537.69550416525</v>
      </c>
      <c r="Y50" s="29"/>
      <c r="Z50" s="370"/>
      <c r="AB50" s="371">
        <f>Input!L55</f>
        <v>607522.18612386135</v>
      </c>
    </row>
    <row r="51" spans="1:28" ht="12.9" x14ac:dyDescent="0.35">
      <c r="A51" s="11"/>
      <c r="B51" s="23" t="s">
        <v>13</v>
      </c>
      <c r="C51" s="367">
        <f>Input!C56</f>
        <v>1647698.5711641975</v>
      </c>
      <c r="D51" s="367">
        <f>Input!D56</f>
        <v>4969.7304110426621</v>
      </c>
      <c r="E51" s="367">
        <f>Input!E56</f>
        <v>23582.148994315645</v>
      </c>
      <c r="F51" s="367">
        <f>Input!F56</f>
        <v>34</v>
      </c>
      <c r="G51" s="367">
        <f>Input!G56</f>
        <v>1</v>
      </c>
      <c r="H51" s="367">
        <f>Input!H56</f>
        <v>582.57467709693367</v>
      </c>
      <c r="I51" s="367">
        <f>Input!I56</f>
        <v>7759</v>
      </c>
      <c r="J51" s="367">
        <f>Input!J56</f>
        <v>18302</v>
      </c>
      <c r="K51" s="367">
        <f>Input!K56</f>
        <v>628843.60729956394</v>
      </c>
      <c r="L51" s="368">
        <f t="shared" si="19"/>
        <v>485004.95094096044</v>
      </c>
      <c r="M51" s="315"/>
      <c r="N51" s="33" t="s">
        <v>120</v>
      </c>
      <c r="O51" s="31"/>
      <c r="Q51" s="29">
        <f>+Q49-Q50</f>
        <v>40513.119235335907</v>
      </c>
      <c r="X51" s="29">
        <f>+X49-X50</f>
        <v>939171.92752303928</v>
      </c>
      <c r="Y51" s="29"/>
      <c r="Z51" s="34"/>
      <c r="AB51" s="371">
        <f>Input!L56</f>
        <v>698733.7146836688</v>
      </c>
    </row>
    <row r="52" spans="1:28" ht="12.9" x14ac:dyDescent="0.35">
      <c r="A52" s="11"/>
      <c r="B52" s="23" t="s">
        <v>14</v>
      </c>
      <c r="C52" s="367">
        <f>Input!C57</f>
        <v>1590636.2955444867</v>
      </c>
      <c r="D52" s="367">
        <f>Input!D57</f>
        <v>4647.9423112666209</v>
      </c>
      <c r="E52" s="367">
        <f>Input!E57</f>
        <v>20855.736973039748</v>
      </c>
      <c r="F52" s="367">
        <f>Input!F57</f>
        <v>37</v>
      </c>
      <c r="G52" s="367">
        <f>Input!G57</f>
        <v>1</v>
      </c>
      <c r="H52" s="367">
        <f>Input!H57</f>
        <v>527.26130806169647</v>
      </c>
      <c r="I52" s="367">
        <f>Input!I57</f>
        <v>8575</v>
      </c>
      <c r="J52" s="367">
        <f>Input!J57</f>
        <v>17475</v>
      </c>
      <c r="K52" s="367">
        <f>Input!K57</f>
        <v>599871.31851592509</v>
      </c>
      <c r="L52" s="368">
        <f t="shared" si="19"/>
        <v>499467.05037328583</v>
      </c>
      <c r="M52" s="315"/>
      <c r="AB52" s="371">
        <f>Input!L57</f>
        <v>719568.876136904</v>
      </c>
    </row>
    <row r="53" spans="1:28" ht="12.9" x14ac:dyDescent="0.35">
      <c r="A53" s="11"/>
      <c r="B53" s="23" t="s">
        <v>15</v>
      </c>
      <c r="C53" s="367">
        <f>Input!C58</f>
        <v>1154054.7508688059</v>
      </c>
      <c r="D53" s="367">
        <f>Input!D58</f>
        <v>3562.0289957081991</v>
      </c>
      <c r="E53" s="367">
        <f>Input!E58</f>
        <v>15520.774972136533</v>
      </c>
      <c r="F53" s="367">
        <f>Input!F58</f>
        <v>42</v>
      </c>
      <c r="G53" s="367">
        <f>Input!G58</f>
        <v>0</v>
      </c>
      <c r="H53" s="367">
        <f>Input!H58</f>
        <v>410.38951219692109</v>
      </c>
      <c r="I53" s="367">
        <f>Input!I58</f>
        <v>9258</v>
      </c>
      <c r="J53" s="367">
        <f>Input!J58</f>
        <v>21614</v>
      </c>
      <c r="K53" s="367">
        <f>Input!K58</f>
        <v>529600.61796544353</v>
      </c>
      <c r="L53" s="368">
        <f t="shared" si="19"/>
        <v>428544.40456235467</v>
      </c>
      <c r="M53" s="315"/>
      <c r="N53" s="33" t="s">
        <v>162</v>
      </c>
      <c r="O53" s="31">
        <f>+O49*C163</f>
        <v>3627030.0457043541</v>
      </c>
      <c r="P53" s="31">
        <f>+P49*D163</f>
        <v>11091.988162975331</v>
      </c>
      <c r="AB53" s="371">
        <f>Input!L58</f>
        <v>617392.50934616884</v>
      </c>
    </row>
    <row r="54" spans="1:28" ht="12.9" x14ac:dyDescent="0.35">
      <c r="A54" s="11"/>
      <c r="B54" s="23" t="s">
        <v>16</v>
      </c>
      <c r="C54" s="367">
        <f>Input!C59</f>
        <v>828786.54715208046</v>
      </c>
      <c r="D54" s="367">
        <f>Input!D59</f>
        <v>4116.1656025732846</v>
      </c>
      <c r="E54" s="367">
        <f>Input!E59</f>
        <v>11069.29125036774</v>
      </c>
      <c r="F54" s="367">
        <f>Input!F59</f>
        <v>25</v>
      </c>
      <c r="G54" s="367">
        <f>Input!G59</f>
        <v>0</v>
      </c>
      <c r="H54" s="367">
        <f>Input!H59</f>
        <v>439.83049894148286</v>
      </c>
      <c r="I54" s="367">
        <f>Input!I59</f>
        <v>10722</v>
      </c>
      <c r="J54" s="367">
        <f>Input!J59</f>
        <v>23241</v>
      </c>
      <c r="K54" s="367">
        <f>Input!K59</f>
        <v>475303.33296827815</v>
      </c>
      <c r="L54" s="368">
        <f t="shared" si="19"/>
        <v>406503.78643055045</v>
      </c>
      <c r="M54" s="315"/>
      <c r="N54" s="33" t="s">
        <v>163</v>
      </c>
      <c r="O54" s="29">
        <f>+O49-O53</f>
        <v>1987567.5482652341</v>
      </c>
      <c r="P54" s="29">
        <f>+P49-P53</f>
        <v>5688.6293301794813</v>
      </c>
      <c r="AB54" s="371">
        <f>Input!L59</f>
        <v>585639.17785691051</v>
      </c>
    </row>
    <row r="55" spans="1:28" ht="12.9" x14ac:dyDescent="0.35">
      <c r="A55" s="11"/>
      <c r="B55" s="23" t="s">
        <v>17</v>
      </c>
      <c r="C55" s="367">
        <f>Input!C60</f>
        <v>850672.42690879095</v>
      </c>
      <c r="D55" s="367">
        <f>Input!D60</f>
        <v>7473.0668367928292</v>
      </c>
      <c r="E55" s="367">
        <f>Input!E60</f>
        <v>10275.427085544639</v>
      </c>
      <c r="F55" s="367">
        <f>Input!F60</f>
        <v>53</v>
      </c>
      <c r="G55" s="367">
        <f>Input!G60</f>
        <v>0</v>
      </c>
      <c r="H55" s="367">
        <f>Input!H60</f>
        <v>683.38775291922082</v>
      </c>
      <c r="I55" s="367">
        <f>Input!I60</f>
        <v>11426</v>
      </c>
      <c r="J55" s="367">
        <f>Input!J60</f>
        <v>25784</v>
      </c>
      <c r="K55" s="367">
        <f>Input!K60</f>
        <v>460826.87477111619</v>
      </c>
      <c r="L55" s="368">
        <f t="shared" si="19"/>
        <v>394534.96043131343</v>
      </c>
      <c r="M55" s="315"/>
      <c r="AB55" s="371">
        <f>Input!L60</f>
        <v>568396.00903023314</v>
      </c>
    </row>
    <row r="56" spans="1:28" ht="12.9" x14ac:dyDescent="0.35">
      <c r="A56" s="11"/>
      <c r="B56" s="23" t="s">
        <v>18</v>
      </c>
      <c r="C56" s="367">
        <f>Input!C61</f>
        <v>1064630.2302630888</v>
      </c>
      <c r="D56" s="367">
        <f>Input!D61</f>
        <v>10017.234380943582</v>
      </c>
      <c r="E56" s="367">
        <f>Input!E61</f>
        <v>12590.783060740356</v>
      </c>
      <c r="F56" s="367">
        <f>Input!F61</f>
        <v>52</v>
      </c>
      <c r="G56" s="367">
        <f>Input!G61</f>
        <v>1</v>
      </c>
      <c r="H56" s="367">
        <f>Input!H61</f>
        <v>1048.277558329092</v>
      </c>
      <c r="I56" s="367">
        <f>Input!I61</f>
        <v>10253</v>
      </c>
      <c r="J56" s="367">
        <f>Input!J61</f>
        <v>23848</v>
      </c>
      <c r="K56" s="367">
        <f>Input!K61</f>
        <v>500710.22155481786</v>
      </c>
      <c r="L56" s="368">
        <f t="shared" si="19"/>
        <v>421744.33786045806</v>
      </c>
      <c r="M56" s="315"/>
      <c r="AB56" s="371">
        <f>Input!L61</f>
        <v>607595.8343689451</v>
      </c>
    </row>
    <row r="57" spans="1:28" ht="12.9" x14ac:dyDescent="0.35">
      <c r="A57" s="11"/>
      <c r="B57" s="35" t="s">
        <v>19</v>
      </c>
      <c r="C57" s="29">
        <f>SUM(C45:C56)</f>
        <v>12963509.029826313</v>
      </c>
      <c r="D57" s="29">
        <f>SUM(D45:D56)</f>
        <v>75493.821414224949</v>
      </c>
      <c r="E57" s="29">
        <f t="shared" ref="E57:K57" si="21">SUM(E45:E56)</f>
        <v>172120.46566470704</v>
      </c>
      <c r="F57" s="29">
        <f t="shared" si="21"/>
        <v>556</v>
      </c>
      <c r="G57" s="29">
        <f t="shared" si="21"/>
        <v>8</v>
      </c>
      <c r="H57" s="29">
        <f>SUM(H45:H56)</f>
        <v>9253.3913489270981</v>
      </c>
      <c r="I57" s="29">
        <f>SUM(I45:I56)</f>
        <v>122330</v>
      </c>
      <c r="J57" s="29">
        <f>SUM(J45:J56)</f>
        <v>281193</v>
      </c>
      <c r="K57" s="29">
        <f t="shared" si="21"/>
        <v>6231072.6671078093</v>
      </c>
      <c r="L57" s="29">
        <f>SUM(L45:L56)</f>
        <v>5134332.7892002519</v>
      </c>
      <c r="M57" s="29"/>
      <c r="O57" s="7" t="s">
        <v>189</v>
      </c>
      <c r="AB57" s="29">
        <f>SUM(AB45:AB56)</f>
        <v>7396896.4961282723</v>
      </c>
    </row>
    <row r="58" spans="1:28" ht="12.9" x14ac:dyDescent="0.35">
      <c r="A58" s="11"/>
      <c r="B58" s="23"/>
      <c r="C58" s="261"/>
      <c r="D58" s="261"/>
      <c r="E58" s="261"/>
      <c r="F58" s="261"/>
      <c r="G58" s="261"/>
      <c r="H58" s="261"/>
      <c r="I58" s="261"/>
      <c r="J58" s="261"/>
      <c r="K58" s="261"/>
      <c r="L58" s="261"/>
      <c r="O58" s="8" t="s">
        <v>190</v>
      </c>
      <c r="AB58" s="36"/>
    </row>
    <row r="59" spans="1:28" ht="12.9" x14ac:dyDescent="0.35">
      <c r="A59" s="11"/>
      <c r="L59" s="29"/>
      <c r="Y59" s="5" t="s">
        <v>19</v>
      </c>
      <c r="Z59" s="5" t="s">
        <v>193</v>
      </c>
      <c r="AB59" s="36"/>
    </row>
    <row r="60" spans="1:28" x14ac:dyDescent="0.3">
      <c r="A60" s="9" t="s">
        <v>76</v>
      </c>
      <c r="B60" s="7" t="s">
        <v>39</v>
      </c>
      <c r="G60" s="376" t="s">
        <v>66</v>
      </c>
      <c r="H60" s="7" t="s">
        <v>178</v>
      </c>
      <c r="N60" s="28" t="s">
        <v>54</v>
      </c>
    </row>
    <row r="61" spans="1:28" ht="12.9" x14ac:dyDescent="0.35">
      <c r="A61" s="11"/>
      <c r="B61" s="8" t="s">
        <v>232</v>
      </c>
      <c r="D61" s="5" t="s">
        <v>177</v>
      </c>
      <c r="E61" s="5" t="s">
        <v>176</v>
      </c>
      <c r="G61" s="328"/>
      <c r="N61" s="33" t="s">
        <v>119</v>
      </c>
      <c r="O61" s="31">
        <f>SUMPRODUCT(C9:C13,C45:C49)+SUMPRODUCT(C18:C20,C54:C56)</f>
        <v>3576179.9453148618</v>
      </c>
      <c r="P61" s="31">
        <f t="shared" ref="P61:X61" si="22">SUMPRODUCT(D9:D13,D45:D49)+SUMPRODUCT(D18:D20,D54:D56)</f>
        <v>27874.008496698043</v>
      </c>
      <c r="Q61" s="31">
        <f t="shared" si="22"/>
        <v>44895.790519077906</v>
      </c>
      <c r="R61" s="31">
        <f t="shared" si="22"/>
        <v>195.72030000000001</v>
      </c>
      <c r="S61" s="31">
        <f t="shared" si="22"/>
        <v>2.4742999999999999</v>
      </c>
      <c r="T61" s="31">
        <f t="shared" si="22"/>
        <v>3568.498377118879</v>
      </c>
      <c r="U61" s="31">
        <f t="shared" si="22"/>
        <v>24444.356899999999</v>
      </c>
      <c r="V61" s="31">
        <f t="shared" si="22"/>
        <v>56011.132799999992</v>
      </c>
      <c r="W61" s="31">
        <f t="shared" si="22"/>
        <v>2147756.0383257149</v>
      </c>
      <c r="X61" s="31">
        <f t="shared" si="22"/>
        <v>1735883.9070400055</v>
      </c>
      <c r="Y61" s="29">
        <f>SUM(O61:X61)</f>
        <v>7616811.8723734766</v>
      </c>
      <c r="Z61" s="370">
        <f>+Y61/(Y61+Y62)</f>
        <v>0.5062968369469989</v>
      </c>
    </row>
    <row r="62" spans="1:28" ht="12.9" x14ac:dyDescent="0.35">
      <c r="A62" s="11"/>
      <c r="C62" s="5" t="s">
        <v>20</v>
      </c>
      <c r="D62" s="5" t="s">
        <v>175</v>
      </c>
      <c r="E62" s="5" t="s">
        <v>21</v>
      </c>
      <c r="G62" s="5"/>
      <c r="H62" s="5" t="s">
        <v>20</v>
      </c>
      <c r="I62" s="5" t="s">
        <v>21</v>
      </c>
      <c r="N62" s="33" t="s">
        <v>120</v>
      </c>
      <c r="O62" s="29">
        <f>+O45-O61</f>
        <v>3772731.4905418614</v>
      </c>
      <c r="P62" s="29">
        <f t="shared" ref="P62:X62" si="23">+P45-P61</f>
        <v>30839.19542437209</v>
      </c>
      <c r="Q62" s="29">
        <f t="shared" si="23"/>
        <v>49576.96729425071</v>
      </c>
      <c r="R62" s="29">
        <f t="shared" si="23"/>
        <v>206.27969999999999</v>
      </c>
      <c r="S62" s="29">
        <f t="shared" si="23"/>
        <v>2.5257000000000001</v>
      </c>
      <c r="T62" s="29">
        <f t="shared" si="23"/>
        <v>3740.8956955536732</v>
      </c>
      <c r="U62" s="29">
        <f t="shared" si="23"/>
        <v>64428.643100000001</v>
      </c>
      <c r="V62" s="29">
        <f t="shared" si="23"/>
        <v>147989.86720000001</v>
      </c>
      <c r="W62" s="29">
        <f t="shared" si="23"/>
        <v>1794095.4724464128</v>
      </c>
      <c r="X62" s="29">
        <f t="shared" si="23"/>
        <v>1563739.2591330423</v>
      </c>
      <c r="Y62" s="29">
        <f t="shared" ref="Y62:Y69" si="24">SUM(O62:X62)</f>
        <v>7427350.5962354932</v>
      </c>
      <c r="Z62" s="34">
        <f>1-Z61</f>
        <v>0.4937031630530011</v>
      </c>
    </row>
    <row r="63" spans="1:28" ht="12.9" x14ac:dyDescent="0.35">
      <c r="A63" s="11"/>
      <c r="B63" s="23" t="s">
        <v>7</v>
      </c>
      <c r="C63" s="377">
        <f>Input!C73</f>
        <v>81.7</v>
      </c>
      <c r="D63" s="313">
        <f>Input!F74</f>
        <v>0.82200392927308452</v>
      </c>
      <c r="E63" s="378">
        <f>ROUND(+C63*D63,3)</f>
        <v>67.158000000000001</v>
      </c>
      <c r="H63" s="362">
        <f>Input!F81</f>
        <v>0.82550077041602465</v>
      </c>
      <c r="I63" s="362">
        <f>Input!G81</f>
        <v>0.88817451205510911</v>
      </c>
      <c r="J63" s="443" t="s">
        <v>590</v>
      </c>
      <c r="Y63" s="29"/>
    </row>
    <row r="64" spans="1:28" ht="12.9" x14ac:dyDescent="0.35">
      <c r="A64" s="11"/>
      <c r="B64" s="23" t="s">
        <v>8</v>
      </c>
      <c r="C64" s="377">
        <f>Input!C74</f>
        <v>70.349999999999994</v>
      </c>
      <c r="D64" s="379">
        <f>+$D$63</f>
        <v>0.82200392927308452</v>
      </c>
      <c r="E64" s="378">
        <f>ROUND(+C64*D64,3)</f>
        <v>57.828000000000003</v>
      </c>
      <c r="H64" s="380">
        <f>+$H$63</f>
        <v>0.82550077041602465</v>
      </c>
      <c r="I64" s="380">
        <f>+$I$63</f>
        <v>0.88817451205510911</v>
      </c>
      <c r="J64" s="8"/>
      <c r="N64" s="28" t="s">
        <v>53</v>
      </c>
      <c r="Y64" s="29"/>
    </row>
    <row r="65" spans="1:26" ht="12.9" x14ac:dyDescent="0.35">
      <c r="A65" s="11"/>
      <c r="B65" s="23" t="s">
        <v>9</v>
      </c>
      <c r="C65" s="377">
        <f>Input!C75</f>
        <v>54</v>
      </c>
      <c r="D65" s="379">
        <f>+$D$63</f>
        <v>0.82200392927308452</v>
      </c>
      <c r="E65" s="378">
        <f t="shared" ref="E65:E74" si="25">ROUND(+C65*D65,3)</f>
        <v>44.387999999999998</v>
      </c>
      <c r="H65" s="380">
        <f>+$H$63</f>
        <v>0.82550077041602465</v>
      </c>
      <c r="I65" s="380">
        <f>+$I$63</f>
        <v>0.88817451205510911</v>
      </c>
      <c r="J65" s="444" t="s">
        <v>425</v>
      </c>
      <c r="N65" s="33" t="s">
        <v>119</v>
      </c>
      <c r="O65" s="31">
        <f>SUMPRODUCT(C14:C17,C50:C53)</f>
        <v>2957293.8823857037</v>
      </c>
      <c r="P65" s="31">
        <f t="shared" ref="P65:X65" si="26">SUMPRODUCT(D14:D17,D50:D53)</f>
        <v>8983.3873520984089</v>
      </c>
      <c r="Q65" s="31">
        <f t="shared" si="26"/>
        <v>41059.776047366016</v>
      </c>
      <c r="R65" s="31">
        <f t="shared" si="26"/>
        <v>80.954499999999996</v>
      </c>
      <c r="S65" s="31">
        <f t="shared" si="26"/>
        <v>1.6007</v>
      </c>
      <c r="T65" s="31">
        <f t="shared" si="26"/>
        <v>1173.2929095576358</v>
      </c>
      <c r="U65" s="31">
        <f t="shared" si="26"/>
        <v>7188.0889999999999</v>
      </c>
      <c r="V65" s="31">
        <f t="shared" si="26"/>
        <v>16568.953999999998</v>
      </c>
      <c r="W65" s="31">
        <f t="shared" si="26"/>
        <v>1327067.4720803797</v>
      </c>
      <c r="X65" s="31">
        <f t="shared" si="26"/>
        <v>1009159.6442853149</v>
      </c>
      <c r="Y65" s="29">
        <f t="shared" si="24"/>
        <v>5368577.0532604204</v>
      </c>
      <c r="Z65" s="370">
        <f>+Y65/(Y65+Y66)</f>
        <v>0.53978839487040198</v>
      </c>
    </row>
    <row r="66" spans="1:26" ht="12.9" x14ac:dyDescent="0.35">
      <c r="A66" s="11"/>
      <c r="B66" s="23" t="s">
        <v>10</v>
      </c>
      <c r="C66" s="377">
        <f>Input!C76</f>
        <v>49.65</v>
      </c>
      <c r="D66" s="379">
        <f>+$D$63</f>
        <v>0.82200392927308452</v>
      </c>
      <c r="E66" s="378">
        <f t="shared" si="25"/>
        <v>40.811999999999998</v>
      </c>
      <c r="H66" s="380">
        <f>+$H$63</f>
        <v>0.82550077041602465</v>
      </c>
      <c r="I66" s="380">
        <f>+$I$63</f>
        <v>0.88817451205510911</v>
      </c>
      <c r="J66" s="443" t="s">
        <v>591</v>
      </c>
      <c r="N66" s="33" t="s">
        <v>120</v>
      </c>
      <c r="O66" s="29">
        <f>+O49-O65</f>
        <v>2657303.7115838844</v>
      </c>
      <c r="P66" s="29">
        <f t="shared" ref="P66:X66" si="27">+P49-P65</f>
        <v>7797.2301410564032</v>
      </c>
      <c r="Q66" s="29">
        <f t="shared" si="27"/>
        <v>36587.931804012405</v>
      </c>
      <c r="R66" s="29">
        <f t="shared" si="27"/>
        <v>73.045500000000004</v>
      </c>
      <c r="S66" s="29">
        <f t="shared" si="27"/>
        <v>1.3993</v>
      </c>
      <c r="T66" s="29">
        <f t="shared" si="27"/>
        <v>770.70436669691003</v>
      </c>
      <c r="U66" s="29">
        <f t="shared" si="27"/>
        <v>26268.911</v>
      </c>
      <c r="V66" s="29">
        <f t="shared" si="27"/>
        <v>60623.046000000002</v>
      </c>
      <c r="W66" s="29">
        <f t="shared" si="27"/>
        <v>962153.68425530242</v>
      </c>
      <c r="X66" s="29">
        <f t="shared" si="27"/>
        <v>825549.97874188959</v>
      </c>
      <c r="Y66" s="29">
        <f t="shared" si="24"/>
        <v>4577129.6426928425</v>
      </c>
      <c r="Z66" s="34">
        <f>1-Z65</f>
        <v>0.46021160512959802</v>
      </c>
    </row>
    <row r="67" spans="1:26" ht="12.9" x14ac:dyDescent="0.35">
      <c r="A67" s="11"/>
      <c r="B67" s="23" t="s">
        <v>11</v>
      </c>
      <c r="C67" s="377">
        <f>Input!C77</f>
        <v>53.15</v>
      </c>
      <c r="D67" s="379">
        <f>+$D$63</f>
        <v>0.82200392927308452</v>
      </c>
      <c r="E67" s="378">
        <f t="shared" si="25"/>
        <v>43.69</v>
      </c>
      <c r="H67" s="380">
        <f>+$H$63</f>
        <v>0.82550077041602465</v>
      </c>
      <c r="I67" s="380">
        <f>+$I$63</f>
        <v>0.88817451205510911</v>
      </c>
      <c r="J67" s="443" t="s">
        <v>592</v>
      </c>
      <c r="Y67" s="29"/>
    </row>
    <row r="68" spans="1:26" ht="12.9" x14ac:dyDescent="0.35">
      <c r="A68" s="11"/>
      <c r="B68" s="23" t="s">
        <v>12</v>
      </c>
      <c r="C68" s="377">
        <f>Input!C78</f>
        <v>52.7</v>
      </c>
      <c r="D68" s="381">
        <f>Input!F73</f>
        <v>0.62747747747747751</v>
      </c>
      <c r="E68" s="378">
        <f t="shared" si="25"/>
        <v>33.067999999999998</v>
      </c>
      <c r="H68" s="382">
        <f>Input!F80</f>
        <v>0.82207718501702598</v>
      </c>
      <c r="I68" s="382">
        <f>Input!G80</f>
        <v>0.88823926242410611</v>
      </c>
      <c r="N68" s="33" t="s">
        <v>191</v>
      </c>
      <c r="O68" s="29">
        <f>+O61+O65</f>
        <v>6533473.8277005656</v>
      </c>
      <c r="P68" s="29">
        <f t="shared" ref="P68:X68" si="28">+P61+P65</f>
        <v>36857.395848796456</v>
      </c>
      <c r="Q68" s="29">
        <f t="shared" si="28"/>
        <v>85955.566566443915</v>
      </c>
      <c r="R68" s="29">
        <f t="shared" si="28"/>
        <v>276.6748</v>
      </c>
      <c r="S68" s="29">
        <f t="shared" si="28"/>
        <v>4.0750000000000002</v>
      </c>
      <c r="T68" s="29">
        <f t="shared" si="28"/>
        <v>4741.7912866765146</v>
      </c>
      <c r="U68" s="29">
        <f t="shared" si="28"/>
        <v>31632.445899999999</v>
      </c>
      <c r="V68" s="29">
        <f t="shared" si="28"/>
        <v>72580.08679999999</v>
      </c>
      <c r="W68" s="29">
        <f t="shared" si="28"/>
        <v>3474823.5104060946</v>
      </c>
      <c r="X68" s="29">
        <f t="shared" si="28"/>
        <v>2745043.5513253203</v>
      </c>
      <c r="Y68" s="29">
        <f t="shared" si="24"/>
        <v>12985388.925633896</v>
      </c>
      <c r="Z68" s="370">
        <f>+Y68/(Y68+Y69)</f>
        <v>0.51962612689658605</v>
      </c>
    </row>
    <row r="69" spans="1:26" ht="12.9" x14ac:dyDescent="0.35">
      <c r="A69" s="11"/>
      <c r="B69" s="23" t="s">
        <v>13</v>
      </c>
      <c r="C69" s="377">
        <f>Input!C79</f>
        <v>77.45</v>
      </c>
      <c r="D69" s="383">
        <f>+$D$68</f>
        <v>0.62747747747747751</v>
      </c>
      <c r="E69" s="378">
        <f t="shared" si="25"/>
        <v>48.597999999999999</v>
      </c>
      <c r="H69" s="384">
        <f>+$H$68</f>
        <v>0.82207718501702598</v>
      </c>
      <c r="I69" s="384">
        <f>+$I$68</f>
        <v>0.88823926242410611</v>
      </c>
      <c r="N69" s="33" t="s">
        <v>192</v>
      </c>
      <c r="O69" s="29">
        <f>+O62+O66</f>
        <v>6430035.2021257458</v>
      </c>
      <c r="P69" s="29">
        <f t="shared" ref="P69:X69" si="29">+P62+P66</f>
        <v>38636.425565428493</v>
      </c>
      <c r="Q69" s="29">
        <f t="shared" si="29"/>
        <v>86164.899098263122</v>
      </c>
      <c r="R69" s="29">
        <f t="shared" si="29"/>
        <v>279.3252</v>
      </c>
      <c r="S69" s="29">
        <f t="shared" si="29"/>
        <v>3.9249999999999998</v>
      </c>
      <c r="T69" s="29">
        <f t="shared" si="29"/>
        <v>4511.6000622505835</v>
      </c>
      <c r="U69" s="29">
        <f t="shared" si="29"/>
        <v>90697.554100000008</v>
      </c>
      <c r="V69" s="29">
        <f t="shared" si="29"/>
        <v>208612.91320000001</v>
      </c>
      <c r="W69" s="29">
        <f t="shared" si="29"/>
        <v>2756249.1567017152</v>
      </c>
      <c r="X69" s="29">
        <f t="shared" si="29"/>
        <v>2389289.2378749317</v>
      </c>
      <c r="Y69" s="29">
        <f t="shared" si="24"/>
        <v>12004480.238928333</v>
      </c>
      <c r="Z69" s="34">
        <f>1-Z68</f>
        <v>0.48037387310341395</v>
      </c>
    </row>
    <row r="70" spans="1:26" ht="12.9" x14ac:dyDescent="0.35">
      <c r="A70" s="11"/>
      <c r="B70" s="23" t="s">
        <v>14</v>
      </c>
      <c r="C70" s="377">
        <f>Input!C80</f>
        <v>69.25</v>
      </c>
      <c r="D70" s="383">
        <f>+$D$68</f>
        <v>0.62747747747747751</v>
      </c>
      <c r="E70" s="378">
        <f t="shared" si="25"/>
        <v>43.453000000000003</v>
      </c>
      <c r="H70" s="384">
        <f>+$H$68</f>
        <v>0.82207718501702598</v>
      </c>
      <c r="I70" s="384">
        <f>+$I$68</f>
        <v>0.88823926242410611</v>
      </c>
    </row>
    <row r="71" spans="1:26" ht="12.9" x14ac:dyDescent="0.35">
      <c r="A71" s="11"/>
      <c r="B71" s="23" t="s">
        <v>15</v>
      </c>
      <c r="C71" s="377">
        <f>Input!C81</f>
        <v>55.4</v>
      </c>
      <c r="D71" s="385">
        <f>+$D$68</f>
        <v>0.62747747747747751</v>
      </c>
      <c r="E71" s="378">
        <f t="shared" si="25"/>
        <v>34.762</v>
      </c>
      <c r="H71" s="386">
        <f>+$H$68</f>
        <v>0.82207718501702598</v>
      </c>
      <c r="I71" s="386">
        <f>+$I$68</f>
        <v>0.88823926242410611</v>
      </c>
    </row>
    <row r="72" spans="1:26" ht="12.9" x14ac:dyDescent="0.35">
      <c r="A72" s="11"/>
      <c r="B72" s="23" t="s">
        <v>16</v>
      </c>
      <c r="C72" s="377">
        <f>Input!C82</f>
        <v>49.8</v>
      </c>
      <c r="D72" s="37">
        <f>+$D$63</f>
        <v>0.82200392927308452</v>
      </c>
      <c r="E72" s="378">
        <f t="shared" si="25"/>
        <v>40.936</v>
      </c>
      <c r="H72" s="380">
        <f>+$H$63</f>
        <v>0.82550077041602465</v>
      </c>
      <c r="I72" s="380">
        <f>+$I$63</f>
        <v>0.88817451205510911</v>
      </c>
    </row>
    <row r="73" spans="1:26" ht="12.9" x14ac:dyDescent="0.35">
      <c r="A73" s="11"/>
      <c r="B73" s="23" t="s">
        <v>17</v>
      </c>
      <c r="C73" s="377">
        <f>Input!C83</f>
        <v>50.45</v>
      </c>
      <c r="D73" s="379">
        <f>+$D$63</f>
        <v>0.82200392927308452</v>
      </c>
      <c r="E73" s="378">
        <f t="shared" si="25"/>
        <v>41.47</v>
      </c>
      <c r="H73" s="380">
        <f>+$H$63</f>
        <v>0.82550077041602465</v>
      </c>
      <c r="I73" s="380">
        <f>+$I$63</f>
        <v>0.88817451205510911</v>
      </c>
    </row>
    <row r="74" spans="1:26" ht="12.9" x14ac:dyDescent="0.35">
      <c r="A74" s="11"/>
      <c r="B74" s="23" t="s">
        <v>18</v>
      </c>
      <c r="C74" s="377">
        <f>Input!C84</f>
        <v>58.35</v>
      </c>
      <c r="D74" s="379">
        <f>+$D$63</f>
        <v>0.82200392927308452</v>
      </c>
      <c r="E74" s="378">
        <f t="shared" si="25"/>
        <v>47.963999999999999</v>
      </c>
      <c r="H74" s="380">
        <f>+$H$63</f>
        <v>0.82550077041602465</v>
      </c>
      <c r="I74" s="380">
        <f>+$I$63</f>
        <v>0.88817451205510911</v>
      </c>
    </row>
    <row r="75" spans="1:26" ht="12.9" x14ac:dyDescent="0.35">
      <c r="A75" s="11"/>
      <c r="B75" s="23"/>
      <c r="C75" s="39"/>
      <c r="D75" s="39"/>
      <c r="G75" s="362"/>
      <c r="K75" s="362"/>
    </row>
    <row r="76" spans="1:26" ht="12.9" x14ac:dyDescent="0.35">
      <c r="A76" s="11"/>
      <c r="B76" s="40"/>
      <c r="C76" s="40"/>
      <c r="D76" s="39"/>
      <c r="G76" s="362"/>
      <c r="K76" s="362"/>
    </row>
    <row r="77" spans="1:26" x14ac:dyDescent="0.3">
      <c r="A77" s="9" t="s">
        <v>67</v>
      </c>
      <c r="B77" s="26" t="s">
        <v>42</v>
      </c>
      <c r="C77" s="5" t="str">
        <f>+C7</f>
        <v>RS</v>
      </c>
      <c r="D77" s="5" t="str">
        <f t="shared" ref="D77:L77" si="30">+D7</f>
        <v>RHS</v>
      </c>
      <c r="E77" s="5" t="str">
        <f t="shared" si="30"/>
        <v>RLM</v>
      </c>
      <c r="F77" s="5" t="str">
        <f t="shared" si="30"/>
        <v>WH</v>
      </c>
      <c r="G77" s="5" t="str">
        <f t="shared" si="30"/>
        <v>WHS</v>
      </c>
      <c r="H77" s="5" t="str">
        <f t="shared" si="30"/>
        <v>HS</v>
      </c>
      <c r="I77" s="5" t="str">
        <f t="shared" si="30"/>
        <v>PSAL</v>
      </c>
      <c r="J77" s="5" t="str">
        <f t="shared" si="30"/>
        <v>BPL</v>
      </c>
      <c r="K77" s="5" t="str">
        <f t="shared" si="30"/>
        <v>GLP</v>
      </c>
      <c r="L77" s="5" t="str">
        <f t="shared" si="30"/>
        <v>LPL-S</v>
      </c>
      <c r="M77" s="5"/>
      <c r="P77" s="349" t="s">
        <v>295</v>
      </c>
      <c r="Q77" s="349" t="s">
        <v>296</v>
      </c>
      <c r="R77" s="349" t="s">
        <v>294</v>
      </c>
    </row>
    <row r="78" spans="1:26" ht="12.9" x14ac:dyDescent="0.35">
      <c r="A78" s="11"/>
      <c r="B78" s="365" t="s">
        <v>280</v>
      </c>
      <c r="C78" s="387"/>
      <c r="D78" s="28"/>
      <c r="E78" s="28"/>
      <c r="F78" s="28"/>
      <c r="P78" s="4" t="s">
        <v>292</v>
      </c>
      <c r="Q78" s="388">
        <f>Input!C89</f>
        <v>5.8326999999999997E-2</v>
      </c>
      <c r="R78" s="49" t="s">
        <v>495</v>
      </c>
    </row>
    <row r="79" spans="1:26" ht="12.9" x14ac:dyDescent="0.35">
      <c r="A79" s="11"/>
      <c r="B79" s="23" t="s">
        <v>264</v>
      </c>
      <c r="C79" s="114">
        <f>1-((1-$Q$78)*(1-$Q$79))</f>
        <v>6.2621028879999985E-2</v>
      </c>
      <c r="D79" s="389">
        <f>+$C79</f>
        <v>6.2621028879999985E-2</v>
      </c>
      <c r="E79" s="389">
        <f t="shared" ref="E79:L79" si="31">+$C79</f>
        <v>6.2621028879999985E-2</v>
      </c>
      <c r="F79" s="389">
        <f t="shared" si="31"/>
        <v>6.2621028879999985E-2</v>
      </c>
      <c r="G79" s="389">
        <f t="shared" si="31"/>
        <v>6.2621028879999985E-2</v>
      </c>
      <c r="H79" s="389">
        <f t="shared" si="31"/>
        <v>6.2621028879999985E-2</v>
      </c>
      <c r="I79" s="389">
        <f t="shared" si="31"/>
        <v>6.2621028879999985E-2</v>
      </c>
      <c r="J79" s="389">
        <f t="shared" si="31"/>
        <v>6.2621028879999985E-2</v>
      </c>
      <c r="K79" s="389">
        <f t="shared" si="31"/>
        <v>6.2621028879999985E-2</v>
      </c>
      <c r="L79" s="389">
        <f t="shared" si="31"/>
        <v>6.2621028879999985E-2</v>
      </c>
      <c r="M79" s="40"/>
      <c r="N79" s="41"/>
      <c r="P79" s="4" t="s">
        <v>293</v>
      </c>
      <c r="Q79" s="388">
        <f>Input!C90</f>
        <v>4.5599999999999998E-3</v>
      </c>
      <c r="R79" s="4" t="s">
        <v>297</v>
      </c>
    </row>
    <row r="80" spans="1:26" ht="12.9" x14ac:dyDescent="0.35">
      <c r="A80" s="11"/>
      <c r="B80" s="4" t="s">
        <v>265</v>
      </c>
      <c r="C80" s="42">
        <f>ROUND(1/(1-C79),6)</f>
        <v>1.0668040000000001</v>
      </c>
      <c r="D80" s="42">
        <f t="shared" ref="D80:L80" si="32">ROUND(1/(1-D79),6)</f>
        <v>1.0668040000000001</v>
      </c>
      <c r="E80" s="42">
        <f t="shared" si="32"/>
        <v>1.0668040000000001</v>
      </c>
      <c r="F80" s="42">
        <f t="shared" si="32"/>
        <v>1.0668040000000001</v>
      </c>
      <c r="G80" s="42">
        <f t="shared" si="32"/>
        <v>1.0668040000000001</v>
      </c>
      <c r="H80" s="42">
        <f t="shared" si="32"/>
        <v>1.0668040000000001</v>
      </c>
      <c r="I80" s="42">
        <f t="shared" si="32"/>
        <v>1.0668040000000001</v>
      </c>
      <c r="J80" s="42">
        <f t="shared" si="32"/>
        <v>1.0668040000000001</v>
      </c>
      <c r="K80" s="42">
        <f t="shared" si="32"/>
        <v>1.0668040000000001</v>
      </c>
      <c r="L80" s="42">
        <f t="shared" si="32"/>
        <v>1.0668040000000001</v>
      </c>
      <c r="M80" s="43"/>
      <c r="P80" s="4" t="s">
        <v>299</v>
      </c>
      <c r="Q80" s="390">
        <f>+Input!C91</f>
        <v>1.3639397377851185E-2</v>
      </c>
      <c r="R80" s="4" t="s">
        <v>298</v>
      </c>
    </row>
    <row r="81" spans="1:17" ht="12.9" x14ac:dyDescent="0.35">
      <c r="A81" s="11"/>
      <c r="B81" s="4" t="s">
        <v>266</v>
      </c>
      <c r="C81" s="42">
        <f>1/C80</f>
        <v>0.93737931241352668</v>
      </c>
      <c r="D81" s="42">
        <f t="shared" ref="D81:L81" si="33">1/D80</f>
        <v>0.93737931241352668</v>
      </c>
      <c r="E81" s="42">
        <f t="shared" si="33"/>
        <v>0.93737931241352668</v>
      </c>
      <c r="F81" s="42">
        <f t="shared" si="33"/>
        <v>0.93737931241352668</v>
      </c>
      <c r="G81" s="42">
        <f t="shared" si="33"/>
        <v>0.93737931241352668</v>
      </c>
      <c r="H81" s="42">
        <f t="shared" si="33"/>
        <v>0.93737931241352668</v>
      </c>
      <c r="I81" s="42">
        <f t="shared" si="33"/>
        <v>0.93737931241352668</v>
      </c>
      <c r="J81" s="42">
        <f t="shared" si="33"/>
        <v>0.93737931241352668</v>
      </c>
      <c r="K81" s="42">
        <f t="shared" si="33"/>
        <v>0.93737931241352668</v>
      </c>
      <c r="L81" s="42">
        <f t="shared" si="33"/>
        <v>0.93737931241352668</v>
      </c>
      <c r="M81" s="43"/>
      <c r="P81" s="4" t="s">
        <v>300</v>
      </c>
      <c r="Q81" s="391">
        <f>ROUND(1-((1-Q80)/(1-Q79)),7)</f>
        <v>9.1210000000000006E-3</v>
      </c>
    </row>
    <row r="82" spans="1:17" ht="12.9" x14ac:dyDescent="0.35">
      <c r="A82" s="11"/>
      <c r="C82" s="43"/>
      <c r="D82" s="43"/>
      <c r="E82" s="43"/>
      <c r="F82" s="43"/>
      <c r="G82" s="43"/>
      <c r="H82" s="43"/>
      <c r="I82" s="43"/>
      <c r="J82" s="43"/>
      <c r="K82" s="43"/>
      <c r="L82" s="43"/>
      <c r="M82" s="43"/>
    </row>
    <row r="83" spans="1:17" ht="12.9" x14ac:dyDescent="0.35">
      <c r="A83" s="11"/>
      <c r="B83" s="365" t="s">
        <v>279</v>
      </c>
      <c r="C83" s="43"/>
      <c r="D83" s="43"/>
      <c r="E83" s="43"/>
      <c r="F83" s="43"/>
      <c r="G83" s="43"/>
      <c r="H83" s="43"/>
      <c r="I83" s="43"/>
      <c r="J83" s="43"/>
      <c r="K83" s="43"/>
      <c r="L83" s="43"/>
      <c r="M83" s="43"/>
    </row>
    <row r="84" spans="1:17" ht="12.9" x14ac:dyDescent="0.35">
      <c r="A84" s="11"/>
      <c r="B84" s="23" t="s">
        <v>264</v>
      </c>
      <c r="C84" s="114">
        <f>1-((1-$Q$78)/((1-$Q$80)/(1-$Q$79)))</f>
        <v>4.9658949649789119E-2</v>
      </c>
      <c r="D84" s="389">
        <f>+$C84</f>
        <v>4.9658949649789119E-2</v>
      </c>
      <c r="E84" s="389">
        <f t="shared" ref="E84:L84" si="34">+$C84</f>
        <v>4.9658949649789119E-2</v>
      </c>
      <c r="F84" s="389">
        <f t="shared" si="34"/>
        <v>4.9658949649789119E-2</v>
      </c>
      <c r="G84" s="389">
        <f t="shared" si="34"/>
        <v>4.9658949649789119E-2</v>
      </c>
      <c r="H84" s="389">
        <f t="shared" si="34"/>
        <v>4.9658949649789119E-2</v>
      </c>
      <c r="I84" s="389">
        <f t="shared" si="34"/>
        <v>4.9658949649789119E-2</v>
      </c>
      <c r="J84" s="389">
        <f t="shared" si="34"/>
        <v>4.9658949649789119E-2</v>
      </c>
      <c r="K84" s="389">
        <f t="shared" si="34"/>
        <v>4.9658949649789119E-2</v>
      </c>
      <c r="L84" s="389">
        <f t="shared" si="34"/>
        <v>4.9658949649789119E-2</v>
      </c>
      <c r="M84" s="43"/>
      <c r="P84" s="49" t="s">
        <v>579</v>
      </c>
    </row>
    <row r="85" spans="1:17" ht="12.9" x14ac:dyDescent="0.35">
      <c r="A85" s="11"/>
      <c r="B85" s="4" t="s">
        <v>265</v>
      </c>
      <c r="C85" s="42">
        <f>ROUND(1/(1-C84),6)</f>
        <v>1.052254</v>
      </c>
      <c r="D85" s="42">
        <f>+$C$85</f>
        <v>1.052254</v>
      </c>
      <c r="E85" s="42">
        <f t="shared" ref="E85:L85" si="35">+$C$85</f>
        <v>1.052254</v>
      </c>
      <c r="F85" s="42">
        <f t="shared" si="35"/>
        <v>1.052254</v>
      </c>
      <c r="G85" s="42">
        <f t="shared" si="35"/>
        <v>1.052254</v>
      </c>
      <c r="H85" s="42">
        <f t="shared" si="35"/>
        <v>1.052254</v>
      </c>
      <c r="I85" s="42">
        <f t="shared" si="35"/>
        <v>1.052254</v>
      </c>
      <c r="J85" s="42">
        <f t="shared" si="35"/>
        <v>1.052254</v>
      </c>
      <c r="K85" s="42">
        <f t="shared" si="35"/>
        <v>1.052254</v>
      </c>
      <c r="L85" s="42">
        <f t="shared" si="35"/>
        <v>1.052254</v>
      </c>
      <c r="M85" s="43"/>
      <c r="Q85" s="49" t="s">
        <v>582</v>
      </c>
    </row>
    <row r="86" spans="1:17" ht="12.9" x14ac:dyDescent="0.35">
      <c r="A86" s="11"/>
      <c r="B86" s="4" t="s">
        <v>266</v>
      </c>
      <c r="C86" s="42">
        <f>1/C85</f>
        <v>0.95034088727626598</v>
      </c>
      <c r="D86" s="42">
        <f t="shared" ref="D86:L86" si="36">1/D85</f>
        <v>0.95034088727626598</v>
      </c>
      <c r="E86" s="42">
        <f t="shared" si="36"/>
        <v>0.95034088727626598</v>
      </c>
      <c r="F86" s="42">
        <f t="shared" si="36"/>
        <v>0.95034088727626598</v>
      </c>
      <c r="G86" s="42">
        <f t="shared" si="36"/>
        <v>0.95034088727626598</v>
      </c>
      <c r="H86" s="42">
        <f t="shared" si="36"/>
        <v>0.95034088727626598</v>
      </c>
      <c r="I86" s="42">
        <f t="shared" si="36"/>
        <v>0.95034088727626598</v>
      </c>
      <c r="J86" s="42">
        <f t="shared" si="36"/>
        <v>0.95034088727626598</v>
      </c>
      <c r="K86" s="42">
        <f t="shared" si="36"/>
        <v>0.95034088727626598</v>
      </c>
      <c r="L86" s="42">
        <f t="shared" si="36"/>
        <v>0.95034088727626598</v>
      </c>
      <c r="M86" s="43"/>
      <c r="P86" s="49" t="s">
        <v>580</v>
      </c>
      <c r="Q86" s="49" t="s">
        <v>581</v>
      </c>
    </row>
    <row r="87" spans="1:17" ht="12.9" x14ac:dyDescent="0.35">
      <c r="A87" s="11"/>
      <c r="C87" s="44"/>
      <c r="D87" s="43"/>
      <c r="E87" s="43"/>
      <c r="F87" s="43"/>
      <c r="G87" s="43"/>
      <c r="H87" s="43"/>
      <c r="I87" s="43"/>
      <c r="J87" s="43"/>
      <c r="K87" s="43"/>
      <c r="L87" s="43"/>
      <c r="M87" s="43"/>
    </row>
    <row r="88" spans="1:17" ht="12.9" x14ac:dyDescent="0.35">
      <c r="A88" s="11"/>
      <c r="P88" s="49" t="s">
        <v>583</v>
      </c>
    </row>
    <row r="89" spans="1:17" x14ac:dyDescent="0.3">
      <c r="A89" s="9" t="s">
        <v>68</v>
      </c>
      <c r="B89" s="7" t="s">
        <v>138</v>
      </c>
      <c r="Q89" s="49" t="s">
        <v>584</v>
      </c>
    </row>
    <row r="90" spans="1:17" ht="12.9" x14ac:dyDescent="0.35">
      <c r="B90" s="8" t="s">
        <v>234</v>
      </c>
      <c r="Q90" s="49" t="s">
        <v>585</v>
      </c>
    </row>
    <row r="91" spans="1:17" ht="12.9" x14ac:dyDescent="0.35">
      <c r="A91" s="11"/>
      <c r="B91" s="8" t="s">
        <v>40</v>
      </c>
    </row>
    <row r="92" spans="1:17" ht="12.9" x14ac:dyDescent="0.35">
      <c r="A92" s="11"/>
      <c r="B92" s="7"/>
      <c r="C92" s="5" t="str">
        <f>+C7</f>
        <v>RS</v>
      </c>
      <c r="D92" s="5" t="str">
        <f t="shared" ref="D92:L92" si="37">+D7</f>
        <v>RHS</v>
      </c>
      <c r="E92" s="5" t="str">
        <f t="shared" si="37"/>
        <v>RLM</v>
      </c>
      <c r="F92" s="5" t="str">
        <f t="shared" si="37"/>
        <v>WH</v>
      </c>
      <c r="G92" s="5" t="str">
        <f t="shared" si="37"/>
        <v>WHS</v>
      </c>
      <c r="H92" s="5" t="str">
        <f t="shared" si="37"/>
        <v>HS</v>
      </c>
      <c r="I92" s="5" t="str">
        <f t="shared" si="37"/>
        <v>PSAL</v>
      </c>
      <c r="J92" s="5" t="str">
        <f t="shared" si="37"/>
        <v>BPL</v>
      </c>
      <c r="K92" s="5" t="str">
        <f t="shared" si="37"/>
        <v>GLP</v>
      </c>
      <c r="L92" s="5" t="str">
        <f t="shared" si="37"/>
        <v>LPL-S</v>
      </c>
      <c r="M92" s="5"/>
    </row>
    <row r="93" spans="1:17" ht="12.9" x14ac:dyDescent="0.35">
      <c r="A93" s="11"/>
    </row>
    <row r="94" spans="1:17" ht="12.9" x14ac:dyDescent="0.35">
      <c r="A94" s="11"/>
      <c r="B94" s="23" t="s">
        <v>23</v>
      </c>
      <c r="C94" s="392">
        <f t="shared" ref="C94:L94" si="38">(SUMPRODUCT(C14:C17,C50:C53,$C68:$C71,$H68:$H71)*C80+SUMPRODUCT(O14:O17,C50:C53,$E68:$E71,$I68:$I71)*C80)/SUM(C50:C53)</f>
        <v>48.473308500436481</v>
      </c>
      <c r="D94" s="392">
        <f t="shared" si="38"/>
        <v>48.612667144497685</v>
      </c>
      <c r="E94" s="392">
        <f t="shared" si="38"/>
        <v>48.506271428188946</v>
      </c>
      <c r="F94" s="392">
        <f t="shared" si="38"/>
        <v>46.723858386781387</v>
      </c>
      <c r="G94" s="392">
        <f t="shared" si="38"/>
        <v>49.516559328614846</v>
      </c>
      <c r="H94" s="392">
        <f t="shared" si="38"/>
        <v>49.859059219623902</v>
      </c>
      <c r="I94" s="392">
        <f t="shared" si="38"/>
        <v>41.534994292116323</v>
      </c>
      <c r="J94" s="392">
        <f t="shared" si="38"/>
        <v>41.296863351185237</v>
      </c>
      <c r="K94" s="392">
        <f t="shared" si="38"/>
        <v>48.865478679138974</v>
      </c>
      <c r="L94" s="392">
        <f t="shared" si="38"/>
        <v>48.258586653158673</v>
      </c>
      <c r="M94" s="392"/>
    </row>
    <row r="95" spans="1:17" ht="12.9" x14ac:dyDescent="0.35">
      <c r="A95" s="11"/>
      <c r="B95" s="56" t="s">
        <v>80</v>
      </c>
      <c r="C95" s="392">
        <f t="shared" ref="C95:L95" si="39">(SUMPRODUCT(C14:C17,C50:C53,$C68:$C71,$H68:$H71)*C80)/SUMPRODUCT(C14:C17,C50:C53)</f>
        <v>57.202624244295734</v>
      </c>
      <c r="D95" s="392">
        <f t="shared" si="39"/>
        <v>57.157477103868011</v>
      </c>
      <c r="E95" s="392">
        <f t="shared" si="39"/>
        <v>57.189567987490186</v>
      </c>
      <c r="F95" s="392">
        <f t="shared" si="39"/>
        <v>55.164800018522463</v>
      </c>
      <c r="G95" s="392">
        <f t="shared" si="39"/>
        <v>58.180486452958093</v>
      </c>
      <c r="H95" s="392">
        <f t="shared" si="39"/>
        <v>57.145978889158279</v>
      </c>
      <c r="I95" s="392">
        <f t="shared" si="39"/>
        <v>55.234929050321774</v>
      </c>
      <c r="J95" s="392">
        <f t="shared" si="39"/>
        <v>54.919324453763686</v>
      </c>
      <c r="K95" s="392">
        <f t="shared" si="39"/>
        <v>56.453364458477957</v>
      </c>
      <c r="L95" s="392">
        <f t="shared" si="39"/>
        <v>56.345027298350331</v>
      </c>
      <c r="M95" s="392"/>
    </row>
    <row r="96" spans="1:17" ht="12.9" x14ac:dyDescent="0.35">
      <c r="A96" s="11"/>
      <c r="B96" s="56" t="s">
        <v>81</v>
      </c>
      <c r="C96" s="392">
        <f t="shared" ref="C96:L96" si="40">(SUMPRODUCT(O14:O17,C50:C53,$E68:$E71,$I68:$I71)*C80)/SUMPRODUCT(O14:O17,C50:C53)</f>
        <v>38.758516798534565</v>
      </c>
      <c r="D96" s="392">
        <f t="shared" si="40"/>
        <v>38.767974051381941</v>
      </c>
      <c r="E96" s="392">
        <f t="shared" si="40"/>
        <v>38.761686410714042</v>
      </c>
      <c r="F96" s="392">
        <f t="shared" si="40"/>
        <v>37.368973974643971</v>
      </c>
      <c r="G96" s="392">
        <f t="shared" si="40"/>
        <v>39.605640906592242</v>
      </c>
      <c r="H96" s="392">
        <f t="shared" si="40"/>
        <v>38.765711951561727</v>
      </c>
      <c r="I96" s="392">
        <f t="shared" si="40"/>
        <v>37.786214971337685</v>
      </c>
      <c r="J96" s="392">
        <f t="shared" si="40"/>
        <v>37.573692935508475</v>
      </c>
      <c r="K96" s="392">
        <f t="shared" si="40"/>
        <v>38.399753125725063</v>
      </c>
      <c r="L96" s="392">
        <f t="shared" si="40"/>
        <v>38.373649610979498</v>
      </c>
      <c r="M96" s="392"/>
    </row>
    <row r="97" spans="1:13" ht="12.9" x14ac:dyDescent="0.35">
      <c r="A97" s="11"/>
      <c r="C97" s="393"/>
      <c r="D97" s="393"/>
      <c r="E97" s="393"/>
      <c r="F97" s="393"/>
      <c r="G97" s="393"/>
      <c r="H97" s="393"/>
      <c r="I97" s="393"/>
      <c r="J97" s="393"/>
      <c r="K97" s="393"/>
      <c r="L97" s="393"/>
      <c r="M97" s="393"/>
    </row>
    <row r="98" spans="1:13" ht="12.9" x14ac:dyDescent="0.35">
      <c r="A98" s="11"/>
      <c r="B98" s="23" t="s">
        <v>24</v>
      </c>
      <c r="C98" s="392">
        <f t="shared" ref="C98:L98" si="41">(SUMPRODUCT(C9:C13,C45:C49,$C63:$C67,$H63:$H67)*C80+SUMPRODUCT(O9:O13,C45:C49,$E63:$E67,$I63:$I67)*C80+SUMPRODUCT(C18:C20,C54:C56,$C72:$C74,$H72:$H74)*C80+SUMPRODUCT(O18:O20,C54:C56,$E72:$E74,$I72:$I74)*C80)/SUM(C45:C49,C54:C56)</f>
        <v>49.30366261575324</v>
      </c>
      <c r="D98" s="392">
        <f t="shared" si="41"/>
        <v>51.522875729841026</v>
      </c>
      <c r="E98" s="392">
        <f t="shared" si="41"/>
        <v>49.149368727625472</v>
      </c>
      <c r="F98" s="392">
        <f t="shared" si="41"/>
        <v>48.964268336784954</v>
      </c>
      <c r="G98" s="392">
        <f t="shared" si="41"/>
        <v>52.067367740516225</v>
      </c>
      <c r="H98" s="392">
        <f t="shared" si="41"/>
        <v>52.13624948707978</v>
      </c>
      <c r="I98" s="392">
        <f t="shared" si="41"/>
        <v>48.30007708606945</v>
      </c>
      <c r="J98" s="392">
        <f t="shared" si="41"/>
        <v>48.080749734955958</v>
      </c>
      <c r="K98" s="392">
        <f t="shared" si="41"/>
        <v>49.069114394211546</v>
      </c>
      <c r="L98" s="392">
        <f t="shared" si="41"/>
        <v>48.912489115632873</v>
      </c>
      <c r="M98" s="392"/>
    </row>
    <row r="99" spans="1:13" ht="12.9" x14ac:dyDescent="0.35">
      <c r="A99" s="11"/>
      <c r="B99" s="56" t="s">
        <v>80</v>
      </c>
      <c r="C99" s="392">
        <f t="shared" ref="C99:L99" si="42">(SUMPRODUCT(C9:C13,C45:C49,$C63:$C67,$H63:$H67)*C80+SUMPRODUCT(C18:C20,C54:C56,$C72:$C74,$H72:$H74)*C80)/(SUMPRODUCT(C9:C13,C45:C49)+SUMPRODUCT(C18:C20,C54:C56))</f>
        <v>52.312016687419607</v>
      </c>
      <c r="D99" s="392">
        <f t="shared" si="42"/>
        <v>54.627888139005705</v>
      </c>
      <c r="E99" s="392">
        <f t="shared" si="42"/>
        <v>52.254204892964744</v>
      </c>
      <c r="F99" s="392">
        <f t="shared" si="42"/>
        <v>51.956962423861469</v>
      </c>
      <c r="G99" s="392">
        <f t="shared" si="42"/>
        <v>55.026233528881065</v>
      </c>
      <c r="H99" s="392">
        <f t="shared" si="42"/>
        <v>55.077612625235474</v>
      </c>
      <c r="I99" s="392">
        <f t="shared" si="42"/>
        <v>53.328014589684535</v>
      </c>
      <c r="J99" s="392">
        <f t="shared" si="42"/>
        <v>53.085855104136371</v>
      </c>
      <c r="K99" s="392">
        <f t="shared" si="42"/>
        <v>51.653575169339128</v>
      </c>
      <c r="L99" s="392">
        <f t="shared" si="42"/>
        <v>51.634934155853585</v>
      </c>
      <c r="M99" s="392"/>
    </row>
    <row r="100" spans="1:13" ht="12.9" x14ac:dyDescent="0.35">
      <c r="A100" s="11"/>
      <c r="B100" s="56" t="s">
        <v>81</v>
      </c>
      <c r="C100" s="392">
        <f t="shared" ref="C100:L100" si="43">(SUMPRODUCT(O9:O13,C45:C49,$E63:$E67,$I63:$I67)*C80+SUMPRODUCT(O18:O20,C54:C56,$E72:$E74,$I72:$I74)*C80)/(SUMPRODUCT(O9:O13,C45:C49)+SUMPRODUCT(O18:O20,C54:C56))</f>
        <v>46.452037599111939</v>
      </c>
      <c r="D100" s="392">
        <f t="shared" si="43"/>
        <v>48.716410091408392</v>
      </c>
      <c r="E100" s="392">
        <f t="shared" si="43"/>
        <v>46.33769867835052</v>
      </c>
      <c r="F100" s="392">
        <f t="shared" si="43"/>
        <v>46.124769420842966</v>
      </c>
      <c r="G100" s="392">
        <f t="shared" si="43"/>
        <v>49.168717219808649</v>
      </c>
      <c r="H100" s="392">
        <f t="shared" si="43"/>
        <v>49.330437606919226</v>
      </c>
      <c r="I100" s="392">
        <f t="shared" si="43"/>
        <v>46.392467474945072</v>
      </c>
      <c r="J100" s="392">
        <f t="shared" si="43"/>
        <v>46.186419894573781</v>
      </c>
      <c r="K100" s="392">
        <f t="shared" si="43"/>
        <v>45.975192515000089</v>
      </c>
      <c r="L100" s="392">
        <f t="shared" si="43"/>
        <v>45.890342996630856</v>
      </c>
      <c r="M100" s="392"/>
    </row>
    <row r="101" spans="1:13" ht="12.9" x14ac:dyDescent="0.35">
      <c r="A101" s="11"/>
      <c r="C101" s="393"/>
      <c r="D101" s="393"/>
      <c r="E101" s="393"/>
      <c r="F101" s="393"/>
      <c r="G101" s="393"/>
      <c r="H101" s="393"/>
      <c r="I101" s="393"/>
      <c r="J101" s="393"/>
      <c r="K101" s="393"/>
      <c r="L101" s="393"/>
      <c r="M101" s="393"/>
    </row>
    <row r="102" spans="1:13" ht="12.9" x14ac:dyDescent="0.35">
      <c r="A102" s="11"/>
      <c r="B102" s="4" t="s">
        <v>22</v>
      </c>
      <c r="C102" s="392">
        <f t="shared" ref="C102:L102" si="44">(C94*SUM(C50:C53)+C98*SUM(C45:C49,C54:C56))/C57</f>
        <v>48.94402972567125</v>
      </c>
      <c r="D102" s="394">
        <f t="shared" si="44"/>
        <v>50.876000314328678</v>
      </c>
      <c r="E102" s="394">
        <f t="shared" si="44"/>
        <v>48.859251971121154</v>
      </c>
      <c r="F102" s="394">
        <f t="shared" si="44"/>
        <v>48.343723134805551</v>
      </c>
      <c r="G102" s="394">
        <f t="shared" si="44"/>
        <v>51.110814586053209</v>
      </c>
      <c r="H102" s="394">
        <f t="shared" si="44"/>
        <v>51.657846325415072</v>
      </c>
      <c r="I102" s="394">
        <f t="shared" si="44"/>
        <v>46.449841043910617</v>
      </c>
      <c r="J102" s="394">
        <f t="shared" si="44"/>
        <v>46.218463839730866</v>
      </c>
      <c r="K102" s="394">
        <f t="shared" si="44"/>
        <v>48.9943010816353</v>
      </c>
      <c r="L102" s="394">
        <f t="shared" si="44"/>
        <v>48.678822699823961</v>
      </c>
      <c r="M102" s="394"/>
    </row>
    <row r="103" spans="1:13" ht="12.9" x14ac:dyDescent="0.35">
      <c r="A103" s="11"/>
      <c r="C103" s="392"/>
      <c r="D103" s="394"/>
      <c r="E103" s="394"/>
      <c r="F103" s="394"/>
      <c r="G103" s="394"/>
      <c r="H103" s="394"/>
      <c r="I103" s="394"/>
      <c r="J103" s="394"/>
      <c r="K103" s="394"/>
      <c r="L103" s="394"/>
      <c r="M103" s="394"/>
    </row>
    <row r="104" spans="1:13" ht="12.9" x14ac:dyDescent="0.35">
      <c r="A104" s="11"/>
      <c r="B104" s="4" t="s">
        <v>83</v>
      </c>
      <c r="C104" s="392">
        <f>SUMPRODUCT(C102:L102,C57:L57)/SUM(C57:L57)</f>
        <v>48.865442464311336</v>
      </c>
      <c r="D104" s="394"/>
      <c r="E104" s="394"/>
      <c r="F104" s="394"/>
      <c r="G104" s="394"/>
      <c r="H104" s="394"/>
      <c r="I104" s="394"/>
      <c r="J104" s="394"/>
      <c r="K104" s="394"/>
      <c r="L104" s="394"/>
      <c r="M104" s="394"/>
    </row>
    <row r="105" spans="1:13" ht="12.9" x14ac:dyDescent="0.35">
      <c r="A105" s="11"/>
      <c r="C105" s="392"/>
      <c r="D105" s="394"/>
      <c r="E105" s="394"/>
      <c r="F105" s="394"/>
      <c r="G105" s="394"/>
      <c r="H105" s="394"/>
      <c r="I105" s="394"/>
      <c r="J105" s="394"/>
      <c r="K105" s="394"/>
      <c r="L105" s="394"/>
      <c r="M105" s="394"/>
    </row>
    <row r="106" spans="1:13" ht="12.9" x14ac:dyDescent="0.35">
      <c r="A106" s="11"/>
      <c r="C106" s="394"/>
      <c r="D106" s="394"/>
      <c r="E106" s="394"/>
      <c r="F106" s="394"/>
      <c r="G106" s="394"/>
      <c r="H106" s="394"/>
      <c r="I106" s="394"/>
      <c r="J106" s="394"/>
      <c r="K106" s="394"/>
      <c r="L106" s="394"/>
      <c r="M106" s="394"/>
    </row>
    <row r="107" spans="1:13" x14ac:dyDescent="0.3">
      <c r="A107" s="9" t="s">
        <v>69</v>
      </c>
      <c r="B107" s="7" t="s">
        <v>132</v>
      </c>
      <c r="C107" s="394"/>
      <c r="D107" s="394"/>
      <c r="E107" s="394"/>
      <c r="F107" s="394"/>
      <c r="G107" s="394"/>
      <c r="H107" s="394"/>
      <c r="I107" s="394"/>
      <c r="J107" s="394"/>
      <c r="K107" s="394"/>
      <c r="L107" s="394"/>
      <c r="M107" s="394"/>
    </row>
    <row r="108" spans="1:13" ht="12.9" x14ac:dyDescent="0.35">
      <c r="A108" s="11"/>
      <c r="B108" s="8" t="s">
        <v>235</v>
      </c>
      <c r="C108" s="394"/>
      <c r="D108" s="394"/>
      <c r="E108" s="394"/>
      <c r="F108" s="394"/>
      <c r="G108" s="394"/>
      <c r="H108" s="394"/>
      <c r="I108" s="394"/>
      <c r="J108" s="394"/>
      <c r="K108" s="394"/>
      <c r="L108" s="394"/>
      <c r="M108" s="394"/>
    </row>
    <row r="109" spans="1:13" ht="12.9" x14ac:dyDescent="0.35">
      <c r="A109" s="11"/>
      <c r="B109" s="8" t="s">
        <v>82</v>
      </c>
      <c r="C109" s="394"/>
      <c r="D109" s="394"/>
      <c r="E109" s="394"/>
      <c r="F109" s="394"/>
      <c r="G109" s="394"/>
      <c r="H109" s="394"/>
      <c r="I109" s="394"/>
      <c r="J109" s="394"/>
      <c r="K109" s="394"/>
      <c r="L109" s="394"/>
      <c r="M109" s="394"/>
    </row>
    <row r="110" spans="1:13" ht="12.9" x14ac:dyDescent="0.35">
      <c r="A110" s="11"/>
      <c r="B110" s="7"/>
      <c r="C110" s="5" t="str">
        <f>+C7</f>
        <v>RS</v>
      </c>
      <c r="D110" s="5" t="str">
        <f t="shared" ref="D110:L110" si="45">+D7</f>
        <v>RHS</v>
      </c>
      <c r="E110" s="5" t="str">
        <f t="shared" si="45"/>
        <v>RLM</v>
      </c>
      <c r="F110" s="5" t="str">
        <f t="shared" si="45"/>
        <v>WH</v>
      </c>
      <c r="G110" s="5" t="str">
        <f t="shared" si="45"/>
        <v>WHS</v>
      </c>
      <c r="H110" s="5" t="str">
        <f t="shared" si="45"/>
        <v>HS</v>
      </c>
      <c r="I110" s="5" t="str">
        <f t="shared" si="45"/>
        <v>PSAL</v>
      </c>
      <c r="J110" s="5" t="str">
        <f t="shared" si="45"/>
        <v>BPL</v>
      </c>
      <c r="K110" s="5" t="str">
        <f t="shared" si="45"/>
        <v>GLP</v>
      </c>
      <c r="L110" s="5" t="str">
        <f t="shared" si="45"/>
        <v>LPL-S</v>
      </c>
      <c r="M110" s="5"/>
    </row>
    <row r="111" spans="1:13" ht="12.9" x14ac:dyDescent="0.35">
      <c r="A111" s="11"/>
      <c r="C111" s="63"/>
    </row>
    <row r="112" spans="1:13" ht="12.9" x14ac:dyDescent="0.35">
      <c r="A112" s="11"/>
      <c r="B112" s="23" t="s">
        <v>23</v>
      </c>
      <c r="C112" s="395">
        <f t="shared" ref="C112:L112" si="46">SUM(C50:C53)*C94/1000</f>
        <v>272158.12127829622</v>
      </c>
      <c r="D112" s="395">
        <f t="shared" si="46"/>
        <v>815.75057267387001</v>
      </c>
      <c r="E112" s="395">
        <f t="shared" si="46"/>
        <v>3766.4007928156798</v>
      </c>
      <c r="F112" s="395">
        <f t="shared" si="46"/>
        <v>7.1954741915643332</v>
      </c>
      <c r="G112" s="395">
        <f t="shared" si="46"/>
        <v>0.14854967798584454</v>
      </c>
      <c r="H112" s="395">
        <f t="shared" si="46"/>
        <v>96.925875319562962</v>
      </c>
      <c r="I112" s="395">
        <f t="shared" si="46"/>
        <v>1389.6363040313358</v>
      </c>
      <c r="J112" s="395">
        <f t="shared" si="46"/>
        <v>3187.7874758046905</v>
      </c>
      <c r="K112" s="395">
        <f t="shared" si="46"/>
        <v>111863.88760675513</v>
      </c>
      <c r="L112" s="395">
        <f t="shared" si="46"/>
        <v>88540.493326242431</v>
      </c>
      <c r="M112" s="395"/>
    </row>
    <row r="113" spans="1:30" ht="12.9" x14ac:dyDescent="0.35">
      <c r="A113" s="11"/>
      <c r="B113" s="56" t="s">
        <v>80</v>
      </c>
      <c r="C113" s="395">
        <f t="shared" ref="C113:L113" si="47">SUMPRODUCT(C50:C53,C14:C17)*C95/1000</f>
        <v>169164.97073406391</v>
      </c>
      <c r="D113" s="395">
        <f t="shared" si="47"/>
        <v>513.46775689274227</v>
      </c>
      <c r="E113" s="395">
        <f t="shared" si="47"/>
        <v>2348.1908538119596</v>
      </c>
      <c r="F113" s="395">
        <f t="shared" si="47"/>
        <v>4.4658388030994765</v>
      </c>
      <c r="G113" s="395">
        <f t="shared" si="47"/>
        <v>9.3129504665250024E-2</v>
      </c>
      <c r="H113" s="395">
        <f t="shared" si="47"/>
        <v>67.04897184037975</v>
      </c>
      <c r="I113" s="395">
        <f t="shared" si="47"/>
        <v>397.03358592239834</v>
      </c>
      <c r="J113" s="395">
        <f t="shared" si="47"/>
        <v>909.95576058548545</v>
      </c>
      <c r="K113" s="395">
        <f t="shared" si="47"/>
        <v>74917.423662344692</v>
      </c>
      <c r="L113" s="395">
        <f t="shared" si="47"/>
        <v>56861.127705649575</v>
      </c>
      <c r="M113" s="395"/>
    </row>
    <row r="114" spans="1:30" ht="12.9" x14ac:dyDescent="0.35">
      <c r="A114" s="11"/>
      <c r="B114" s="56" t="s">
        <v>81</v>
      </c>
      <c r="C114" s="395">
        <f t="shared" ref="C114:L114" si="48">SUMPRODUCT(C50:C53,O14:O17)*C96/1000</f>
        <v>102993.1505442323</v>
      </c>
      <c r="D114" s="395">
        <f t="shared" si="48"/>
        <v>302.28281578112768</v>
      </c>
      <c r="E114" s="395">
        <f t="shared" si="48"/>
        <v>1418.2099390037197</v>
      </c>
      <c r="F114" s="395">
        <f t="shared" si="48"/>
        <v>2.7296353884648563</v>
      </c>
      <c r="G114" s="395">
        <f t="shared" si="48"/>
        <v>5.5420173320594519E-2</v>
      </c>
      <c r="H114" s="395">
        <f t="shared" si="48"/>
        <v>29.87690347918322</v>
      </c>
      <c r="I114" s="395">
        <f t="shared" si="48"/>
        <v>992.60271810893732</v>
      </c>
      <c r="J114" s="395">
        <f t="shared" si="48"/>
        <v>2277.8317152192053</v>
      </c>
      <c r="K114" s="395">
        <f t="shared" si="48"/>
        <v>36946.463944410432</v>
      </c>
      <c r="L114" s="395">
        <f t="shared" si="48"/>
        <v>31679.365620592856</v>
      </c>
      <c r="M114" s="395"/>
    </row>
    <row r="115" spans="1:30" ht="12.9" x14ac:dyDescent="0.35">
      <c r="A115" s="11"/>
      <c r="C115" s="396"/>
      <c r="D115" s="396"/>
      <c r="E115" s="396"/>
      <c r="F115" s="396"/>
      <c r="G115" s="396"/>
      <c r="H115" s="396"/>
      <c r="I115" s="396"/>
      <c r="J115" s="396"/>
      <c r="K115" s="396"/>
      <c r="L115" s="396"/>
      <c r="M115" s="396"/>
    </row>
    <row r="116" spans="1:30" ht="12.9" x14ac:dyDescent="0.35">
      <c r="A116" s="11"/>
      <c r="B116" s="23" t="s">
        <v>24</v>
      </c>
      <c r="C116" s="396">
        <f t="shared" ref="C116:L116" si="49">SUM(C45:C49,C54:C56)*C98/1000</f>
        <v>362328.25002653059</v>
      </c>
      <c r="D116" s="396">
        <f t="shared" si="49"/>
        <v>3025.0731093261111</v>
      </c>
      <c r="E116" s="396">
        <f t="shared" si="49"/>
        <v>4643.2764084829487</v>
      </c>
      <c r="F116" s="396">
        <f t="shared" si="49"/>
        <v>19.683635871387551</v>
      </c>
      <c r="G116" s="396">
        <f t="shared" si="49"/>
        <v>0.26033683870258112</v>
      </c>
      <c r="H116" s="396">
        <f t="shared" si="49"/>
        <v>381.08439297223833</v>
      </c>
      <c r="I116" s="396">
        <f t="shared" si="49"/>
        <v>4292.5727508702503</v>
      </c>
      <c r="J116" s="396">
        <f t="shared" si="49"/>
        <v>9808.5210266807517</v>
      </c>
      <c r="K116" s="396">
        <f t="shared" si="49"/>
        <v>193423.16270707315</v>
      </c>
      <c r="L116" s="396">
        <f t="shared" si="49"/>
        <v>161392.78220112927</v>
      </c>
      <c r="M116" s="396"/>
    </row>
    <row r="117" spans="1:30" ht="12.9" x14ac:dyDescent="0.35">
      <c r="A117" s="11"/>
      <c r="B117" s="56" t="s">
        <v>80</v>
      </c>
      <c r="C117" s="395">
        <f t="shared" ref="C117:L117" si="50">(SUMPRODUCT(C45:C49,C9:C13)+SUMPRODUCT(C54:C56,C18:C20))*C99/1000</f>
        <v>187077.18497652639</v>
      </c>
      <c r="D117" s="395">
        <f t="shared" si="50"/>
        <v>1522.6982181433152</v>
      </c>
      <c r="E117" s="395">
        <f t="shared" si="50"/>
        <v>2345.9938366155211</v>
      </c>
      <c r="F117" s="395">
        <f t="shared" si="50"/>
        <v>10.169032272686895</v>
      </c>
      <c r="G117" s="395">
        <f t="shared" si="50"/>
        <v>0.13615140962051039</v>
      </c>
      <c r="H117" s="395">
        <f t="shared" si="50"/>
        <v>196.54437126873506</v>
      </c>
      <c r="I117" s="395">
        <f t="shared" si="50"/>
        <v>1303.5690213986559</v>
      </c>
      <c r="J117" s="395">
        <f t="shared" si="50"/>
        <v>2973.3988800393399</v>
      </c>
      <c r="K117" s="395">
        <f t="shared" si="50"/>
        <v>110939.27797105932</v>
      </c>
      <c r="L117" s="395">
        <f t="shared" si="50"/>
        <v>89632.25124221656</v>
      </c>
      <c r="M117" s="395"/>
    </row>
    <row r="118" spans="1:30" ht="12.9" x14ac:dyDescent="0.35">
      <c r="A118" s="11"/>
      <c r="B118" s="56" t="s">
        <v>81</v>
      </c>
      <c r="C118" s="395">
        <f t="shared" ref="C118:L118" si="51">+(SUMPRODUCT(C45:C49,O9:O13)+SUMPRODUCT(C54:C56,O18:O20))*C100/1000</f>
        <v>175251.0650500042</v>
      </c>
      <c r="D118" s="395">
        <f t="shared" si="51"/>
        <v>1502.3748911827959</v>
      </c>
      <c r="E118" s="395">
        <f t="shared" si="51"/>
        <v>2297.2825718674276</v>
      </c>
      <c r="F118" s="395">
        <f t="shared" si="51"/>
        <v>9.5146035987006599</v>
      </c>
      <c r="G118" s="395">
        <f t="shared" si="51"/>
        <v>0.12418542908207071</v>
      </c>
      <c r="H118" s="395">
        <f t="shared" si="51"/>
        <v>184.54002170350327</v>
      </c>
      <c r="I118" s="395">
        <f t="shared" si="51"/>
        <v>2989.0037294715939</v>
      </c>
      <c r="J118" s="395">
        <f t="shared" si="51"/>
        <v>6835.1221466414108</v>
      </c>
      <c r="K118" s="395">
        <f t="shared" si="51"/>
        <v>82483.884736013861</v>
      </c>
      <c r="L118" s="395">
        <f t="shared" si="51"/>
        <v>71760.530958912728</v>
      </c>
      <c r="M118" s="395"/>
    </row>
    <row r="119" spans="1:30" ht="12.9" x14ac:dyDescent="0.35">
      <c r="A119" s="11"/>
      <c r="C119" s="393"/>
      <c r="D119" s="393"/>
      <c r="E119" s="393"/>
      <c r="F119" s="393"/>
      <c r="G119" s="393"/>
      <c r="H119" s="393"/>
      <c r="I119" s="393"/>
      <c r="J119" s="393"/>
      <c r="K119" s="393"/>
      <c r="L119" s="393"/>
      <c r="M119" s="393"/>
    </row>
    <row r="120" spans="1:30" ht="12.9" x14ac:dyDescent="0.35">
      <c r="A120" s="11"/>
      <c r="B120" s="4" t="s">
        <v>22</v>
      </c>
      <c r="C120" s="396">
        <f>+C112+C116</f>
        <v>634486.37130482681</v>
      </c>
      <c r="D120" s="396">
        <f t="shared" ref="D120:L120" si="52">+D112+D116</f>
        <v>3840.8236819999811</v>
      </c>
      <c r="E120" s="396">
        <f t="shared" si="52"/>
        <v>8409.6772012986294</v>
      </c>
      <c r="F120" s="396">
        <f t="shared" si="52"/>
        <v>26.879110062951884</v>
      </c>
      <c r="G120" s="396">
        <f t="shared" si="52"/>
        <v>0.40888651668842568</v>
      </c>
      <c r="H120" s="396">
        <f t="shared" si="52"/>
        <v>478.01026829180131</v>
      </c>
      <c r="I120" s="396">
        <f t="shared" si="52"/>
        <v>5682.2090549015866</v>
      </c>
      <c r="J120" s="396">
        <f t="shared" si="52"/>
        <v>12996.308502485443</v>
      </c>
      <c r="K120" s="396">
        <f t="shared" si="52"/>
        <v>305287.05031382828</v>
      </c>
      <c r="L120" s="396">
        <f t="shared" si="52"/>
        <v>249933.2755273717</v>
      </c>
      <c r="M120" s="396"/>
    </row>
    <row r="121" spans="1:30" ht="12.9" x14ac:dyDescent="0.35">
      <c r="A121" s="11"/>
    </row>
    <row r="122" spans="1:30" ht="12.9" x14ac:dyDescent="0.35">
      <c r="A122" s="11"/>
      <c r="B122" s="4" t="s">
        <v>83</v>
      </c>
      <c r="C122" s="395">
        <f>SUM(C120:L120)</f>
        <v>1221141.0138515839</v>
      </c>
      <c r="E122" s="397"/>
      <c r="F122" s="392"/>
    </row>
    <row r="123" spans="1:30" ht="12.9" x14ac:dyDescent="0.35">
      <c r="A123" s="11"/>
    </row>
    <row r="124" spans="1:30" ht="12.9" x14ac:dyDescent="0.35">
      <c r="A124" s="11"/>
    </row>
    <row r="125" spans="1:30" x14ac:dyDescent="0.3">
      <c r="A125" s="9" t="s">
        <v>70</v>
      </c>
      <c r="B125" s="7" t="s">
        <v>133</v>
      </c>
      <c r="C125" s="394"/>
      <c r="Q125" s="4" t="s">
        <v>144</v>
      </c>
      <c r="T125" s="4" t="s">
        <v>143</v>
      </c>
      <c r="W125" s="4" t="s">
        <v>145</v>
      </c>
      <c r="Z125" s="4" t="s">
        <v>147</v>
      </c>
    </row>
    <row r="126" spans="1:30" ht="12.9" x14ac:dyDescent="0.35">
      <c r="A126" s="11"/>
      <c r="B126" s="8" t="s">
        <v>236</v>
      </c>
      <c r="C126" s="394"/>
      <c r="W126" s="4" t="s">
        <v>146</v>
      </c>
      <c r="Z126" s="4" t="s">
        <v>148</v>
      </c>
      <c r="AC126" s="4" t="s">
        <v>149</v>
      </c>
    </row>
    <row r="127" spans="1:30" ht="12.9" x14ac:dyDescent="0.35">
      <c r="A127" s="11"/>
      <c r="B127" s="8" t="s">
        <v>40</v>
      </c>
      <c r="C127" s="394"/>
    </row>
    <row r="128" spans="1:30" ht="12.9" x14ac:dyDescent="0.35">
      <c r="A128" s="11"/>
      <c r="B128" s="7"/>
      <c r="C128" s="5" t="str">
        <f>+C7</f>
        <v>RS</v>
      </c>
      <c r="D128" s="5" t="str">
        <f t="shared" ref="D128:L128" si="53">+D7</f>
        <v>RHS</v>
      </c>
      <c r="E128" s="5" t="str">
        <f t="shared" si="53"/>
        <v>RLM</v>
      </c>
      <c r="F128" s="5" t="str">
        <f t="shared" si="53"/>
        <v>WH</v>
      </c>
      <c r="G128" s="5" t="str">
        <f t="shared" si="53"/>
        <v>WHS</v>
      </c>
      <c r="H128" s="5" t="str">
        <f t="shared" si="53"/>
        <v>HS</v>
      </c>
      <c r="I128" s="5" t="str">
        <f t="shared" si="53"/>
        <v>PSAL</v>
      </c>
      <c r="J128" s="5" t="str">
        <f t="shared" si="53"/>
        <v>BPL</v>
      </c>
      <c r="K128" s="5" t="str">
        <f t="shared" si="53"/>
        <v>GLP</v>
      </c>
      <c r="L128" s="5" t="str">
        <f t="shared" si="53"/>
        <v>LPL-S</v>
      </c>
      <c r="M128" s="5"/>
      <c r="O128" s="5"/>
      <c r="P128" s="5"/>
      <c r="Q128" s="5" t="str">
        <f>+E128</f>
        <v>RLM</v>
      </c>
      <c r="R128" s="5" t="str">
        <f>+L128</f>
        <v>LPL-S</v>
      </c>
      <c r="S128" s="5"/>
      <c r="T128" s="5" t="str">
        <f>+E128</f>
        <v>RLM</v>
      </c>
      <c r="U128" s="5" t="str">
        <f>+L128</f>
        <v>LPL-S</v>
      </c>
      <c r="V128" s="5"/>
      <c r="W128" s="5" t="str">
        <f>+E128</f>
        <v>RLM</v>
      </c>
      <c r="X128" s="5" t="str">
        <f>+L128</f>
        <v>LPL-S</v>
      </c>
      <c r="Z128" s="5" t="str">
        <f>+E128</f>
        <v>RLM</v>
      </c>
      <c r="AA128" s="5" t="str">
        <f>+L128</f>
        <v>LPL-S</v>
      </c>
      <c r="AC128" s="398" t="str">
        <f>+E128</f>
        <v>RLM</v>
      </c>
      <c r="AD128" s="5" t="str">
        <f>+L128</f>
        <v>LPL-S</v>
      </c>
    </row>
    <row r="129" spans="1:39" ht="12.9" x14ac:dyDescent="0.35">
      <c r="A129" s="11"/>
      <c r="C129" s="63"/>
    </row>
    <row r="130" spans="1:39" ht="12.9" x14ac:dyDescent="0.35">
      <c r="A130" s="11"/>
      <c r="B130" s="23" t="s">
        <v>23</v>
      </c>
      <c r="C130" s="392">
        <f t="shared" ref="C130:L130" si="54">+C112/SUM(C50:C53)*1000</f>
        <v>48.473308500436474</v>
      </c>
      <c r="D130" s="392">
        <f t="shared" si="54"/>
        <v>48.612667144497685</v>
      </c>
      <c r="E130" s="392">
        <f t="shared" si="54"/>
        <v>48.506271428188946</v>
      </c>
      <c r="F130" s="392">
        <f t="shared" si="54"/>
        <v>46.723858386781387</v>
      </c>
      <c r="G130" s="392">
        <f t="shared" si="54"/>
        <v>49.516559328614846</v>
      </c>
      <c r="H130" s="392">
        <f t="shared" si="54"/>
        <v>49.859059219623902</v>
      </c>
      <c r="I130" s="392">
        <f t="shared" si="54"/>
        <v>41.534994292116323</v>
      </c>
      <c r="J130" s="392">
        <f t="shared" si="54"/>
        <v>41.296863351185237</v>
      </c>
      <c r="K130" s="392">
        <f t="shared" si="54"/>
        <v>48.865478679138974</v>
      </c>
      <c r="L130" s="392">
        <f t="shared" si="54"/>
        <v>48.258586653158673</v>
      </c>
      <c r="M130" s="392"/>
    </row>
    <row r="131" spans="1:39" ht="12.9" x14ac:dyDescent="0.35">
      <c r="A131" s="11"/>
      <c r="B131" s="56" t="s">
        <v>84</v>
      </c>
      <c r="C131" s="395"/>
      <c r="E131" s="392">
        <f>+(E113*1000-W131*AVERAGE(E$95,E$96))/Q131</f>
        <v>58.163496767191695</v>
      </c>
      <c r="F131" s="392"/>
      <c r="G131" s="395"/>
      <c r="H131" s="395"/>
      <c r="I131" s="395"/>
      <c r="J131" s="395"/>
      <c r="K131" s="395"/>
      <c r="L131" s="392">
        <f>+(L113*1000-X131*AVERAGE(L$95,L$96))/R131</f>
        <v>57.485092627466138</v>
      </c>
      <c r="M131" s="392"/>
      <c r="N131" s="392"/>
      <c r="Q131" s="29">
        <f>SUMPRODUCT(E50:E53,E32:E35)</f>
        <v>37134.588616042514</v>
      </c>
      <c r="R131" s="29">
        <f>SUMPRODUCT(L50:L53,L32:L35)</f>
        <v>895537.69550416525</v>
      </c>
      <c r="T131" s="29">
        <f>SUMPRODUCT(E50:E53,E14:E17)</f>
        <v>41059.776047366016</v>
      </c>
      <c r="U131" s="29">
        <f>SUMPRODUCT(L50:L53,L14:L17)</f>
        <v>1009159.6442853149</v>
      </c>
      <c r="W131" s="29">
        <f>+T131-Q131</f>
        <v>3925.1874313235021</v>
      </c>
      <c r="X131" s="29">
        <f>+U131-R131</f>
        <v>113621.94878114969</v>
      </c>
      <c r="Z131" s="324">
        <f>+E131*Q131/1000</f>
        <v>2159.8775249201822</v>
      </c>
      <c r="AA131" s="324">
        <f>+L131*R131/1000</f>
        <v>51480.067377444502</v>
      </c>
    </row>
    <row r="132" spans="1:39" ht="15" x14ac:dyDescent="0.6">
      <c r="A132" s="11"/>
      <c r="B132" s="56" t="s">
        <v>85</v>
      </c>
      <c r="C132" s="392"/>
      <c r="D132" s="392"/>
      <c r="E132" s="392">
        <f>+(E114*1000-W132*AVERAGE(E$95,E$96))/Q132</f>
        <v>39.654395865284876</v>
      </c>
      <c r="F132" s="395"/>
      <c r="G132" s="395"/>
      <c r="H132" s="395"/>
      <c r="I132" s="395"/>
      <c r="J132" s="395"/>
      <c r="K132" s="395"/>
      <c r="L132" s="392">
        <f>+(L114*1000-X132*AVERAGE(L$95,L$96))/R132</f>
        <v>39.460747135554442</v>
      </c>
      <c r="M132" s="392"/>
      <c r="N132" s="392"/>
      <c r="Q132" s="29">
        <f>SUMPRODUCT(E50:E53,Q32:Q35)</f>
        <v>40513.119235335907</v>
      </c>
      <c r="R132" s="29">
        <f>SUMPRODUCT(L50:L53,X32:X35)</f>
        <v>939171.92752303951</v>
      </c>
      <c r="T132" s="29">
        <f>SUMPRODUCT(E50:E53,Q14:Q17)</f>
        <v>36587.931804012405</v>
      </c>
      <c r="U132" s="29">
        <f>SUMPRODUCT(L50:L53,X14:X17)</f>
        <v>825549.97874188982</v>
      </c>
      <c r="W132" s="29">
        <f>+T132-Q132</f>
        <v>-3925.1874313235021</v>
      </c>
      <c r="X132" s="29">
        <f>+U132-R132</f>
        <v>-113621.94878114969</v>
      </c>
      <c r="Z132" s="337">
        <f>+E132*Q132/1000</f>
        <v>1606.5232678954974</v>
      </c>
      <c r="AA132" s="337">
        <f>+L132*R132/1000</f>
        <v>37060.425948797929</v>
      </c>
    </row>
    <row r="133" spans="1:39" ht="12.9" x14ac:dyDescent="0.35">
      <c r="A133" s="11"/>
      <c r="C133" s="392"/>
      <c r="D133" s="392"/>
      <c r="E133" s="396"/>
      <c r="F133" s="396"/>
      <c r="G133" s="396"/>
      <c r="H133" s="396"/>
      <c r="I133" s="396"/>
      <c r="J133" s="396"/>
      <c r="K133" s="396"/>
      <c r="L133" s="396"/>
      <c r="M133" s="396"/>
      <c r="Q133" s="29"/>
      <c r="R133" s="29"/>
      <c r="T133" s="29"/>
      <c r="U133" s="29"/>
      <c r="W133" s="29"/>
      <c r="X133" s="29"/>
      <c r="Z133" s="324">
        <f>+Z132+Z131</f>
        <v>3766.4007928156798</v>
      </c>
      <c r="AA133" s="324">
        <f>+AA132+AA131</f>
        <v>88540.493326242431</v>
      </c>
      <c r="AC133" s="63">
        <f>+E112</f>
        <v>3766.4007928156798</v>
      </c>
      <c r="AD133" s="63">
        <f>+L112</f>
        <v>88540.493326242431</v>
      </c>
    </row>
    <row r="134" spans="1:39" ht="12.9" x14ac:dyDescent="0.35">
      <c r="A134" s="11"/>
      <c r="B134" s="23" t="s">
        <v>24</v>
      </c>
      <c r="C134" s="394">
        <f t="shared" ref="C134:L134" si="55">+C116/SUM(C45:C49,C54:C56)*1000</f>
        <v>49.30366261575324</v>
      </c>
      <c r="D134" s="394">
        <f t="shared" si="55"/>
        <v>51.522875729841026</v>
      </c>
      <c r="E134" s="394">
        <f t="shared" si="55"/>
        <v>49.149368727625472</v>
      </c>
      <c r="F134" s="394">
        <f t="shared" si="55"/>
        <v>48.964268336784954</v>
      </c>
      <c r="G134" s="394">
        <f t="shared" si="55"/>
        <v>52.067367740516218</v>
      </c>
      <c r="H134" s="394">
        <f t="shared" si="55"/>
        <v>52.13624948707978</v>
      </c>
      <c r="I134" s="394">
        <f t="shared" si="55"/>
        <v>48.300077086069457</v>
      </c>
      <c r="J134" s="394">
        <f t="shared" si="55"/>
        <v>48.080749734955965</v>
      </c>
      <c r="K134" s="394">
        <f t="shared" si="55"/>
        <v>49.069114394211546</v>
      </c>
      <c r="L134" s="394">
        <f t="shared" si="55"/>
        <v>48.912489115632866</v>
      </c>
      <c r="M134" s="394"/>
      <c r="Q134" s="29"/>
      <c r="R134" s="29"/>
      <c r="T134" s="29"/>
      <c r="U134" s="29"/>
      <c r="W134" s="29"/>
      <c r="X134" s="29"/>
      <c r="Z134" s="324"/>
      <c r="AA134" s="324"/>
      <c r="AC134" s="63"/>
    </row>
    <row r="135" spans="1:39" ht="12.9" x14ac:dyDescent="0.35">
      <c r="A135" s="11"/>
      <c r="B135" s="56" t="s">
        <v>84</v>
      </c>
      <c r="C135" s="395"/>
      <c r="D135" s="395"/>
      <c r="E135" s="392">
        <f>+(E117*1000-W135*AVERAGE(E$99,E$100))/Q135</f>
        <v>52.597116302548869</v>
      </c>
      <c r="F135" s="392"/>
      <c r="G135" s="392"/>
      <c r="H135" s="395"/>
      <c r="I135" s="395"/>
      <c r="J135" s="395"/>
      <c r="K135" s="395"/>
      <c r="L135" s="392">
        <f>+(L117*1000-X135*AVERAGE(L$99,L$100))/R135</f>
        <v>51.961644117532501</v>
      </c>
      <c r="M135" s="392"/>
      <c r="N135" s="392"/>
      <c r="Q135" s="29">
        <f>SUMPRODUCT(E45:E49,E27:E31)+SUMPRODUCT(E54:E56,E36:E38)</f>
        <v>40232.200221618754</v>
      </c>
      <c r="R135" s="29">
        <f>SUMPRODUCT(L45:L49,L27:L31)+SUMPRODUCT(L54:L56,L36:L38)</f>
        <v>1558600.5114884789</v>
      </c>
      <c r="T135" s="29">
        <f>SUMPRODUCT(E45:E49,E9:E13)+SUMPRODUCT(E54:E56,E18:E20)</f>
        <v>44895.790519077906</v>
      </c>
      <c r="U135" s="29">
        <f>SUMPRODUCT(L45:L49,L9:L13)+SUMPRODUCT(L54:L56,L18:L20)</f>
        <v>1735883.9070400055</v>
      </c>
      <c r="W135" s="29">
        <f>+T135-Q135</f>
        <v>4663.5902974591518</v>
      </c>
      <c r="X135" s="29">
        <f>+U135-R135</f>
        <v>177283.39555152669</v>
      </c>
      <c r="Z135" s="324">
        <f>+E135*Q135/1000</f>
        <v>2116.0977141639137</v>
      </c>
      <c r="AA135" s="324">
        <f>+L135*R135/1000</f>
        <v>80987.445099368473</v>
      </c>
      <c r="AC135" s="63"/>
    </row>
    <row r="136" spans="1:39" ht="15" x14ac:dyDescent="0.6">
      <c r="A136" s="11"/>
      <c r="B136" s="56" t="s">
        <v>85</v>
      </c>
      <c r="C136" s="395"/>
      <c r="D136" s="395"/>
      <c r="E136" s="392">
        <f>+(E118*1000-W136*AVERAGE(E$99,E$100))/Q136</f>
        <v>46.592048579996344</v>
      </c>
      <c r="F136" s="392"/>
      <c r="G136" s="392"/>
      <c r="H136" s="395"/>
      <c r="I136" s="395"/>
      <c r="J136" s="395"/>
      <c r="K136" s="395"/>
      <c r="L136" s="392">
        <f>+(L118*1000-X136*AVERAGE(L$99,L$100))/R136</f>
        <v>46.182820703345932</v>
      </c>
      <c r="M136" s="392"/>
      <c r="N136" s="392"/>
      <c r="Q136" s="29">
        <f>SUMPRODUCT(E45:E49,Q27:Q31)+SUMPRODUCT(E54:E56,Q36:Q38)</f>
        <v>54240.557591709854</v>
      </c>
      <c r="R136" s="29">
        <f>SUMPRODUCT(L45:L49,X27:X31)+SUMPRODUCT(L54:L56,X36:X38)</f>
        <v>1741022.6546845692</v>
      </c>
      <c r="T136" s="29">
        <f>SUMPRODUCT(E45:E49,Q9:Q13)+SUMPRODUCT(E54:E56,Q18:Q20)</f>
        <v>49576.967294250702</v>
      </c>
      <c r="U136" s="29">
        <f>SUMPRODUCT(L45:L49,X9:X13)+SUMPRODUCT(L54:L56,X18:X20)</f>
        <v>1563739.2591330423</v>
      </c>
      <c r="W136" s="29">
        <f>+T136-Q136</f>
        <v>-4663.5902974591518</v>
      </c>
      <c r="X136" s="29">
        <f>+U136-R136</f>
        <v>-177283.39555152692</v>
      </c>
      <c r="Z136" s="337">
        <f>+E136*Q136/1000</f>
        <v>2527.178694319035</v>
      </c>
      <c r="AA136" s="337">
        <f>+L136*R136/1000</f>
        <v>80405.337101760815</v>
      </c>
      <c r="AC136" s="63"/>
    </row>
    <row r="137" spans="1:39" ht="12.9" x14ac:dyDescent="0.35">
      <c r="A137" s="11"/>
      <c r="C137" s="393"/>
      <c r="D137" s="393"/>
      <c r="E137" s="393"/>
      <c r="F137" s="393"/>
      <c r="G137" s="393"/>
      <c r="H137" s="393"/>
      <c r="I137" s="393"/>
      <c r="J137" s="393"/>
      <c r="K137" s="393"/>
      <c r="L137" s="393"/>
      <c r="M137" s="393"/>
      <c r="Z137" s="324">
        <f>+Z136+Z135</f>
        <v>4643.2764084829487</v>
      </c>
      <c r="AA137" s="324">
        <f>+AA136+AA135</f>
        <v>161392.7822011293</v>
      </c>
      <c r="AC137" s="63">
        <f>+E116</f>
        <v>4643.2764084829487</v>
      </c>
      <c r="AD137" s="63">
        <f>+L116</f>
        <v>161392.78220112927</v>
      </c>
    </row>
    <row r="138" spans="1:39" ht="12.9" x14ac:dyDescent="0.35">
      <c r="A138" s="11"/>
      <c r="B138" s="4" t="s">
        <v>86</v>
      </c>
      <c r="C138" s="392">
        <f t="shared" ref="C138:L138" si="56">(C130*SUM(C50:C53)+C134*SUM(C45:C49,C54:C56))/C57</f>
        <v>48.94402972567125</v>
      </c>
      <c r="D138" s="392">
        <f t="shared" si="56"/>
        <v>50.876000314328678</v>
      </c>
      <c r="E138" s="392">
        <f t="shared" si="56"/>
        <v>48.859251971121154</v>
      </c>
      <c r="F138" s="392">
        <f t="shared" si="56"/>
        <v>48.343723134805551</v>
      </c>
      <c r="G138" s="392">
        <f t="shared" si="56"/>
        <v>51.110814586053202</v>
      </c>
      <c r="H138" s="392">
        <f t="shared" si="56"/>
        <v>51.657846325415072</v>
      </c>
      <c r="I138" s="392">
        <f t="shared" si="56"/>
        <v>46.449841043910624</v>
      </c>
      <c r="J138" s="392">
        <f t="shared" si="56"/>
        <v>46.218463839730873</v>
      </c>
      <c r="K138" s="392">
        <f t="shared" si="56"/>
        <v>48.9943010816353</v>
      </c>
      <c r="L138" s="392">
        <f t="shared" si="56"/>
        <v>48.678822699823961</v>
      </c>
      <c r="M138" s="392"/>
      <c r="AC138" s="63"/>
    </row>
    <row r="139" spans="1:39" ht="12.9" x14ac:dyDescent="0.35">
      <c r="A139" s="11"/>
      <c r="B139" s="4" t="s">
        <v>87</v>
      </c>
      <c r="C139" s="392">
        <f>+C122/SUM(C57:L57)*1000</f>
        <v>48.865442464311343</v>
      </c>
      <c r="T139" s="29"/>
      <c r="U139" s="29"/>
    </row>
    <row r="140" spans="1:39" ht="12.9" x14ac:dyDescent="0.35">
      <c r="A140" s="11"/>
      <c r="T140" s="29"/>
      <c r="U140" s="29"/>
    </row>
    <row r="141" spans="1:39" ht="12.9" x14ac:dyDescent="0.35">
      <c r="A141" s="11"/>
      <c r="T141" s="29"/>
      <c r="U141" s="29"/>
    </row>
    <row r="142" spans="1:39" x14ac:dyDescent="0.3">
      <c r="A142" s="9" t="s">
        <v>71</v>
      </c>
      <c r="B142" s="7" t="s">
        <v>158</v>
      </c>
      <c r="L142" s="5" t="s">
        <v>198</v>
      </c>
      <c r="T142" s="29"/>
      <c r="U142" s="29"/>
    </row>
    <row r="143" spans="1:39" ht="12.9" x14ac:dyDescent="0.35">
      <c r="A143" s="11"/>
      <c r="B143" s="8" t="str">
        <f>Input!B97</f>
        <v>Obligations - Peak Load shares eff 6/1/24, scaling factors eff 6/1/24, Transmission Loads eff 1/1/24; costs are market estimates</v>
      </c>
      <c r="L143" s="5" t="s">
        <v>303</v>
      </c>
      <c r="T143" s="29"/>
      <c r="U143" s="29"/>
    </row>
    <row r="144" spans="1:39" ht="12.9" x14ac:dyDescent="0.35">
      <c r="A144" s="11"/>
      <c r="B144" s="8" t="s">
        <v>77</v>
      </c>
      <c r="C144" s="5" t="str">
        <f>+C7</f>
        <v>RS</v>
      </c>
      <c r="D144" s="5" t="str">
        <f t="shared" ref="D144:L144" si="57">+D7</f>
        <v>RHS</v>
      </c>
      <c r="E144" s="5" t="str">
        <f t="shared" si="57"/>
        <v>RLM</v>
      </c>
      <c r="F144" s="5" t="str">
        <f t="shared" si="57"/>
        <v>WH</v>
      </c>
      <c r="G144" s="5" t="str">
        <f t="shared" si="57"/>
        <v>WHS</v>
      </c>
      <c r="H144" s="5" t="str">
        <f t="shared" si="57"/>
        <v>HS</v>
      </c>
      <c r="I144" s="5" t="str">
        <f t="shared" si="57"/>
        <v>PSAL</v>
      </c>
      <c r="J144" s="5" t="str">
        <f t="shared" si="57"/>
        <v>BPL</v>
      </c>
      <c r="K144" s="5" t="str">
        <f t="shared" si="57"/>
        <v>GLP</v>
      </c>
      <c r="L144" s="5" t="str">
        <f t="shared" si="57"/>
        <v>LPL-S</v>
      </c>
      <c r="M144" s="5"/>
      <c r="T144" s="29"/>
      <c r="U144" s="29"/>
      <c r="AD144" s="5" t="s">
        <v>0</v>
      </c>
      <c r="AE144" s="5" t="s">
        <v>1</v>
      </c>
      <c r="AF144" s="5" t="s">
        <v>2</v>
      </c>
      <c r="AG144" s="5" t="s">
        <v>3</v>
      </c>
      <c r="AH144" s="5" t="s">
        <v>4</v>
      </c>
      <c r="AI144" s="5" t="s">
        <v>6</v>
      </c>
      <c r="AJ144" s="5" t="s">
        <v>37</v>
      </c>
      <c r="AK144" s="5" t="s">
        <v>38</v>
      </c>
      <c r="AL144" s="5" t="s">
        <v>5</v>
      </c>
      <c r="AM144" s="5" t="s">
        <v>36</v>
      </c>
    </row>
    <row r="145" spans="1:39" ht="12.9" x14ac:dyDescent="0.35">
      <c r="A145" s="11"/>
      <c r="B145" s="8"/>
      <c r="C145" s="5"/>
      <c r="D145" s="5"/>
      <c r="E145" s="5"/>
      <c r="F145" s="5"/>
      <c r="G145" s="5"/>
      <c r="H145" s="5"/>
      <c r="I145" s="5"/>
      <c r="J145" s="5"/>
      <c r="K145" s="5"/>
      <c r="M145" s="5"/>
      <c r="R145" s="523"/>
      <c r="S145" s="523"/>
      <c r="T145" s="523"/>
      <c r="U145" s="523"/>
      <c r="V145" s="523"/>
      <c r="AC145" s="118" t="s">
        <v>304</v>
      </c>
      <c r="AD145" s="399">
        <f>Input!C101</f>
        <v>4373.7012211177444</v>
      </c>
      <c r="AE145" s="399">
        <f>Input!D101</f>
        <v>14.741968057168139</v>
      </c>
      <c r="AF145" s="399">
        <f>Input!E101</f>
        <v>62.308453294254917</v>
      </c>
      <c r="AG145" s="399">
        <f>Input!F101</f>
        <v>0</v>
      </c>
      <c r="AH145" s="399">
        <f>Input!G101</f>
        <v>0</v>
      </c>
      <c r="AI145" s="399">
        <f>Input!H101</f>
        <v>2.3291195765305455</v>
      </c>
      <c r="AJ145" s="399">
        <f>Input!I101</f>
        <v>0</v>
      </c>
      <c r="AK145" s="399">
        <f>Input!J101</f>
        <v>0</v>
      </c>
      <c r="AL145" s="399">
        <f>Input!K101</f>
        <v>1747.5279487439136</v>
      </c>
      <c r="AM145" s="399">
        <f>Input!L101</f>
        <v>1274.6135020427903</v>
      </c>
    </row>
    <row r="146" spans="1:39" ht="12.9" x14ac:dyDescent="0.35">
      <c r="A146" s="11"/>
      <c r="T146" s="328"/>
      <c r="AC146" s="33" t="s">
        <v>288</v>
      </c>
      <c r="AD146" s="399">
        <f>Input!C102</f>
        <v>4467.4395103739362</v>
      </c>
      <c r="AE146" s="399">
        <f>Input!D102</f>
        <v>15.121380698434363</v>
      </c>
      <c r="AF146" s="399">
        <f>Input!E102</f>
        <v>61.907096824438739</v>
      </c>
      <c r="AG146" s="399">
        <f>Input!F102</f>
        <v>0</v>
      </c>
      <c r="AH146" s="399">
        <f>Input!G102</f>
        <v>0</v>
      </c>
      <c r="AI146" s="399">
        <f>Input!H102</f>
        <v>2.3837579421471684</v>
      </c>
      <c r="AJ146" s="399">
        <f>Input!I102</f>
        <v>0</v>
      </c>
      <c r="AK146" s="399">
        <f>Input!J102</f>
        <v>0</v>
      </c>
      <c r="AL146" s="399">
        <f>Input!K102</f>
        <v>1765.8050466595644</v>
      </c>
      <c r="AM146" s="399">
        <f>Input!L102</f>
        <v>1272.2775071358039</v>
      </c>
    </row>
    <row r="147" spans="1:39" x14ac:dyDescent="0.3">
      <c r="A147" s="45"/>
      <c r="B147" s="4" t="s">
        <v>25</v>
      </c>
      <c r="C147" s="400">
        <f>ROUND(AD145*$AD$148*$AD$149,1)</f>
        <v>5468.3</v>
      </c>
      <c r="D147" s="400">
        <f t="shared" ref="D147:K147" si="58">ROUND(AE145*$AD$148*$AD$149,1)</f>
        <v>18.399999999999999</v>
      </c>
      <c r="E147" s="400">
        <f t="shared" si="58"/>
        <v>77.900000000000006</v>
      </c>
      <c r="F147" s="400">
        <f t="shared" si="58"/>
        <v>0</v>
      </c>
      <c r="G147" s="400">
        <f t="shared" si="58"/>
        <v>0</v>
      </c>
      <c r="H147" s="400">
        <f t="shared" si="58"/>
        <v>2.9</v>
      </c>
      <c r="I147" s="400">
        <f t="shared" si="58"/>
        <v>0</v>
      </c>
      <c r="J147" s="400">
        <f t="shared" si="58"/>
        <v>0</v>
      </c>
      <c r="K147" s="400">
        <f t="shared" si="58"/>
        <v>2184.9</v>
      </c>
      <c r="L147" s="400">
        <f>ROUND(AM145*$AD$148*$AD$149*(1-AE45),1)</f>
        <v>1131.9000000000001</v>
      </c>
      <c r="M147" s="46"/>
      <c r="R147" s="190"/>
      <c r="S147" s="118"/>
      <c r="T147" s="190"/>
      <c r="U147" s="401"/>
      <c r="V147" s="47"/>
    </row>
    <row r="148" spans="1:39" x14ac:dyDescent="0.3">
      <c r="A148" s="4"/>
      <c r="C148" s="402"/>
      <c r="D148" s="328"/>
      <c r="E148" s="328"/>
      <c r="F148" s="328"/>
      <c r="G148" s="328"/>
      <c r="H148" s="328"/>
      <c r="I148" s="328"/>
      <c r="J148" s="328"/>
      <c r="K148" s="328"/>
      <c r="L148" s="328"/>
      <c r="R148" s="190"/>
      <c r="S148" s="118"/>
      <c r="T148" s="190"/>
      <c r="U148" s="401"/>
      <c r="V148" s="47"/>
      <c r="AC148" s="33" t="s">
        <v>289</v>
      </c>
      <c r="AD148" s="403">
        <f>Input!C104</f>
        <v>1.1193161113506478</v>
      </c>
    </row>
    <row r="149" spans="1:39" x14ac:dyDescent="0.3">
      <c r="A149" s="45"/>
      <c r="B149" s="4" t="s">
        <v>26</v>
      </c>
      <c r="C149" s="400">
        <f>ROUND(AD146,1)</f>
        <v>4467.3999999999996</v>
      </c>
      <c r="D149" s="400">
        <f t="shared" ref="D149:K149" si="59">ROUND(AE146,1)</f>
        <v>15.1</v>
      </c>
      <c r="E149" s="400">
        <f t="shared" si="59"/>
        <v>61.9</v>
      </c>
      <c r="F149" s="400">
        <f t="shared" si="59"/>
        <v>0</v>
      </c>
      <c r="G149" s="400">
        <f t="shared" si="59"/>
        <v>0</v>
      </c>
      <c r="H149" s="400">
        <f t="shared" si="59"/>
        <v>2.4</v>
      </c>
      <c r="I149" s="400">
        <f t="shared" si="59"/>
        <v>0</v>
      </c>
      <c r="J149" s="400">
        <f t="shared" si="59"/>
        <v>0</v>
      </c>
      <c r="K149" s="400">
        <f t="shared" si="59"/>
        <v>1765.8</v>
      </c>
      <c r="L149" s="400">
        <f>ROUND(AM146*(1-AF45),1)</f>
        <v>903.7</v>
      </c>
      <c r="M149" s="46"/>
      <c r="R149" s="190"/>
      <c r="S149" s="118"/>
      <c r="T149" s="190"/>
      <c r="U149" s="401"/>
      <c r="V149" s="404"/>
      <c r="X149" s="4" t="str">
        <f>+Input!B105</f>
        <v>PJM June 1, 2024 (through May 31, 2025) Forecast Pool Requirement</v>
      </c>
      <c r="AD149" s="403">
        <f>Input!C105</f>
        <v>1.117</v>
      </c>
    </row>
    <row r="150" spans="1:39" x14ac:dyDescent="0.3">
      <c r="A150" s="4"/>
      <c r="C150" s="48"/>
      <c r="D150" s="48"/>
      <c r="E150" s="48"/>
      <c r="F150" s="48"/>
      <c r="G150" s="48"/>
      <c r="H150" s="48"/>
      <c r="I150" s="48"/>
      <c r="J150" s="48"/>
      <c r="K150" s="48"/>
      <c r="M150" s="48"/>
      <c r="V150" s="47"/>
    </row>
    <row r="151" spans="1:39" ht="12.9" x14ac:dyDescent="0.35">
      <c r="A151" s="11"/>
      <c r="B151" s="4" t="s">
        <v>110</v>
      </c>
      <c r="I151" s="48"/>
      <c r="K151" s="5"/>
      <c r="M151" s="48"/>
    </row>
    <row r="152" spans="1:39" ht="12.9" x14ac:dyDescent="0.35">
      <c r="A152" s="11"/>
      <c r="D152" s="33" t="s">
        <v>103</v>
      </c>
      <c r="E152" s="405">
        <v>122</v>
      </c>
      <c r="G152" s="33" t="s">
        <v>105</v>
      </c>
      <c r="H152" s="328">
        <v>4</v>
      </c>
      <c r="I152" s="48"/>
      <c r="M152" s="48"/>
    </row>
    <row r="153" spans="1:39" ht="12.9" x14ac:dyDescent="0.35">
      <c r="A153" s="11"/>
      <c r="D153" s="50" t="s">
        <v>104</v>
      </c>
      <c r="E153" s="314">
        <v>243</v>
      </c>
      <c r="G153" s="50" t="s">
        <v>106</v>
      </c>
      <c r="H153" s="328">
        <v>8</v>
      </c>
      <c r="I153" s="48"/>
      <c r="K153" s="309"/>
      <c r="L153" s="309"/>
      <c r="M153" s="48"/>
    </row>
    <row r="154" spans="1:39" ht="12.9" x14ac:dyDescent="0.35">
      <c r="A154" s="11"/>
      <c r="G154" s="33" t="s">
        <v>111</v>
      </c>
      <c r="H154" s="4">
        <f>+H152+H153</f>
        <v>12</v>
      </c>
      <c r="I154" s="48"/>
      <c r="J154" s="406"/>
      <c r="K154" s="309"/>
      <c r="L154" s="309"/>
      <c r="M154" s="48"/>
    </row>
    <row r="155" spans="1:39" ht="12.9" x14ac:dyDescent="0.35">
      <c r="A155" s="11"/>
      <c r="B155" s="328" t="s">
        <v>101</v>
      </c>
      <c r="C155" s="33" t="s">
        <v>179</v>
      </c>
      <c r="D155" s="407">
        <v>0</v>
      </c>
      <c r="E155" s="41" t="s">
        <v>30</v>
      </c>
      <c r="K155" s="408"/>
      <c r="L155" s="409"/>
    </row>
    <row r="156" spans="1:39" ht="12.9" x14ac:dyDescent="0.35">
      <c r="A156" s="11"/>
      <c r="B156" s="328"/>
      <c r="C156" s="33"/>
      <c r="D156" s="407"/>
      <c r="E156" s="41"/>
      <c r="K156" s="408"/>
      <c r="L156" s="409"/>
    </row>
    <row r="157" spans="1:39" ht="25.3" x14ac:dyDescent="0.35">
      <c r="A157" s="11"/>
      <c r="B157" s="328"/>
      <c r="D157" s="410" t="s">
        <v>378</v>
      </c>
      <c r="E157" s="410" t="s">
        <v>542</v>
      </c>
      <c r="F157" s="4" t="s">
        <v>379</v>
      </c>
      <c r="I157" s="309"/>
      <c r="K157" s="408"/>
      <c r="L157" s="409"/>
    </row>
    <row r="158" spans="1:39" ht="12.9" x14ac:dyDescent="0.35">
      <c r="A158" s="11"/>
      <c r="B158" s="328" t="s">
        <v>102</v>
      </c>
      <c r="C158" s="33" t="s">
        <v>150</v>
      </c>
      <c r="D158" s="309">
        <f>Input!E113</f>
        <v>51.85</v>
      </c>
      <c r="E158" s="309">
        <v>0</v>
      </c>
      <c r="F158" s="411">
        <f>SUM(D158:E158)</f>
        <v>51.85</v>
      </c>
      <c r="G158" s="41" t="s">
        <v>98</v>
      </c>
      <c r="K158" s="412"/>
    </row>
    <row r="159" spans="1:39" ht="12.9" x14ac:dyDescent="0.35">
      <c r="A159" s="11"/>
      <c r="C159" s="33" t="s">
        <v>151</v>
      </c>
      <c r="D159" s="309">
        <f>Input!E114</f>
        <v>51.85</v>
      </c>
      <c r="E159" s="309">
        <v>0</v>
      </c>
      <c r="F159" s="411">
        <f>SUM(D159:E159)</f>
        <v>51.85</v>
      </c>
      <c r="G159" s="41" t="s">
        <v>98</v>
      </c>
      <c r="Q159" s="33" t="s">
        <v>100</v>
      </c>
    </row>
    <row r="160" spans="1:39" ht="12.9" x14ac:dyDescent="0.35">
      <c r="A160" s="11"/>
      <c r="E160" s="57"/>
      <c r="F160" s="328"/>
      <c r="G160" s="328"/>
      <c r="H160" s="328"/>
      <c r="I160" s="328"/>
      <c r="J160" s="328"/>
      <c r="P160" s="33" t="s">
        <v>107</v>
      </c>
      <c r="Q160" s="413">
        <f>(F158*E152+F159*E153)/1000</f>
        <v>18.925249999999998</v>
      </c>
      <c r="R160" s="4" t="s">
        <v>99</v>
      </c>
    </row>
    <row r="161" spans="1:18" x14ac:dyDescent="0.3">
      <c r="A161" s="9"/>
      <c r="C161" s="5" t="str">
        <f>+C7</f>
        <v>RS</v>
      </c>
      <c r="D161" s="5" t="str">
        <f>+D7</f>
        <v>RHS</v>
      </c>
      <c r="F161" s="328"/>
      <c r="G161" s="328"/>
      <c r="H161" s="328"/>
      <c r="I161" s="328"/>
      <c r="J161" s="414"/>
    </row>
    <row r="162" spans="1:18" x14ac:dyDescent="0.3">
      <c r="A162" s="9"/>
      <c r="B162" s="352" t="s">
        <v>186</v>
      </c>
      <c r="C162" s="352"/>
      <c r="D162" s="352"/>
      <c r="F162" s="328"/>
      <c r="G162" s="328"/>
      <c r="H162" s="328"/>
      <c r="I162" s="328"/>
      <c r="J162" s="414"/>
      <c r="K162" s="393"/>
    </row>
    <row r="163" spans="1:18" ht="12.9" x14ac:dyDescent="0.35">
      <c r="A163" s="9"/>
      <c r="B163" s="414" t="s">
        <v>160</v>
      </c>
      <c r="C163" s="374">
        <f>ROUND(Q165/Q167,3)</f>
        <v>0.64600000000000002</v>
      </c>
      <c r="D163" s="374">
        <f>ROUND(R165/R167,3)</f>
        <v>0.66100000000000003</v>
      </c>
      <c r="F163" s="8" t="s">
        <v>496</v>
      </c>
      <c r="G163" s="415"/>
      <c r="H163" s="416"/>
      <c r="I163" s="416"/>
      <c r="J163" s="414"/>
      <c r="K163" s="393"/>
      <c r="P163" s="49" t="s">
        <v>502</v>
      </c>
    </row>
    <row r="164" spans="1:18" x14ac:dyDescent="0.3">
      <c r="A164" s="9"/>
      <c r="B164" s="414" t="s">
        <v>185</v>
      </c>
      <c r="C164" s="374">
        <f>1-C163</f>
        <v>0.35399999999999998</v>
      </c>
      <c r="D164" s="374">
        <f>1-D163</f>
        <v>0.33899999999999997</v>
      </c>
      <c r="F164" s="328"/>
      <c r="H164" s="328"/>
      <c r="I164" s="328"/>
      <c r="J164" s="414"/>
      <c r="K164" s="393"/>
      <c r="N164" s="190"/>
      <c r="Q164" s="4" t="s">
        <v>0</v>
      </c>
      <c r="R164" s="4" t="s">
        <v>1</v>
      </c>
    </row>
    <row r="165" spans="1:18" x14ac:dyDescent="0.3">
      <c r="A165" s="9"/>
      <c r="F165" s="328"/>
      <c r="H165" s="328"/>
      <c r="I165" s="328"/>
      <c r="J165" s="414"/>
      <c r="K165" s="393"/>
      <c r="P165" s="4" t="s">
        <v>285</v>
      </c>
      <c r="Q165" s="417">
        <v>3528124</v>
      </c>
      <c r="R165" s="417">
        <v>19973</v>
      </c>
    </row>
    <row r="166" spans="1:18" ht="12.9" x14ac:dyDescent="0.35">
      <c r="A166" s="9"/>
      <c r="B166" s="414" t="s">
        <v>184</v>
      </c>
      <c r="C166" s="313">
        <f>Input!C119</f>
        <v>0.86519999999999975</v>
      </c>
      <c r="D166" s="313">
        <f>Input!D119</f>
        <v>1.1569000000000003</v>
      </c>
      <c r="E166" s="328" t="s">
        <v>161</v>
      </c>
      <c r="F166" s="52" t="s">
        <v>187</v>
      </c>
      <c r="I166" s="328"/>
      <c r="J166" s="414"/>
      <c r="K166" s="393"/>
      <c r="P166" s="4" t="s">
        <v>286</v>
      </c>
      <c r="Q166" s="418">
        <v>1931618</v>
      </c>
      <c r="R166" s="418">
        <v>10227</v>
      </c>
    </row>
    <row r="167" spans="1:18" x14ac:dyDescent="0.3">
      <c r="A167" s="9"/>
      <c r="F167" s="328"/>
      <c r="H167" s="328"/>
      <c r="I167" s="328"/>
      <c r="J167" s="414"/>
      <c r="K167" s="393"/>
      <c r="P167" s="4" t="s">
        <v>287</v>
      </c>
      <c r="Q167" s="417">
        <f>SUM(Q165:Q166)</f>
        <v>5459742</v>
      </c>
      <c r="R167" s="417">
        <f>SUM(R165:R166)</f>
        <v>30200</v>
      </c>
    </row>
    <row r="168" spans="1:18" x14ac:dyDescent="0.3">
      <c r="A168" s="9" t="s">
        <v>72</v>
      </c>
      <c r="B168" s="7" t="s">
        <v>481</v>
      </c>
      <c r="F168" s="328"/>
      <c r="H168" s="328"/>
      <c r="I168" s="328"/>
      <c r="J168" s="414"/>
      <c r="K168" s="393"/>
      <c r="Q168" s="417"/>
      <c r="R168" s="417"/>
    </row>
    <row r="169" spans="1:18" x14ac:dyDescent="0.3">
      <c r="A169" s="4"/>
      <c r="B169" s="330" t="s">
        <v>482</v>
      </c>
      <c r="C169" s="328"/>
      <c r="D169" s="309">
        <f>+Input!D123</f>
        <v>2</v>
      </c>
      <c r="E169" s="328"/>
      <c r="F169" s="328"/>
      <c r="G169" s="328"/>
      <c r="H169" s="328"/>
      <c r="I169" s="328"/>
      <c r="J169" s="328"/>
    </row>
    <row r="170" spans="1:18" x14ac:dyDescent="0.3">
      <c r="A170" s="9"/>
      <c r="B170" s="330" t="s">
        <v>483</v>
      </c>
      <c r="D170" s="309">
        <f>+Input!D124</f>
        <v>22.640000000000004</v>
      </c>
      <c r="I170" s="328"/>
      <c r="J170" s="328"/>
    </row>
    <row r="171" spans="1:18" ht="12.9" x14ac:dyDescent="0.35">
      <c r="A171" s="11"/>
      <c r="B171" s="330" t="s">
        <v>484</v>
      </c>
      <c r="D171" s="256">
        <f>SUM(D169:D170)</f>
        <v>24.640000000000004</v>
      </c>
      <c r="E171" s="41" t="s">
        <v>142</v>
      </c>
    </row>
    <row r="172" spans="1:18" ht="12.9" x14ac:dyDescent="0.35">
      <c r="A172" s="11"/>
      <c r="B172" s="8"/>
      <c r="F172" s="41"/>
    </row>
    <row r="173" spans="1:18" ht="12.9" x14ac:dyDescent="0.35">
      <c r="A173" s="11"/>
      <c r="B173" s="7"/>
      <c r="E173" s="419"/>
      <c r="F173" s="41"/>
    </row>
    <row r="174" spans="1:18" x14ac:dyDescent="0.3">
      <c r="A174" s="9" t="s">
        <v>74</v>
      </c>
      <c r="B174" s="7" t="s">
        <v>139</v>
      </c>
    </row>
    <row r="175" spans="1:18" x14ac:dyDescent="0.3">
      <c r="A175" s="9"/>
      <c r="B175" s="7"/>
    </row>
    <row r="176" spans="1:18" x14ac:dyDescent="0.3">
      <c r="A176" s="9"/>
      <c r="B176" s="7"/>
      <c r="C176" s="5" t="str">
        <f t="shared" ref="C176:J176" si="60">+C7</f>
        <v>RS</v>
      </c>
      <c r="D176" s="5" t="str">
        <f t="shared" si="60"/>
        <v>RHS</v>
      </c>
      <c r="E176" s="5" t="str">
        <f t="shared" si="60"/>
        <v>RLM</v>
      </c>
      <c r="F176" s="5" t="str">
        <f t="shared" si="60"/>
        <v>WH</v>
      </c>
      <c r="G176" s="5" t="str">
        <f t="shared" si="60"/>
        <v>WHS</v>
      </c>
      <c r="H176" s="5" t="str">
        <f t="shared" si="60"/>
        <v>HS</v>
      </c>
      <c r="I176" s="5" t="str">
        <f t="shared" si="60"/>
        <v>PSAL</v>
      </c>
      <c r="J176" s="5" t="str">
        <f t="shared" si="60"/>
        <v>BPL</v>
      </c>
    </row>
    <row r="177" spans="1:13" x14ac:dyDescent="0.3">
      <c r="A177" s="9"/>
      <c r="B177" s="7"/>
    </row>
    <row r="178" spans="1:13" ht="12.9" x14ac:dyDescent="0.35">
      <c r="A178" s="11"/>
      <c r="B178" s="33" t="s">
        <v>118</v>
      </c>
      <c r="C178" s="413">
        <f>(+$D$155*C149*$H$154/12)/C57</f>
        <v>0</v>
      </c>
      <c r="D178" s="413">
        <f>(+$D$155*D149*$H$154/12)/D57</f>
        <v>0</v>
      </c>
      <c r="E178" s="413">
        <f>(+$D$155*E149*$H$154/12)/SUMPRODUCT(E27:E38,E45:E56)</f>
        <v>0</v>
      </c>
      <c r="F178" s="413">
        <f>(+$D$155*F149*$H$154/12)/F57</f>
        <v>0</v>
      </c>
      <c r="G178" s="413">
        <f>(+$D$155*G149*$H$154/12)/G57</f>
        <v>0</v>
      </c>
      <c r="H178" s="413">
        <f>(+$D$155*H149*$H$154/12)/H57</f>
        <v>0</v>
      </c>
      <c r="I178" s="413">
        <f>(+$D$155*I149*$H$154/12)/I57</f>
        <v>0</v>
      </c>
      <c r="J178" s="413">
        <f>(+$D$155*J149*$H$154/12)/J57</f>
        <v>0</v>
      </c>
      <c r="K178" s="413"/>
      <c r="L178" s="413"/>
      <c r="M178" s="413"/>
    </row>
    <row r="179" spans="1:13" ht="12.9" x14ac:dyDescent="0.35">
      <c r="A179" s="11"/>
      <c r="B179" s="33"/>
      <c r="C179" s="413"/>
      <c r="D179" s="413"/>
      <c r="E179" s="413"/>
      <c r="F179" s="413"/>
      <c r="G179" s="413"/>
      <c r="H179" s="413"/>
      <c r="I179" s="413"/>
      <c r="J179" s="413"/>
      <c r="K179" s="413"/>
      <c r="L179" s="413"/>
      <c r="M179" s="413"/>
    </row>
    <row r="180" spans="1:13" ht="12.9" x14ac:dyDescent="0.35">
      <c r="A180" s="11"/>
      <c r="B180" s="33" t="s">
        <v>152</v>
      </c>
      <c r="K180" s="413"/>
      <c r="L180" s="413"/>
      <c r="M180" s="413"/>
    </row>
    <row r="181" spans="1:13" x14ac:dyDescent="0.3">
      <c r="A181" s="9"/>
      <c r="B181" s="414" t="s">
        <v>153</v>
      </c>
      <c r="C181" s="392">
        <f>((+$Q$160*C147*1000)/C57)</f>
        <v>7.9830965780093699</v>
      </c>
      <c r="D181" s="392">
        <f>((+$Q$160*D147*1000)/D57)</f>
        <v>4.612623834331238</v>
      </c>
      <c r="E181" s="392">
        <f>(+$Q$160*E147*1000)/SUMPRODUCT(E45:E56,E27:E38)</f>
        <v>19.055682640434718</v>
      </c>
      <c r="F181" s="392">
        <f>((+$Q$160*F147*1000)/F57)</f>
        <v>0</v>
      </c>
      <c r="G181" s="392">
        <f>((+$Q$160*G147*1000)/G57)</f>
        <v>0</v>
      </c>
      <c r="H181" s="392">
        <f>((+$Q$160*H147*1000)/H57)</f>
        <v>5.9311470714316581</v>
      </c>
      <c r="I181" s="392">
        <f>((+$Q$160*I147*1000)/I57)</f>
        <v>0</v>
      </c>
      <c r="J181" s="392">
        <f>((+$Q$160*J147*1000)/J57)</f>
        <v>0</v>
      </c>
      <c r="K181" s="413"/>
      <c r="L181" s="413"/>
      <c r="M181" s="413"/>
    </row>
    <row r="182" spans="1:13" ht="12.9" x14ac:dyDescent="0.35">
      <c r="A182" s="11"/>
      <c r="B182" s="33" t="s">
        <v>154</v>
      </c>
      <c r="C182" s="420">
        <f>(C147*$F$158*$E$152)/SUM(C50:C53)</f>
        <v>6.1608734608429652</v>
      </c>
      <c r="D182" s="420">
        <f>(D147*$F$158*$E$152)/SUM(D50:D53)</f>
        <v>6.9361499985014996</v>
      </c>
      <c r="E182" s="420">
        <f>(E147*$F$158*$E$152)/SUMPRODUCT(E50:E53,E32:E35)</f>
        <v>13.269893335700441</v>
      </c>
      <c r="F182" s="420">
        <f>(F147*$F$158*$E$152)/SUM(F50:F53)</f>
        <v>0</v>
      </c>
      <c r="G182" s="420">
        <f>(G147*$F$158*$E$152)/SUM(G50:G53)</f>
        <v>0</v>
      </c>
      <c r="H182" s="420">
        <f>(H147*$F$158*$E$152)/SUM(H50:H53)</f>
        <v>9.4364998470285819</v>
      </c>
      <c r="I182" s="420">
        <f>(I147*$F$158*$E$152)/SUM(I50:I53)</f>
        <v>0</v>
      </c>
      <c r="J182" s="420">
        <f>(J147*$F$158*$E$152)/SUM(J50:J53)</f>
        <v>0</v>
      </c>
      <c r="K182" s="413"/>
      <c r="L182" s="413"/>
      <c r="M182" s="413"/>
    </row>
    <row r="183" spans="1:13" ht="12.9" x14ac:dyDescent="0.35">
      <c r="A183" s="11"/>
      <c r="B183" s="33" t="s">
        <v>155</v>
      </c>
      <c r="C183" s="413">
        <f>(C147*$F$159*$E$153)/SUM(C45:C49,C54:C56)</f>
        <v>9.3752822940324343</v>
      </c>
      <c r="D183" s="413">
        <f>(D147*$F$159*$E$153)/SUM(D45:D49,D54:D56)</f>
        <v>3.9485448675507153</v>
      </c>
      <c r="E183" s="413">
        <f>(E147*$F$159*$E$153)/(SUMPRODUCT(E45:E49,E27:E31)+SUMPRODUCT(E54:E56,E36:E38))</f>
        <v>24.396004682651903</v>
      </c>
      <c r="F183" s="413">
        <f>(F147*$F$159*$E$153)/SUM(F45:F49,F54:F56)</f>
        <v>0</v>
      </c>
      <c r="G183" s="413">
        <f>(G147*$F$159*$E$153)/SUM(G45:G49,G54:G56)</f>
        <v>0</v>
      </c>
      <c r="H183" s="413">
        <f>(H147*$F$159*$E$153)/SUM(H45:H49,H54:H56)</f>
        <v>4.9988678455039519</v>
      </c>
      <c r="I183" s="413">
        <f>(I147*$F$159*$E$153)/SUM(I45:I49,I54:I56)</f>
        <v>0</v>
      </c>
      <c r="J183" s="413">
        <f>(J147*$F$159*$E$153)/SUM(J45:J49,J54:J56)</f>
        <v>0</v>
      </c>
      <c r="K183" s="413"/>
      <c r="L183" s="413"/>
      <c r="M183" s="413"/>
    </row>
    <row r="184" spans="1:13" ht="12.9" x14ac:dyDescent="0.35">
      <c r="A184" s="11"/>
      <c r="E184" s="421" t="s">
        <v>156</v>
      </c>
      <c r="F184" s="413"/>
      <c r="G184" s="413"/>
      <c r="H184" s="413"/>
      <c r="K184" s="413"/>
      <c r="L184" s="413"/>
      <c r="M184" s="413"/>
    </row>
    <row r="185" spans="1:13" ht="12.9" x14ac:dyDescent="0.35">
      <c r="A185" s="11"/>
      <c r="E185" s="421" t="s">
        <v>157</v>
      </c>
      <c r="F185" s="413"/>
      <c r="G185" s="413"/>
      <c r="H185" s="413"/>
      <c r="K185" s="413"/>
      <c r="L185" s="413"/>
      <c r="M185" s="413"/>
    </row>
    <row r="186" spans="1:13" ht="12.9" x14ac:dyDescent="0.35">
      <c r="A186" s="11"/>
    </row>
    <row r="187" spans="1:13" x14ac:dyDescent="0.3">
      <c r="A187" s="9" t="s">
        <v>73</v>
      </c>
      <c r="B187" s="7" t="s">
        <v>134</v>
      </c>
    </row>
    <row r="188" spans="1:13" ht="12.9" x14ac:dyDescent="0.35">
      <c r="A188" s="11"/>
      <c r="B188" s="7"/>
      <c r="K188" s="422"/>
    </row>
    <row r="189" spans="1:13" ht="12.9" x14ac:dyDescent="0.35">
      <c r="A189" s="11"/>
      <c r="B189" s="7" t="s">
        <v>41</v>
      </c>
    </row>
    <row r="190" spans="1:13" ht="12.9" x14ac:dyDescent="0.35">
      <c r="A190" s="11"/>
      <c r="B190" s="8" t="s">
        <v>509</v>
      </c>
    </row>
    <row r="191" spans="1:13" ht="12.9" x14ac:dyDescent="0.35">
      <c r="A191" s="11"/>
      <c r="B191" s="8" t="s">
        <v>40</v>
      </c>
    </row>
    <row r="192" spans="1:13" ht="12.9" x14ac:dyDescent="0.35">
      <c r="A192" s="11"/>
      <c r="C192" s="5" t="str">
        <f t="shared" ref="C192:J192" si="61">+C7</f>
        <v>RS</v>
      </c>
      <c r="D192" s="5" t="str">
        <f t="shared" si="61"/>
        <v>RHS</v>
      </c>
      <c r="E192" s="5" t="str">
        <f t="shared" si="61"/>
        <v>RLM</v>
      </c>
      <c r="F192" s="5" t="str">
        <f t="shared" si="61"/>
        <v>WH</v>
      </c>
      <c r="G192" s="5" t="str">
        <f t="shared" si="61"/>
        <v>WHS</v>
      </c>
      <c r="H192" s="5" t="str">
        <f t="shared" si="61"/>
        <v>HS</v>
      </c>
      <c r="I192" s="5" t="str">
        <f t="shared" si="61"/>
        <v>PSAL</v>
      </c>
      <c r="J192" s="5" t="str">
        <f t="shared" si="61"/>
        <v>BPL</v>
      </c>
    </row>
    <row r="193" spans="1:11" ht="12.9" x14ac:dyDescent="0.35">
      <c r="A193" s="11"/>
      <c r="C193" s="5"/>
      <c r="D193" s="5"/>
      <c r="E193" s="392"/>
      <c r="F193" s="5"/>
      <c r="G193" s="5"/>
    </row>
    <row r="194" spans="1:11" ht="12.9" x14ac:dyDescent="0.35">
      <c r="A194" s="11"/>
      <c r="B194" s="23" t="s">
        <v>23</v>
      </c>
      <c r="C194" s="392">
        <f>+C130+($D$171*C80)+C$178+C181</f>
        <v>82.742455638445847</v>
      </c>
      <c r="D194" s="392">
        <f>+D130+($D$171*D80)+D$178+D181</f>
        <v>79.51134153882893</v>
      </c>
      <c r="E194" s="392"/>
      <c r="F194" s="392">
        <f>+F130+($D$171*F80)+F$178+F181</f>
        <v>73.009908946781394</v>
      </c>
      <c r="G194" s="392">
        <f>+G130+($D$171*G80)+G$178+G181</f>
        <v>75.802609888614853</v>
      </c>
      <c r="H194" s="392">
        <f>+H130+($D$171*H80)+H$178+H181</f>
        <v>82.076256851055561</v>
      </c>
      <c r="I194" s="392">
        <f>+I130+($D$171*I80)+I$178+I181</f>
        <v>67.82104485211633</v>
      </c>
      <c r="J194" s="392">
        <f>+J130+($D$171*J80)+J$178+J181</f>
        <v>67.582913911185244</v>
      </c>
      <c r="K194" s="392"/>
    </row>
    <row r="195" spans="1:11" ht="12.9" x14ac:dyDescent="0.35">
      <c r="A195" s="11"/>
      <c r="B195" s="56" t="s">
        <v>84</v>
      </c>
      <c r="C195" s="392"/>
      <c r="D195" s="392"/>
      <c r="E195" s="392">
        <f>+E131+($D$171*E80)+E$178+E181</f>
        <v>103.50522996762643</v>
      </c>
      <c r="F195" s="392"/>
      <c r="G195" s="392"/>
      <c r="H195" s="392"/>
      <c r="I195" s="392"/>
      <c r="J195" s="392"/>
    </row>
    <row r="196" spans="1:11" ht="12.9" x14ac:dyDescent="0.35">
      <c r="A196" s="11"/>
      <c r="B196" s="56" t="s">
        <v>85</v>
      </c>
      <c r="C196" s="392"/>
      <c r="D196" s="392"/>
      <c r="E196" s="392">
        <f>+E132+($D$171*E80)</f>
        <v>65.940446425284875</v>
      </c>
      <c r="F196" s="392"/>
      <c r="G196" s="392"/>
      <c r="H196" s="392"/>
      <c r="I196" s="392"/>
      <c r="J196" s="392"/>
    </row>
    <row r="197" spans="1:11" ht="12.9" x14ac:dyDescent="0.35">
      <c r="A197" s="11"/>
      <c r="B197" s="414" t="s">
        <v>160</v>
      </c>
      <c r="C197" s="392">
        <f>(C194*SUM(C50:C53)-C166*10*C164*SUM(C50:C53))/SUM(C50:C53)</f>
        <v>79.679647638445843</v>
      </c>
      <c r="D197" s="392">
        <f>(D194*SUM(D50:D53)-D166*10*D164*SUM(D50:D53))/SUM(D50:D53)</f>
        <v>75.589450538828942</v>
      </c>
      <c r="E197" s="392"/>
      <c r="F197" s="392"/>
      <c r="G197" s="392"/>
      <c r="H197" s="392"/>
      <c r="I197" s="392"/>
      <c r="J197" s="392"/>
    </row>
    <row r="198" spans="1:11" ht="12.9" x14ac:dyDescent="0.35">
      <c r="A198" s="11"/>
      <c r="B198" s="414" t="s">
        <v>159</v>
      </c>
      <c r="C198" s="392">
        <f>+C197+C166*10</f>
        <v>88.331647638445844</v>
      </c>
      <c r="D198" s="392">
        <f>+D197+D166*10</f>
        <v>87.158450538828944</v>
      </c>
      <c r="E198" s="392"/>
      <c r="F198" s="392"/>
      <c r="G198" s="392"/>
      <c r="H198" s="392"/>
      <c r="I198" s="392"/>
      <c r="J198" s="392"/>
    </row>
    <row r="199" spans="1:11" ht="12.9" x14ac:dyDescent="0.35">
      <c r="A199" s="11"/>
      <c r="C199" s="392"/>
      <c r="D199" s="392"/>
      <c r="E199" s="392"/>
      <c r="F199" s="392"/>
      <c r="G199" s="392"/>
      <c r="H199" s="392"/>
      <c r="I199" s="392"/>
      <c r="J199" s="392"/>
    </row>
    <row r="200" spans="1:11" ht="12.9" x14ac:dyDescent="0.35">
      <c r="A200" s="11"/>
      <c r="B200" s="23" t="s">
        <v>24</v>
      </c>
      <c r="C200" s="392">
        <f>+C134+($D$171*C80)+C$178+C181</f>
        <v>83.572809753762613</v>
      </c>
      <c r="D200" s="392">
        <f>+D134+($D$171*D80)+D$178+D181</f>
        <v>82.421550124172256</v>
      </c>
      <c r="E200" s="392"/>
      <c r="F200" s="392">
        <f>+F134+($D$171*F80)+F$178+F181</f>
        <v>75.250318896784961</v>
      </c>
      <c r="G200" s="392">
        <f>+G134+($D$171*G80)+G$178+G181</f>
        <v>78.353418300516225</v>
      </c>
      <c r="H200" s="392">
        <f>+H134+($D$171*H80)+H$178+H181</f>
        <v>84.35344711851144</v>
      </c>
      <c r="I200" s="392">
        <f>+I134+($D$171*I80)+I$178+I181</f>
        <v>74.586127646069457</v>
      </c>
      <c r="J200" s="392">
        <f>+J134+($D$171*J80)+J$178+J181</f>
        <v>74.366800294955965</v>
      </c>
      <c r="K200" s="392"/>
    </row>
    <row r="201" spans="1:11" ht="12.9" x14ac:dyDescent="0.35">
      <c r="A201" s="11"/>
      <c r="B201" s="56" t="s">
        <v>84</v>
      </c>
      <c r="C201" s="392"/>
      <c r="D201" s="392"/>
      <c r="E201" s="392">
        <f>+E135+($D$171*E80)+E$178+E181</f>
        <v>97.938849502983601</v>
      </c>
      <c r="F201" s="392"/>
      <c r="G201" s="392"/>
      <c r="H201" s="392"/>
      <c r="I201" s="392"/>
      <c r="J201" s="392"/>
    </row>
    <row r="202" spans="1:11" ht="12.9" x14ac:dyDescent="0.35">
      <c r="A202" s="11"/>
      <c r="B202" s="56" t="s">
        <v>85</v>
      </c>
      <c r="C202" s="392"/>
      <c r="D202" s="392"/>
      <c r="E202" s="392">
        <f>+E136+($D$171*E80)</f>
        <v>72.878099139996351</v>
      </c>
      <c r="F202" s="392"/>
      <c r="G202" s="392"/>
      <c r="H202" s="392"/>
      <c r="I202" s="392"/>
      <c r="J202" s="392"/>
    </row>
    <row r="203" spans="1:11" ht="12.9" x14ac:dyDescent="0.35">
      <c r="A203" s="11"/>
      <c r="C203" s="392"/>
      <c r="D203" s="392"/>
      <c r="E203" s="392"/>
      <c r="F203" s="392"/>
      <c r="G203" s="392"/>
      <c r="H203" s="392"/>
      <c r="I203" s="392"/>
      <c r="J203" s="392"/>
    </row>
    <row r="204" spans="1:11" ht="12.9" x14ac:dyDescent="0.35">
      <c r="A204" s="11"/>
      <c r="B204" s="4" t="s">
        <v>112</v>
      </c>
      <c r="C204" s="392">
        <f>+C138+($D$171*C80)+C$178+C181</f>
        <v>83.213176863680616</v>
      </c>
      <c r="D204" s="392">
        <f>+D138+($D$171*D80)+D$178+D181</f>
        <v>81.774674708659916</v>
      </c>
      <c r="E204" s="392">
        <f>((E195*SUMPRODUCT(E32:E35,E50:E53)+E196*SUMPRODUCT(Q32:Q35,E50:E53))+(E201*(SUMPRODUCT(E27:E31,E45:E49)+SUMPRODUCT(E36:E38,E54:E56))+E202*(SUMPRODUCT(Q27:Q31,E45:E49)+SUMPRODUCT(Q36:Q38,E54:E56))))/E57</f>
        <v>83.710681257622582</v>
      </c>
      <c r="F204" s="392">
        <f>+F138+($D$171*F80)+F$178+F181</f>
        <v>74.62977369480555</v>
      </c>
      <c r="G204" s="392">
        <f>+G138+($D$171*G80)+G$178+G181</f>
        <v>77.396865146053216</v>
      </c>
      <c r="H204" s="392">
        <f>+H138+($D$171*H80)+H$178+H181</f>
        <v>83.875043956846739</v>
      </c>
      <c r="I204" s="392">
        <f>+I138+($D$171*I80)+I$178+I181</f>
        <v>72.73589160391063</v>
      </c>
      <c r="J204" s="392">
        <f>+J138+($D$171*J80)+J$178+J181</f>
        <v>72.50451439973088</v>
      </c>
      <c r="K204" s="392"/>
    </row>
    <row r="205" spans="1:11" ht="12.9" x14ac:dyDescent="0.35">
      <c r="A205" s="11"/>
      <c r="C205" s="392"/>
      <c r="D205" s="392"/>
      <c r="E205" s="392"/>
      <c r="F205" s="392"/>
      <c r="G205" s="392"/>
      <c r="H205" s="392"/>
      <c r="I205" s="392"/>
      <c r="J205" s="392"/>
      <c r="K205" s="392"/>
    </row>
    <row r="206" spans="1:11" ht="12.9" x14ac:dyDescent="0.35">
      <c r="A206" s="11"/>
      <c r="B206" s="7" t="s">
        <v>32</v>
      </c>
    </row>
    <row r="207" spans="1:11" ht="12.9" x14ac:dyDescent="0.35">
      <c r="A207" s="11"/>
      <c r="B207" s="8" t="s">
        <v>89</v>
      </c>
    </row>
    <row r="208" spans="1:11" ht="12.9" x14ac:dyDescent="0.35">
      <c r="A208" s="11"/>
      <c r="B208" s="8" t="s">
        <v>40</v>
      </c>
    </row>
    <row r="209" spans="1:15" ht="12.9" x14ac:dyDescent="0.35">
      <c r="A209" s="11"/>
      <c r="C209" s="5" t="str">
        <f>+K7</f>
        <v>GLP</v>
      </c>
      <c r="D209" s="5" t="str">
        <f>+L7</f>
        <v>LPL-S</v>
      </c>
      <c r="E209" s="5"/>
      <c r="H209" s="7" t="s">
        <v>31</v>
      </c>
      <c r="I209" s="5" t="str">
        <f>+C209</f>
        <v>GLP</v>
      </c>
      <c r="J209" s="5" t="str">
        <f>+D209</f>
        <v>LPL-S</v>
      </c>
    </row>
    <row r="210" spans="1:15" ht="12.9" x14ac:dyDescent="0.35">
      <c r="A210" s="11"/>
      <c r="C210" s="5"/>
      <c r="D210" s="5"/>
      <c r="F210" s="7"/>
    </row>
    <row r="211" spans="1:15" ht="12.9" x14ac:dyDescent="0.35">
      <c r="A211" s="11"/>
      <c r="B211" s="23" t="s">
        <v>23</v>
      </c>
      <c r="C211" s="392">
        <f>+K130+($D$171*K80)</f>
        <v>75.151529239138981</v>
      </c>
      <c r="D211" s="392">
        <f>+L130+($D$171*L$80)</f>
        <v>74.54463721315868</v>
      </c>
      <c r="E211" s="57"/>
      <c r="H211" s="58" t="s">
        <v>28</v>
      </c>
    </row>
    <row r="212" spans="1:15" ht="12.9" x14ac:dyDescent="0.35">
      <c r="A212" s="11"/>
      <c r="B212" s="56" t="s">
        <v>84</v>
      </c>
      <c r="C212" s="392"/>
      <c r="D212" s="392">
        <f>+L131+($D$171*L$80)</f>
        <v>83.771143187466151</v>
      </c>
      <c r="H212" s="33" t="s">
        <v>47</v>
      </c>
      <c r="I212" s="321">
        <f>+$F158*$E152/$H152/1000</f>
        <v>1.5814249999999999</v>
      </c>
      <c r="J212" s="321">
        <f>+$F158*$E152/$H152/1000</f>
        <v>1.5814249999999999</v>
      </c>
      <c r="K212" s="41" t="s">
        <v>51</v>
      </c>
      <c r="O212" s="59"/>
    </row>
    <row r="213" spans="1:15" ht="12.9" x14ac:dyDescent="0.35">
      <c r="A213" s="11"/>
      <c r="B213" s="56" t="s">
        <v>85</v>
      </c>
      <c r="C213" s="392"/>
      <c r="D213" s="392">
        <f>+L132+($D$171*L$80)</f>
        <v>65.746797695554449</v>
      </c>
      <c r="H213" s="33" t="s">
        <v>48</v>
      </c>
      <c r="I213" s="321">
        <f>+$F159*$E153/$H153/1000</f>
        <v>1.5749437500000001</v>
      </c>
      <c r="J213" s="321">
        <f>+$F159*$E153/$H153/1000</f>
        <v>1.5749437500000001</v>
      </c>
      <c r="K213" s="41" t="s">
        <v>51</v>
      </c>
    </row>
    <row r="214" spans="1:15" ht="12.9" x14ac:dyDescent="0.35">
      <c r="A214" s="11"/>
      <c r="C214" s="392"/>
      <c r="D214" s="392"/>
      <c r="H214" s="33" t="s">
        <v>291</v>
      </c>
      <c r="I214" s="321">
        <f>($F$158*$E$152+$F$159*$E$153)/$H$154/1000</f>
        <v>1.5771041666666668</v>
      </c>
      <c r="J214" s="321">
        <f>($F$158*$E$152+$F$159*$E$153)/$H$154/1000</f>
        <v>1.5771041666666668</v>
      </c>
      <c r="K214" s="41" t="s">
        <v>51</v>
      </c>
    </row>
    <row r="215" spans="1:15" ht="12.9" x14ac:dyDescent="0.35">
      <c r="A215" s="11"/>
      <c r="B215" s="23" t="s">
        <v>24</v>
      </c>
      <c r="C215" s="392">
        <f>+K134+($D$171*K80)</f>
        <v>75.355164954211546</v>
      </c>
      <c r="D215" s="392">
        <f>+L134+($D$171*L$80)</f>
        <v>75.198539675632873</v>
      </c>
    </row>
    <row r="216" spans="1:15" ht="12.9" x14ac:dyDescent="0.35">
      <c r="A216" s="11"/>
      <c r="B216" s="56" t="s">
        <v>84</v>
      </c>
      <c r="C216" s="392"/>
      <c r="D216" s="392">
        <f>+L135+($D$171*L$80)</f>
        <v>78.247694677532508</v>
      </c>
      <c r="H216" s="58" t="s">
        <v>29</v>
      </c>
      <c r="I216" s="60"/>
      <c r="J216" s="60"/>
      <c r="K216" s="41"/>
    </row>
    <row r="217" spans="1:15" ht="12.9" x14ac:dyDescent="0.35">
      <c r="A217" s="11"/>
      <c r="B217" s="56" t="s">
        <v>85</v>
      </c>
      <c r="C217" s="392"/>
      <c r="D217" s="392">
        <f>+L136+($D$171*L$80)</f>
        <v>72.468871263345932</v>
      </c>
      <c r="H217" s="33" t="s">
        <v>49</v>
      </c>
      <c r="I217" s="321">
        <f>+$D155/1000/12</f>
        <v>0</v>
      </c>
      <c r="J217" s="321">
        <f>+$D155/1000/12</f>
        <v>0</v>
      </c>
      <c r="K217" s="41" t="s">
        <v>52</v>
      </c>
    </row>
    <row r="218" spans="1:15" ht="12.9" x14ac:dyDescent="0.35">
      <c r="A218" s="11"/>
      <c r="B218" s="56"/>
      <c r="C218" s="392"/>
      <c r="D218" s="392"/>
    </row>
    <row r="219" spans="1:15" ht="12.9" x14ac:dyDescent="0.35">
      <c r="A219" s="11"/>
      <c r="B219" s="4" t="s">
        <v>114</v>
      </c>
      <c r="C219" s="392">
        <f>+K138+($D$171*K80)</f>
        <v>75.280351641635306</v>
      </c>
      <c r="D219" s="392">
        <f>+L138+($D$171*L$80)</f>
        <v>74.964873259823975</v>
      </c>
    </row>
    <row r="220" spans="1:15" ht="12.9" x14ac:dyDescent="0.35">
      <c r="A220" s="11"/>
      <c r="C220" s="392"/>
      <c r="D220" s="392"/>
    </row>
    <row r="221" spans="1:15" ht="12.9" x14ac:dyDescent="0.35">
      <c r="A221" s="11"/>
      <c r="B221" s="61" t="s">
        <v>510</v>
      </c>
      <c r="C221" s="392"/>
      <c r="D221" s="392"/>
    </row>
    <row r="222" spans="1:15" ht="12.9" x14ac:dyDescent="0.35">
      <c r="A222" s="11"/>
      <c r="B222" s="23" t="s">
        <v>23</v>
      </c>
      <c r="C222" s="392">
        <f>(C211*W49+((I214*$H152)*K147*1000)+(I217*$H152*K149*1000))/W49</f>
        <v>81.172467642950792</v>
      </c>
      <c r="D222" s="392">
        <f>(D211*X49+((J214*$H152)*L147*1000)+(J217*$H152*L149*1000))/X49</f>
        <v>78.436532004236525</v>
      </c>
      <c r="F222" s="4" t="s">
        <v>121</v>
      </c>
    </row>
    <row r="223" spans="1:15" ht="12.9" x14ac:dyDescent="0.35">
      <c r="A223" s="11"/>
      <c r="B223" s="56" t="s">
        <v>84</v>
      </c>
      <c r="C223" s="392"/>
      <c r="D223" s="392">
        <f>(D212*X50+((J214*$H152)*L147*1000)+(J217*$H152*L149*1000))/X50</f>
        <v>91.744561683244925</v>
      </c>
    </row>
    <row r="224" spans="1:15" ht="12.9" x14ac:dyDescent="0.35">
      <c r="A224" s="11"/>
      <c r="B224" s="56" t="s">
        <v>85</v>
      </c>
      <c r="C224" s="392"/>
      <c r="D224" s="392">
        <f>+D213</f>
        <v>65.746797695554449</v>
      </c>
    </row>
    <row r="225" spans="1:7" ht="12.9" x14ac:dyDescent="0.35">
      <c r="A225" s="11"/>
      <c r="C225" s="392"/>
      <c r="D225" s="392"/>
    </row>
    <row r="226" spans="1:7" ht="12.9" x14ac:dyDescent="0.35">
      <c r="A226" s="11"/>
      <c r="B226" s="23" t="s">
        <v>24</v>
      </c>
      <c r="C226" s="392">
        <f>(C215*W45+((I214*$H153)*K147*1000)+(I217*$H153*K149*1000))/W45</f>
        <v>82.348457084741398</v>
      </c>
      <c r="D226" s="392">
        <f>(D215*X45+((J214*$H153)*L147*1000)+(J217*$H153*L149*1000))/X45</f>
        <v>79.526607740012267</v>
      </c>
    </row>
    <row r="227" spans="1:7" ht="12.9" x14ac:dyDescent="0.35">
      <c r="A227" s="11"/>
      <c r="B227" s="56" t="s">
        <v>84</v>
      </c>
      <c r="C227" s="392"/>
      <c r="D227" s="392">
        <f>(D216*X46+((J214*$H153)*L147*1000)+(J217*$H153*L149*1000))/X46</f>
        <v>87.410397720893826</v>
      </c>
    </row>
    <row r="228" spans="1:7" ht="12.9" x14ac:dyDescent="0.35">
      <c r="A228" s="11"/>
      <c r="B228" s="56" t="s">
        <v>85</v>
      </c>
      <c r="C228" s="392"/>
      <c r="D228" s="392">
        <f>+D217</f>
        <v>72.468871263345932</v>
      </c>
    </row>
    <row r="229" spans="1:7" ht="12.9" x14ac:dyDescent="0.35">
      <c r="A229" s="11"/>
      <c r="B229" s="56"/>
      <c r="C229" s="392"/>
      <c r="D229" s="392"/>
    </row>
    <row r="230" spans="1:7" ht="12.9" x14ac:dyDescent="0.35">
      <c r="A230" s="11"/>
      <c r="B230" s="49" t="s">
        <v>511</v>
      </c>
      <c r="C230" s="392">
        <f>(C219*K57+((I214*$H152+I214*$H153)*K147*1000)+(I217*$H154*K149*1000))/K57</f>
        <v>81.916412707537262</v>
      </c>
      <c r="D230" s="392">
        <f>(D219*L57+((J214*$H152+J214*$H153)*L147*1000)+(J217*$H154*L149*1000))/L57</f>
        <v>79.137078559811314</v>
      </c>
    </row>
    <row r="231" spans="1:7" ht="12.9" x14ac:dyDescent="0.35">
      <c r="A231" s="11"/>
      <c r="C231" s="395"/>
      <c r="D231" s="395"/>
    </row>
    <row r="232" spans="1:7" ht="12.9" x14ac:dyDescent="0.35">
      <c r="A232" s="11"/>
      <c r="B232" s="7" t="s">
        <v>108</v>
      </c>
      <c r="C232" s="392"/>
      <c r="D232" s="392"/>
    </row>
    <row r="233" spans="1:7" ht="12.9" x14ac:dyDescent="0.35">
      <c r="A233" s="11"/>
      <c r="B233" s="33" t="s">
        <v>59</v>
      </c>
      <c r="C233" s="324">
        <f>(+SUMPRODUCT(C204:J204,C57:J57)+SUMPRODUCT(C230:D230,K57:L57))/1000</f>
        <v>2046163.5767740516</v>
      </c>
      <c r="G233" s="63"/>
    </row>
    <row r="234" spans="1:7" ht="12.9" x14ac:dyDescent="0.35">
      <c r="A234" s="11"/>
      <c r="C234" s="33" t="s">
        <v>140</v>
      </c>
      <c r="D234" s="413">
        <f>+C233/SUM(C57:L57)*1000</f>
        <v>81.879723471129097</v>
      </c>
      <c r="E234" s="4" t="s">
        <v>44</v>
      </c>
    </row>
    <row r="235" spans="1:7" ht="12.9" x14ac:dyDescent="0.35">
      <c r="A235" s="11"/>
      <c r="C235" s="33" t="s">
        <v>282</v>
      </c>
      <c r="D235" s="413">
        <f>+C233/SUMPRODUCT(C57:L57,C85:L85)*1000</f>
        <v>77.813649053488135</v>
      </c>
      <c r="E235" s="4" t="s">
        <v>267</v>
      </c>
    </row>
    <row r="236" spans="1:7" ht="12.9" x14ac:dyDescent="0.35">
      <c r="A236" s="11"/>
    </row>
    <row r="237" spans="1:7" ht="12.9" x14ac:dyDescent="0.35">
      <c r="A237" s="11"/>
      <c r="E237" s="60"/>
    </row>
    <row r="238" spans="1:7" ht="12.9" x14ac:dyDescent="0.35">
      <c r="A238" s="9" t="s">
        <v>92</v>
      </c>
      <c r="B238" s="7" t="s">
        <v>268</v>
      </c>
    </row>
    <row r="239" spans="1:7" ht="12.9" x14ac:dyDescent="0.35">
      <c r="A239" s="11"/>
      <c r="B239" s="7"/>
    </row>
    <row r="240" spans="1:7" ht="12.9" x14ac:dyDescent="0.35">
      <c r="A240" s="11"/>
      <c r="B240" s="7" t="s">
        <v>41</v>
      </c>
    </row>
    <row r="241" spans="1:13" ht="12.9" x14ac:dyDescent="0.35">
      <c r="A241" s="11"/>
      <c r="B241" s="8" t="s">
        <v>509</v>
      </c>
    </row>
    <row r="242" spans="1:13" ht="12.9" x14ac:dyDescent="0.35">
      <c r="A242" s="11"/>
      <c r="B242" s="7"/>
    </row>
    <row r="243" spans="1:13" ht="12.9" x14ac:dyDescent="0.35">
      <c r="A243" s="11"/>
      <c r="C243" s="5" t="str">
        <f t="shared" ref="C243:J243" si="62">+C7</f>
        <v>RS</v>
      </c>
      <c r="D243" s="5" t="str">
        <f t="shared" si="62"/>
        <v>RHS</v>
      </c>
      <c r="E243" s="5" t="str">
        <f t="shared" si="62"/>
        <v>RLM</v>
      </c>
      <c r="F243" s="5" t="str">
        <f t="shared" si="62"/>
        <v>WH</v>
      </c>
      <c r="G243" s="5" t="str">
        <f t="shared" si="62"/>
        <v>WHS</v>
      </c>
      <c r="H243" s="5" t="str">
        <f t="shared" si="62"/>
        <v>HS</v>
      </c>
      <c r="I243" s="5" t="str">
        <f t="shared" si="62"/>
        <v>PSAL</v>
      </c>
      <c r="J243" s="5" t="str">
        <f t="shared" si="62"/>
        <v>BPL</v>
      </c>
    </row>
    <row r="244" spans="1:13" ht="12.9" x14ac:dyDescent="0.35">
      <c r="A244" s="11"/>
      <c r="C244" s="5"/>
      <c r="D244" s="5"/>
      <c r="E244" s="5"/>
      <c r="F244" s="5"/>
      <c r="G244" s="5"/>
    </row>
    <row r="245" spans="1:13" ht="12.9" x14ac:dyDescent="0.35">
      <c r="A245" s="11"/>
      <c r="B245" s="23" t="s">
        <v>23</v>
      </c>
      <c r="E245" s="325"/>
      <c r="F245" s="64">
        <f>ROUND(+F194/$D$235,3)</f>
        <v>0.93799999999999994</v>
      </c>
      <c r="G245" s="64">
        <f>ROUND(+G194/$D$235,3)</f>
        <v>0.97399999999999998</v>
      </c>
      <c r="H245" s="64">
        <f>ROUND(+H194/$D$235,3)</f>
        <v>1.0549999999999999</v>
      </c>
      <c r="I245" s="325">
        <f>ROUND(+I194/$D$235,3)</f>
        <v>0.872</v>
      </c>
      <c r="J245" s="325">
        <f>ROUND(+J194/$D$235,3)</f>
        <v>0.86899999999999999</v>
      </c>
      <c r="K245" s="326"/>
      <c r="L245" s="326"/>
      <c r="M245" s="326"/>
    </row>
    <row r="246" spans="1:13" ht="12.9" x14ac:dyDescent="0.35">
      <c r="A246" s="11"/>
      <c r="B246" s="56" t="s">
        <v>84</v>
      </c>
      <c r="C246" s="65"/>
      <c r="D246" s="327"/>
      <c r="E246" s="64">
        <f>ROUND(+E195/$D$235,3)</f>
        <v>1.33</v>
      </c>
      <c r="F246" s="325"/>
      <c r="G246" s="325"/>
      <c r="H246" s="325"/>
      <c r="I246" s="328"/>
      <c r="J246" s="329" t="s">
        <v>167</v>
      </c>
      <c r="K246" s="326"/>
      <c r="L246" s="326"/>
      <c r="M246" s="326"/>
    </row>
    <row r="247" spans="1:13" ht="12.9" x14ac:dyDescent="0.35">
      <c r="A247" s="11"/>
      <c r="B247" s="56" t="s">
        <v>85</v>
      </c>
      <c r="C247" s="65"/>
      <c r="D247" s="327"/>
      <c r="E247" s="64">
        <f>ROUND(+E196/$D$235,3)</f>
        <v>0.84699999999999998</v>
      </c>
      <c r="F247" s="325"/>
      <c r="G247" s="325"/>
      <c r="H247" s="66"/>
      <c r="I247" s="328"/>
      <c r="J247" s="329" t="s">
        <v>168</v>
      </c>
      <c r="K247" s="67">
        <f>ROUND((I245*U49+J245*V49)/(U49+V49),3)</f>
        <v>0.87</v>
      </c>
      <c r="L247" s="326"/>
      <c r="M247" s="326"/>
    </row>
    <row r="248" spans="1:13" ht="12.9" x14ac:dyDescent="0.35">
      <c r="A248" s="11"/>
      <c r="E248" s="65"/>
      <c r="F248" s="327"/>
      <c r="G248" s="327"/>
      <c r="L248" s="326"/>
      <c r="M248" s="326"/>
    </row>
    <row r="249" spans="1:13" ht="12.9" x14ac:dyDescent="0.35">
      <c r="A249" s="11"/>
      <c r="B249" s="68" t="s">
        <v>164</v>
      </c>
      <c r="C249" s="64">
        <f>ROUND(+C194/$D$235,3)</f>
        <v>1.0629999999999999</v>
      </c>
      <c r="D249" s="64">
        <f>ROUND(+D194/$D$235,3)</f>
        <v>1.022</v>
      </c>
      <c r="E249" s="65"/>
      <c r="F249" s="327"/>
      <c r="G249" s="327"/>
      <c r="H249" s="327"/>
      <c r="I249" s="327"/>
      <c r="J249" s="327"/>
      <c r="K249" s="326"/>
      <c r="L249" s="326"/>
      <c r="M249" s="326"/>
    </row>
    <row r="250" spans="1:13" x14ac:dyDescent="0.3">
      <c r="A250" s="9"/>
      <c r="B250" s="68" t="s">
        <v>172</v>
      </c>
      <c r="C250" s="69">
        <f>ROUND(+C197-C194,3)</f>
        <v>-3.0630000000000002</v>
      </c>
      <c r="D250" s="69">
        <f>ROUND(D197-D194,3)</f>
        <v>-3.9220000000000002</v>
      </c>
      <c r="E250" s="330" t="s">
        <v>165</v>
      </c>
      <c r="F250" s="327"/>
      <c r="G250" s="327"/>
      <c r="H250" s="327"/>
      <c r="I250" s="327"/>
      <c r="J250" s="327"/>
      <c r="K250" s="326"/>
      <c r="L250" s="326"/>
      <c r="M250" s="326"/>
    </row>
    <row r="251" spans="1:13" x14ac:dyDescent="0.3">
      <c r="A251" s="9"/>
      <c r="B251" s="68" t="s">
        <v>172</v>
      </c>
      <c r="C251" s="69">
        <f>ROUND(+C198-C194,3)</f>
        <v>5.5890000000000004</v>
      </c>
      <c r="D251" s="69">
        <f>ROUND(D198-D194,3)</f>
        <v>7.6470000000000002</v>
      </c>
      <c r="E251" s="330" t="s">
        <v>166</v>
      </c>
      <c r="F251" s="327"/>
      <c r="G251" s="327"/>
      <c r="H251" s="327"/>
      <c r="I251" s="327"/>
      <c r="J251" s="327"/>
      <c r="K251" s="326"/>
      <c r="L251" s="326"/>
      <c r="M251" s="326"/>
    </row>
    <row r="252" spans="1:13" ht="12.9" x14ac:dyDescent="0.35">
      <c r="A252" s="11"/>
      <c r="G252" s="327"/>
      <c r="H252" s="327"/>
      <c r="I252" s="327"/>
      <c r="J252" s="327"/>
      <c r="K252" s="326"/>
      <c r="L252" s="326"/>
      <c r="M252" s="326"/>
    </row>
    <row r="253" spans="1:13" ht="12.9" x14ac:dyDescent="0.35">
      <c r="A253" s="11"/>
      <c r="H253" s="327"/>
      <c r="I253" s="327"/>
      <c r="J253" s="327"/>
      <c r="K253" s="326"/>
      <c r="L253" s="326"/>
      <c r="M253" s="326"/>
    </row>
    <row r="254" spans="1:13" ht="12.9" x14ac:dyDescent="0.35">
      <c r="A254" s="11"/>
      <c r="C254" s="327"/>
      <c r="D254" s="327"/>
      <c r="E254" s="327"/>
      <c r="F254" s="327"/>
      <c r="G254" s="327"/>
      <c r="H254" s="327"/>
      <c r="I254" s="327"/>
      <c r="J254" s="327"/>
      <c r="K254" s="326"/>
      <c r="L254" s="326"/>
      <c r="M254" s="326"/>
    </row>
    <row r="255" spans="1:13" ht="12.9" x14ac:dyDescent="0.35">
      <c r="A255" s="11"/>
      <c r="B255" s="23" t="s">
        <v>24</v>
      </c>
      <c r="C255" s="64">
        <f>ROUND(+C200/$D$235,3)</f>
        <v>1.0740000000000001</v>
      </c>
      <c r="D255" s="64">
        <f>ROUND(+D200/$D$235,3)</f>
        <v>1.0589999999999999</v>
      </c>
      <c r="E255" s="325"/>
      <c r="F255" s="64">
        <f>ROUND(+F200/$D$235,3)</f>
        <v>0.96699999999999997</v>
      </c>
      <c r="G255" s="64">
        <f>ROUND(+G200/$D$235,3)</f>
        <v>1.0069999999999999</v>
      </c>
      <c r="H255" s="64">
        <f>ROUND(+H200/$D$235,3)</f>
        <v>1.0840000000000001</v>
      </c>
      <c r="I255" s="325">
        <f>ROUND(+I200/$D$235,3)</f>
        <v>0.95899999999999996</v>
      </c>
      <c r="J255" s="325">
        <f>ROUND(+J200/$D$235,3)</f>
        <v>0.95599999999999996</v>
      </c>
      <c r="K255" s="326"/>
      <c r="L255" s="326"/>
      <c r="M255" s="326"/>
    </row>
    <row r="256" spans="1:13" ht="12.9" x14ac:dyDescent="0.35">
      <c r="A256" s="11"/>
      <c r="B256" s="56" t="s">
        <v>84</v>
      </c>
      <c r="C256" s="327"/>
      <c r="D256" s="327"/>
      <c r="E256" s="64">
        <f>ROUND(+E201/$D$235,3)</f>
        <v>1.2589999999999999</v>
      </c>
      <c r="F256" s="327"/>
      <c r="G256" s="327"/>
      <c r="H256" s="327"/>
      <c r="J256" s="329" t="s">
        <v>167</v>
      </c>
      <c r="K256" s="326"/>
      <c r="L256" s="326"/>
      <c r="M256" s="326"/>
    </row>
    <row r="257" spans="1:13" ht="12.9" x14ac:dyDescent="0.35">
      <c r="A257" s="11"/>
      <c r="B257" s="56" t="s">
        <v>85</v>
      </c>
      <c r="C257" s="327"/>
      <c r="D257" s="327"/>
      <c r="E257" s="64">
        <f>ROUND(+E202/$D$235,3)</f>
        <v>0.93700000000000006</v>
      </c>
      <c r="F257" s="327"/>
      <c r="G257" s="327"/>
      <c r="J257" s="329" t="s">
        <v>168</v>
      </c>
      <c r="K257" s="67">
        <f>ROUND((I255*U45+J255*V45)/(U45+V45),3)</f>
        <v>0.95699999999999996</v>
      </c>
      <c r="L257" s="326"/>
      <c r="M257" s="326"/>
    </row>
    <row r="258" spans="1:13" ht="12.9" x14ac:dyDescent="0.35">
      <c r="A258" s="11"/>
      <c r="C258" s="326"/>
      <c r="D258" s="326"/>
      <c r="E258" s="326"/>
      <c r="F258" s="326"/>
      <c r="G258" s="326"/>
      <c r="K258" s="326"/>
      <c r="L258" s="326"/>
      <c r="M258" s="326"/>
    </row>
    <row r="259" spans="1:13" ht="12.9" x14ac:dyDescent="0.35">
      <c r="A259" s="11"/>
      <c r="B259" s="4" t="s">
        <v>113</v>
      </c>
      <c r="C259" s="331">
        <f>ROUND(+C204/$D$235,3)</f>
        <v>1.069</v>
      </c>
      <c r="D259" s="331">
        <f t="shared" ref="D259:J259" si="63">ROUND(+D204/$D$235,3)</f>
        <v>1.0509999999999999</v>
      </c>
      <c r="E259" s="331">
        <f t="shared" si="63"/>
        <v>1.0760000000000001</v>
      </c>
      <c r="F259" s="331">
        <f t="shared" si="63"/>
        <v>0.95899999999999996</v>
      </c>
      <c r="G259" s="331">
        <f t="shared" si="63"/>
        <v>0.995</v>
      </c>
      <c r="H259" s="331">
        <f t="shared" si="63"/>
        <v>1.0780000000000001</v>
      </c>
      <c r="I259" s="331">
        <f t="shared" si="63"/>
        <v>0.93500000000000005</v>
      </c>
      <c r="J259" s="331">
        <f t="shared" si="63"/>
        <v>0.93200000000000005</v>
      </c>
      <c r="K259" s="326"/>
      <c r="L259" s="326"/>
      <c r="M259" s="326"/>
    </row>
    <row r="260" spans="1:13" ht="12.9" x14ac:dyDescent="0.35">
      <c r="A260" s="11"/>
    </row>
    <row r="261" spans="1:13" ht="12.9" x14ac:dyDescent="0.35">
      <c r="A261" s="11"/>
    </row>
    <row r="262" spans="1:13" ht="12.9" x14ac:dyDescent="0.35">
      <c r="A262" s="11"/>
      <c r="B262" s="7" t="s">
        <v>32</v>
      </c>
    </row>
    <row r="263" spans="1:13" ht="12.9" x14ac:dyDescent="0.35">
      <c r="A263" s="11"/>
      <c r="B263" s="8" t="s">
        <v>89</v>
      </c>
    </row>
    <row r="264" spans="1:13" ht="12.9" x14ac:dyDescent="0.35">
      <c r="A264" s="11"/>
      <c r="B264" s="328"/>
    </row>
    <row r="265" spans="1:13" ht="12.9" x14ac:dyDescent="0.35">
      <c r="A265" s="11"/>
      <c r="C265" s="5" t="str">
        <f>+K7</f>
        <v>GLP</v>
      </c>
      <c r="D265" s="5" t="str">
        <f>+C265</f>
        <v>GLP</v>
      </c>
      <c r="E265" s="5" t="str">
        <f>+L7</f>
        <v>LPL-S</v>
      </c>
      <c r="F265" s="5" t="str">
        <f>+E265</f>
        <v>LPL-S</v>
      </c>
      <c r="H265" s="7" t="s">
        <v>31</v>
      </c>
    </row>
    <row r="266" spans="1:13" ht="25.3" x14ac:dyDescent="0.35">
      <c r="A266" s="11"/>
      <c r="C266" s="5" t="s">
        <v>122</v>
      </c>
      <c r="D266" s="70" t="s">
        <v>172</v>
      </c>
      <c r="E266" s="5" t="s">
        <v>122</v>
      </c>
      <c r="F266" s="70" t="s">
        <v>172</v>
      </c>
    </row>
    <row r="267" spans="1:13" ht="12.9" x14ac:dyDescent="0.35">
      <c r="A267" s="11"/>
      <c r="B267" s="23" t="s">
        <v>23</v>
      </c>
      <c r="C267" s="64">
        <f>ROUND(+C222/$D$235,3)</f>
        <v>1.0429999999999999</v>
      </c>
      <c r="D267" s="67">
        <f>ROUND(+C211-C222,3)</f>
        <v>-6.0209999999999999</v>
      </c>
      <c r="E267" s="66"/>
      <c r="F267" s="66"/>
      <c r="H267" s="58" t="s">
        <v>28</v>
      </c>
    </row>
    <row r="268" spans="1:13" ht="12.9" x14ac:dyDescent="0.35">
      <c r="A268" s="11"/>
      <c r="B268" s="56" t="s">
        <v>84</v>
      </c>
      <c r="C268" s="325"/>
      <c r="D268" s="67"/>
      <c r="E268" s="64">
        <f>ROUND(D223/$D$235,3)</f>
        <v>1.179</v>
      </c>
      <c r="F268" s="67">
        <f>ROUND(+D212-D223,3)</f>
        <v>-7.9729999999999999</v>
      </c>
      <c r="H268" s="33" t="s">
        <v>47</v>
      </c>
      <c r="I268" s="332">
        <f t="shared" ref="I268:J270" si="64">ROUND(+I212,4)</f>
        <v>1.5813999999999999</v>
      </c>
      <c r="J268" s="332">
        <f t="shared" si="64"/>
        <v>1.5813999999999999</v>
      </c>
      <c r="K268" s="41" t="s">
        <v>51</v>
      </c>
    </row>
    <row r="269" spans="1:13" ht="12.9" x14ac:dyDescent="0.35">
      <c r="A269" s="11"/>
      <c r="B269" s="56" t="s">
        <v>85</v>
      </c>
      <c r="C269" s="325"/>
      <c r="D269" s="67"/>
      <c r="E269" s="64">
        <f>ROUND(D224/$D$235,3)</f>
        <v>0.84499999999999997</v>
      </c>
      <c r="F269" s="67">
        <f>ROUND(+D213-D224,3)</f>
        <v>0</v>
      </c>
      <c r="H269" s="33" t="s">
        <v>48</v>
      </c>
      <c r="I269" s="332">
        <f t="shared" si="64"/>
        <v>1.5749</v>
      </c>
      <c r="J269" s="332">
        <f t="shared" si="64"/>
        <v>1.5749</v>
      </c>
      <c r="K269" s="41" t="s">
        <v>51</v>
      </c>
    </row>
    <row r="270" spans="1:13" ht="12.9" x14ac:dyDescent="0.35">
      <c r="A270" s="11"/>
      <c r="C270" s="325"/>
      <c r="D270" s="67"/>
      <c r="E270" s="325"/>
      <c r="F270" s="67"/>
      <c r="H270" s="33" t="s">
        <v>291</v>
      </c>
      <c r="I270" s="332">
        <f t="shared" si="64"/>
        <v>1.5770999999999999</v>
      </c>
      <c r="J270" s="332">
        <f t="shared" si="64"/>
        <v>1.5770999999999999</v>
      </c>
      <c r="K270" s="41" t="s">
        <v>51</v>
      </c>
    </row>
    <row r="271" spans="1:13" ht="12.9" x14ac:dyDescent="0.35">
      <c r="A271" s="11"/>
      <c r="B271" s="23" t="s">
        <v>24</v>
      </c>
      <c r="C271" s="64">
        <f>ROUND(+C226/$D$235,3)</f>
        <v>1.0580000000000001</v>
      </c>
      <c r="D271" s="67">
        <f>ROUND(+C215-C226,3)</f>
        <v>-6.9930000000000003</v>
      </c>
      <c r="E271" s="64"/>
      <c r="F271" s="67"/>
    </row>
    <row r="272" spans="1:13" ht="12.9" x14ac:dyDescent="0.35">
      <c r="A272" s="11"/>
      <c r="B272" s="56" t="s">
        <v>84</v>
      </c>
      <c r="C272" s="325"/>
      <c r="D272" s="66"/>
      <c r="E272" s="64">
        <f>ROUND(D227/$D$235,3)</f>
        <v>1.123</v>
      </c>
      <c r="F272" s="67">
        <f>ROUND(+D216-D227,3)</f>
        <v>-9.1630000000000003</v>
      </c>
      <c r="H272" s="58" t="s">
        <v>29</v>
      </c>
      <c r="I272" s="60"/>
      <c r="J272" s="60"/>
    </row>
    <row r="273" spans="1:11" ht="12.9" x14ac:dyDescent="0.35">
      <c r="A273" s="11"/>
      <c r="B273" s="56" t="s">
        <v>85</v>
      </c>
      <c r="C273" s="325"/>
      <c r="D273" s="66"/>
      <c r="E273" s="64">
        <f>ROUND(D228/$D$235,3)</f>
        <v>0.93100000000000005</v>
      </c>
      <c r="F273" s="67">
        <f>ROUND(+D217-D228,3)</f>
        <v>0</v>
      </c>
      <c r="H273" s="33" t="s">
        <v>49</v>
      </c>
      <c r="I273" s="332">
        <f>ROUND(+I217,4)</f>
        <v>0</v>
      </c>
      <c r="J273" s="332">
        <f>ROUND(+J217,4)</f>
        <v>0</v>
      </c>
      <c r="K273" s="41" t="s">
        <v>52</v>
      </c>
    </row>
    <row r="274" spans="1:11" ht="12.9" x14ac:dyDescent="0.35">
      <c r="A274" s="11"/>
      <c r="C274" s="331"/>
      <c r="D274" s="66"/>
      <c r="E274" s="331"/>
      <c r="F274" s="66"/>
    </row>
    <row r="275" spans="1:11" ht="12.9" x14ac:dyDescent="0.35">
      <c r="A275" s="11"/>
      <c r="B275" s="49" t="s">
        <v>511</v>
      </c>
      <c r="C275" s="331">
        <f>ROUND(+C230/$D$235,3)</f>
        <v>1.0529999999999999</v>
      </c>
      <c r="D275" s="66"/>
      <c r="E275" s="331">
        <f>ROUND(+D230/$D$235,3)</f>
        <v>1.0169999999999999</v>
      </c>
      <c r="F275" s="66"/>
    </row>
    <row r="276" spans="1:11" ht="12.9" x14ac:dyDescent="0.35">
      <c r="A276" s="11"/>
      <c r="C276" s="326"/>
      <c r="E276" s="326"/>
    </row>
    <row r="277" spans="1:11" ht="12.9" x14ac:dyDescent="0.35">
      <c r="A277" s="11"/>
      <c r="C277" s="326"/>
      <c r="E277" s="326"/>
    </row>
    <row r="279" spans="1:11" x14ac:dyDescent="0.3">
      <c r="A279" s="7" t="s">
        <v>27</v>
      </c>
      <c r="E279" s="393"/>
      <c r="G279" s="59"/>
    </row>
    <row r="280" spans="1:11" ht="12.9" x14ac:dyDescent="0.35">
      <c r="A280" s="11"/>
      <c r="B280" s="33" t="s">
        <v>34</v>
      </c>
      <c r="C280" s="57">
        <f>+F158</f>
        <v>51.85</v>
      </c>
      <c r="D280" s="41" t="s">
        <v>180</v>
      </c>
      <c r="E280" s="3" t="s">
        <v>47</v>
      </c>
      <c r="G280" s="59"/>
    </row>
    <row r="281" spans="1:11" ht="12.9" x14ac:dyDescent="0.35">
      <c r="A281" s="11"/>
      <c r="B281" s="33"/>
      <c r="C281" s="57">
        <f>+F159</f>
        <v>51.85</v>
      </c>
      <c r="D281" s="41" t="s">
        <v>180</v>
      </c>
      <c r="E281" s="3" t="s">
        <v>48</v>
      </c>
    </row>
    <row r="282" spans="1:11" ht="12.9" x14ac:dyDescent="0.35">
      <c r="A282" s="11"/>
      <c r="B282" s="33"/>
    </row>
    <row r="283" spans="1:11" ht="12.9" x14ac:dyDescent="0.35">
      <c r="A283" s="11"/>
      <c r="B283" s="33" t="s">
        <v>35</v>
      </c>
      <c r="C283" s="57">
        <f>+D155</f>
        <v>0</v>
      </c>
      <c r="D283" s="41" t="s">
        <v>30</v>
      </c>
      <c r="E283" s="419"/>
    </row>
    <row r="284" spans="1:11" ht="12.9" x14ac:dyDescent="0.35">
      <c r="A284" s="11"/>
      <c r="B284" s="33" t="s">
        <v>115</v>
      </c>
      <c r="C284" s="423">
        <f>+H152</f>
        <v>4</v>
      </c>
      <c r="D284" s="4" t="s">
        <v>116</v>
      </c>
      <c r="E284" s="419"/>
    </row>
    <row r="285" spans="1:11" ht="12.9" x14ac:dyDescent="0.35">
      <c r="A285" s="11"/>
      <c r="B285" s="33"/>
      <c r="C285" s="423">
        <f>+H153</f>
        <v>8</v>
      </c>
      <c r="D285" s="4" t="s">
        <v>117</v>
      </c>
      <c r="E285" s="419"/>
    </row>
    <row r="286" spans="1:11" ht="12.9" x14ac:dyDescent="0.35">
      <c r="A286" s="11"/>
      <c r="B286" s="118" t="s">
        <v>487</v>
      </c>
      <c r="C286" s="411">
        <f>+D171</f>
        <v>24.640000000000004</v>
      </c>
      <c r="D286" s="4" t="s">
        <v>141</v>
      </c>
    </row>
    <row r="287" spans="1:11" ht="12.9" x14ac:dyDescent="0.35">
      <c r="A287" s="11"/>
      <c r="B287" s="33" t="s">
        <v>137</v>
      </c>
      <c r="C287" s="328" t="s">
        <v>174</v>
      </c>
    </row>
    <row r="288" spans="1:11" ht="12.9" x14ac:dyDescent="0.35">
      <c r="A288" s="11"/>
      <c r="B288" s="33" t="s">
        <v>33</v>
      </c>
      <c r="C288" s="72" t="str">
        <f>" forecasted "&amp;(Input!D2-1)&amp;" energy use by class, PJM and PSE&amp;G on/off % from "&amp;(Input!D2-4)&amp;", "&amp;(Input!D2-3)&amp;" &amp; "&amp;(Input!D2-2)&amp;" class load profiles"</f>
        <v xml:space="preserve"> forecasted 2024 energy use by class, PJM and PSE&amp;G on/off % from 2021, 2022 &amp; 2023 class load profiles</v>
      </c>
    </row>
    <row r="289" spans="1:13" ht="12.9" x14ac:dyDescent="0.35">
      <c r="A289" s="11"/>
      <c r="B289" s="33"/>
      <c r="C289" s="3"/>
    </row>
    <row r="290" spans="1:13" ht="12.9" x14ac:dyDescent="0.35">
      <c r="A290" s="11"/>
      <c r="B290" s="33" t="s">
        <v>45</v>
      </c>
      <c r="C290" s="4" t="s">
        <v>231</v>
      </c>
    </row>
    <row r="291" spans="1:13" ht="12.9" x14ac:dyDescent="0.35">
      <c r="A291" s="11"/>
      <c r="B291" s="33" t="s">
        <v>46</v>
      </c>
      <c r="C291" s="4" t="s">
        <v>230</v>
      </c>
    </row>
    <row r="292" spans="1:13" ht="12.9" x14ac:dyDescent="0.35">
      <c r="A292" s="11"/>
      <c r="B292" s="33" t="s">
        <v>63</v>
      </c>
      <c r="C292" s="4" t="s">
        <v>94</v>
      </c>
    </row>
    <row r="293" spans="1:13" x14ac:dyDescent="0.3">
      <c r="C293" s="4" t="s">
        <v>97</v>
      </c>
    </row>
    <row r="294" spans="1:13" x14ac:dyDescent="0.3">
      <c r="B294" s="33" t="s">
        <v>90</v>
      </c>
      <c r="C294" s="4" t="s">
        <v>95</v>
      </c>
    </row>
    <row r="295" spans="1:13" ht="12.9" x14ac:dyDescent="0.35">
      <c r="A295" s="11"/>
      <c r="B295" s="118" t="s">
        <v>488</v>
      </c>
      <c r="C295" s="276" t="s">
        <v>489</v>
      </c>
      <c r="E295" s="326"/>
    </row>
    <row r="296" spans="1:13" ht="12.9" x14ac:dyDescent="0.35">
      <c r="A296" s="11"/>
      <c r="C296" s="326"/>
      <c r="E296" s="326"/>
    </row>
    <row r="297" spans="1:13" ht="12.9" x14ac:dyDescent="0.35">
      <c r="A297" s="11"/>
      <c r="C297" s="326"/>
      <c r="E297" s="326"/>
    </row>
    <row r="298" spans="1:13" x14ac:dyDescent="0.3">
      <c r="A298" s="9" t="s">
        <v>93</v>
      </c>
      <c r="B298" s="7" t="s">
        <v>135</v>
      </c>
    </row>
    <row r="299" spans="1:13" ht="12.9" x14ac:dyDescent="0.35">
      <c r="A299" s="11"/>
      <c r="B299" s="7"/>
    </row>
    <row r="300" spans="1:13" ht="12.9" x14ac:dyDescent="0.35">
      <c r="A300" s="11"/>
      <c r="C300" s="5" t="s">
        <v>0</v>
      </c>
      <c r="D300" s="5" t="s">
        <v>1</v>
      </c>
      <c r="E300" s="5" t="s">
        <v>2</v>
      </c>
      <c r="F300" s="5" t="s">
        <v>3</v>
      </c>
      <c r="G300" s="5" t="s">
        <v>4</v>
      </c>
      <c r="H300" s="5" t="s">
        <v>6</v>
      </c>
      <c r="I300" s="5" t="s">
        <v>37</v>
      </c>
      <c r="J300" s="5" t="s">
        <v>38</v>
      </c>
      <c r="K300" s="5" t="s">
        <v>5</v>
      </c>
      <c r="L300" s="5" t="s">
        <v>36</v>
      </c>
      <c r="M300" s="5"/>
    </row>
    <row r="301" spans="1:13" ht="12.9" x14ac:dyDescent="0.35">
      <c r="A301" s="11"/>
      <c r="B301" s="4" t="s">
        <v>58</v>
      </c>
    </row>
    <row r="302" spans="1:13" ht="12.9" x14ac:dyDescent="0.35">
      <c r="A302" s="11"/>
      <c r="B302" s="28" t="s">
        <v>53</v>
      </c>
      <c r="C302" s="396">
        <f>(+C197*SUM(C50:C53)*C163+C198*SUM(C50:C53)*C164)/1000</f>
        <v>464565.59234675346</v>
      </c>
      <c r="D302" s="396">
        <f>(+D197*SUM(D50:D53)*D163+D198*SUM(D50:D53)*D164)/1000</f>
        <v>1334.2494087306798</v>
      </c>
      <c r="E302" s="324">
        <f>(E195*SUMPRODUCT(E32:E35,E50:E53)+E196*SUMPRODUCT(Q32:Q35,E50:E53))/1000</f>
        <v>6515.077302915528</v>
      </c>
      <c r="F302" s="324">
        <f>+F194*SUM(F50:F53)/1000</f>
        <v>11.243525977804335</v>
      </c>
      <c r="G302" s="324">
        <f>+G194*SUM(G50:G53)/1000</f>
        <v>0.22740782966584455</v>
      </c>
      <c r="H302" s="324">
        <f>+H194*SUM(H50:H53)/1000</f>
        <v>159.55601976362053</v>
      </c>
      <c r="I302" s="324">
        <f>+I194*SUM(I50:I53)/1000</f>
        <v>2269.088697617256</v>
      </c>
      <c r="J302" s="324">
        <f>+J194*SUM(J50:J53)/1000</f>
        <v>5216.8602906322112</v>
      </c>
      <c r="K302" s="324">
        <f>(C211*SUM(K50:K53)/1000)+(I212*$H152*K147)+(I217*$H152*K149)</f>
        <v>185859.49259521655</v>
      </c>
      <c r="L302" s="324">
        <f>(D211*SUM(L50:L53)/1000)+(J212*$H152*L147)+(J217*$H152*L149)</f>
        <v>143927.82307005409</v>
      </c>
      <c r="M302" s="324"/>
    </row>
    <row r="303" spans="1:13" ht="12.9" x14ac:dyDescent="0.35">
      <c r="A303" s="11"/>
      <c r="B303" s="28" t="s">
        <v>54</v>
      </c>
      <c r="C303" s="324">
        <f>+C200*SUM(C45:C49,C54:C56)/1000</f>
        <v>614169.17732610437</v>
      </c>
      <c r="D303" s="324">
        <f>+D200*SUM(D45:D49,D54:D56)/1000</f>
        <v>4839.2332799312289</v>
      </c>
      <c r="E303" s="324">
        <f>(E201*(SUMPRODUCT(E27:E31,E45:E49)+SUMPRODUCT(E36:E38,E54:E56))+E202*(SUMPRODUCT(Q27:Q31,E45:E49)+SUMPRODUCT(Q36:Q38,E54:E56)))/1000</f>
        <v>7893.244136256335</v>
      </c>
      <c r="F303" s="324">
        <f>+F200*SUM(F45:F49,F54:F56)/1000</f>
        <v>30.250628196507556</v>
      </c>
      <c r="G303" s="324">
        <f>+G200*SUM(G45:G49,G54:G56)/1000</f>
        <v>0.39176709150258116</v>
      </c>
      <c r="H303" s="324">
        <f>+H200*SUM(H45:H49,H54:H56)/1000</f>
        <v>616.57258637754512</v>
      </c>
      <c r="I303" s="324">
        <f>+I200*SUM(I45:I49,I54:I56)/1000</f>
        <v>6628.6929222891313</v>
      </c>
      <c r="J303" s="324">
        <f>+J200*SUM(J45:J49,J54:J56)/1000</f>
        <v>15170.901626971312</v>
      </c>
      <c r="K303" s="324">
        <f>(C215*SUM(K45:K49,K54:K56)/1000)+(I213*$H153*K147)+(I217*$H153*K149)</f>
        <v>324567.62761424162</v>
      </c>
      <c r="L303" s="324">
        <f>(D215*SUM(L45:L49,L54:L56)/1000)+(J213*$H153*L147)+(J217*$H153*L149)</f>
        <v>262388.27422110131</v>
      </c>
      <c r="M303" s="324"/>
    </row>
    <row r="304" spans="1:13" ht="12.9" x14ac:dyDescent="0.35">
      <c r="A304" s="11"/>
      <c r="B304" s="28" t="s">
        <v>19</v>
      </c>
      <c r="C304" s="63">
        <f>+C303+C302</f>
        <v>1078734.7696728578</v>
      </c>
      <c r="D304" s="63">
        <f t="shared" ref="D304:J304" si="65">+D303+D302</f>
        <v>6173.4826886619085</v>
      </c>
      <c r="E304" s="63">
        <f t="shared" si="65"/>
        <v>14408.321439171863</v>
      </c>
      <c r="F304" s="63">
        <f t="shared" si="65"/>
        <v>41.494154174311888</v>
      </c>
      <c r="G304" s="63">
        <f t="shared" si="65"/>
        <v>0.61917492116842565</v>
      </c>
      <c r="H304" s="63">
        <f t="shared" si="65"/>
        <v>776.12860614116562</v>
      </c>
      <c r="I304" s="63">
        <f t="shared" si="65"/>
        <v>8897.7816199063873</v>
      </c>
      <c r="J304" s="324">
        <f t="shared" si="65"/>
        <v>20387.761917603522</v>
      </c>
      <c r="K304" s="324">
        <f>+K303+K302</f>
        <v>510427.12020945817</v>
      </c>
      <c r="L304" s="324">
        <f>+L303+L302</f>
        <v>406316.09729115537</v>
      </c>
      <c r="M304" s="324"/>
    </row>
    <row r="305" spans="1:13" ht="12.9" x14ac:dyDescent="0.35">
      <c r="A305" s="11"/>
      <c r="B305" s="28"/>
    </row>
    <row r="306" spans="1:13" ht="12.9" x14ac:dyDescent="0.35">
      <c r="A306" s="11"/>
      <c r="B306" s="4" t="s">
        <v>57</v>
      </c>
    </row>
    <row r="307" spans="1:13" ht="12.9" x14ac:dyDescent="0.35">
      <c r="A307" s="11"/>
      <c r="B307" s="28" t="s">
        <v>53</v>
      </c>
      <c r="C307" s="261">
        <f>+C302/C304</f>
        <v>0.43065784603164298</v>
      </c>
      <c r="D307" s="261">
        <f t="shared" ref="D307:I307" si="66">+D302/D304</f>
        <v>0.21612588485606915</v>
      </c>
      <c r="E307" s="261">
        <f t="shared" si="66"/>
        <v>0.45217462217375343</v>
      </c>
      <c r="F307" s="261">
        <f t="shared" si="66"/>
        <v>0.27096650604255368</v>
      </c>
      <c r="G307" s="261">
        <f t="shared" si="66"/>
        <v>0.36727558221626666</v>
      </c>
      <c r="H307" s="261">
        <f t="shared" si="66"/>
        <v>0.20557935695337556</v>
      </c>
      <c r="I307" s="261">
        <f t="shared" si="66"/>
        <v>0.25501735090247457</v>
      </c>
      <c r="J307" s="261">
        <f>+J302/J304</f>
        <v>0.25588195073672054</v>
      </c>
      <c r="K307" s="261">
        <f>+K302/K304</f>
        <v>0.36412542601370301</v>
      </c>
      <c r="L307" s="261">
        <f>+L302/L304</f>
        <v>0.35422623920045976</v>
      </c>
      <c r="M307" s="261"/>
    </row>
    <row r="308" spans="1:13" ht="12.9" x14ac:dyDescent="0.35">
      <c r="A308" s="11"/>
      <c r="B308" s="28" t="s">
        <v>54</v>
      </c>
      <c r="C308" s="261">
        <f>+C303/C304</f>
        <v>0.56934215396835697</v>
      </c>
      <c r="D308" s="261">
        <f t="shared" ref="D308:I308" si="67">+D303/D304</f>
        <v>0.78387411514393091</v>
      </c>
      <c r="E308" s="261">
        <f t="shared" si="67"/>
        <v>0.54782537782624663</v>
      </c>
      <c r="F308" s="261">
        <f t="shared" si="67"/>
        <v>0.72903349395744643</v>
      </c>
      <c r="G308" s="261">
        <f t="shared" si="67"/>
        <v>0.63272441778373345</v>
      </c>
      <c r="H308" s="261">
        <f t="shared" si="67"/>
        <v>0.79442064304662452</v>
      </c>
      <c r="I308" s="261">
        <f t="shared" si="67"/>
        <v>0.74498264909752543</v>
      </c>
      <c r="J308" s="261">
        <f>+J303/J304</f>
        <v>0.74411804926327951</v>
      </c>
      <c r="K308" s="261">
        <f>+K303/K304</f>
        <v>0.63587457398629699</v>
      </c>
      <c r="L308" s="261">
        <f>+L303/L304</f>
        <v>0.6457737607995403</v>
      </c>
      <c r="M308" s="261"/>
    </row>
    <row r="309" spans="1:13" ht="12.9" x14ac:dyDescent="0.35">
      <c r="A309" s="11"/>
    </row>
    <row r="310" spans="1:13" ht="12.9" x14ac:dyDescent="0.35">
      <c r="A310" s="11"/>
      <c r="B310" s="4" t="s">
        <v>55</v>
      </c>
    </row>
    <row r="311" spans="1:13" ht="12.9" x14ac:dyDescent="0.35">
      <c r="A311" s="11"/>
      <c r="B311" s="28" t="s">
        <v>53</v>
      </c>
      <c r="C311" s="424">
        <f>+SUM(C302:L302)</f>
        <v>809859.21066549083</v>
      </c>
    </row>
    <row r="312" spans="1:13" ht="12.9" x14ac:dyDescent="0.35">
      <c r="A312" s="11"/>
      <c r="B312" s="28" t="s">
        <v>54</v>
      </c>
      <c r="C312" s="424">
        <f>+SUM(C303:L303)</f>
        <v>1236304.3661085607</v>
      </c>
    </row>
    <row r="313" spans="1:13" ht="12.9" x14ac:dyDescent="0.35">
      <c r="A313" s="11"/>
      <c r="B313" s="28" t="s">
        <v>19</v>
      </c>
      <c r="C313" s="63">
        <f>+C312+C311</f>
        <v>2046163.5767740514</v>
      </c>
      <c r="D313" s="59"/>
    </row>
    <row r="314" spans="1:13" ht="12.9" x14ac:dyDescent="0.35">
      <c r="A314" s="11"/>
      <c r="L314" s="74" t="s">
        <v>182</v>
      </c>
    </row>
    <row r="315" spans="1:13" ht="12.9" x14ac:dyDescent="0.35">
      <c r="A315" s="11"/>
      <c r="B315" s="4" t="s">
        <v>56</v>
      </c>
      <c r="D315" s="4" t="s">
        <v>276</v>
      </c>
      <c r="K315" s="28" t="s">
        <v>283</v>
      </c>
    </row>
    <row r="316" spans="1:13" ht="12.9" x14ac:dyDescent="0.35">
      <c r="A316" s="11"/>
      <c r="B316" s="28" t="s">
        <v>53</v>
      </c>
      <c r="C316" s="261">
        <f>+C311/C313</f>
        <v>0.39579397261205373</v>
      </c>
      <c r="E316" s="393">
        <f>+C311/SUMPRODUCT(O49:X49,C85:L85)*1000</f>
        <v>77.384377436532802</v>
      </c>
      <c r="F316" s="4" t="s">
        <v>277</v>
      </c>
      <c r="I316" s="4" t="s">
        <v>136</v>
      </c>
      <c r="K316" s="28" t="s">
        <v>53</v>
      </c>
      <c r="L316" s="37">
        <f>IF(ROUND(E316/$D$235,4)&lt;ROUND(E317/$D$235,4),1,ROUND(E316/$D$235,4))</f>
        <v>1</v>
      </c>
      <c r="M316" s="425"/>
    </row>
    <row r="317" spans="1:13" ht="12.9" x14ac:dyDescent="0.35">
      <c r="A317" s="11"/>
      <c r="B317" s="28" t="s">
        <v>54</v>
      </c>
      <c r="C317" s="261">
        <f>+C312/C313</f>
        <v>0.60420602738794627</v>
      </c>
      <c r="E317" s="393">
        <f>+C312/SUMPRODUCT(O45:X45,C85:L85)*1000</f>
        <v>78.097440830135298</v>
      </c>
      <c r="F317" s="4" t="s">
        <v>277</v>
      </c>
      <c r="K317" s="28" t="s">
        <v>54</v>
      </c>
      <c r="L317" s="37">
        <f>IF(ROUND(E316/$D$235,4)&lt;ROUND(E317/$D$235,4),1,ROUND(E317/$D$235,4))</f>
        <v>1</v>
      </c>
      <c r="M317" s="425"/>
    </row>
    <row r="318" spans="1:13" ht="12.9" x14ac:dyDescent="0.35">
      <c r="A318" s="11"/>
    </row>
    <row r="319" spans="1:13" ht="12.9" x14ac:dyDescent="0.35">
      <c r="A319" s="11"/>
      <c r="C319" s="326"/>
      <c r="E319" s="326"/>
    </row>
    <row r="320" spans="1:13" ht="12.9" x14ac:dyDescent="0.35">
      <c r="A320" s="9" t="s">
        <v>128</v>
      </c>
      <c r="B320" s="7" t="s">
        <v>222</v>
      </c>
      <c r="C320" s="326"/>
      <c r="E320" s="326"/>
    </row>
    <row r="321" spans="1:12" ht="12.9" x14ac:dyDescent="0.35">
      <c r="A321" s="11"/>
      <c r="C321" s="326"/>
      <c r="E321" s="326"/>
    </row>
    <row r="322" spans="1:12" ht="12.9" x14ac:dyDescent="0.35">
      <c r="A322" s="11"/>
      <c r="B322" s="33" t="s">
        <v>125</v>
      </c>
      <c r="C322" s="392">
        <f>D235</f>
        <v>77.813649053488135</v>
      </c>
      <c r="E322" s="426" t="s">
        <v>278</v>
      </c>
    </row>
    <row r="323" spans="1:12" ht="12.9" x14ac:dyDescent="0.35">
      <c r="A323" s="11"/>
      <c r="B323" s="33" t="s">
        <v>127</v>
      </c>
      <c r="C323" s="427">
        <f>+L316</f>
        <v>1</v>
      </c>
      <c r="E323" s="326"/>
    </row>
    <row r="324" spans="1:12" ht="12.9" x14ac:dyDescent="0.35">
      <c r="A324" s="11"/>
      <c r="B324" s="33" t="s">
        <v>126</v>
      </c>
      <c r="C324" s="427">
        <f>+L317</f>
        <v>1</v>
      </c>
      <c r="E324" s="326"/>
    </row>
    <row r="325" spans="1:12" ht="12.9" x14ac:dyDescent="0.35">
      <c r="A325" s="11"/>
      <c r="C325" s="326"/>
      <c r="E325" s="326"/>
    </row>
    <row r="326" spans="1:12" ht="12.9" x14ac:dyDescent="0.35">
      <c r="A326" s="11"/>
      <c r="C326" s="5" t="s">
        <v>0</v>
      </c>
      <c r="D326" s="5" t="s">
        <v>1</v>
      </c>
      <c r="E326" s="5" t="s">
        <v>2</v>
      </c>
      <c r="F326" s="5" t="s">
        <v>3</v>
      </c>
      <c r="G326" s="5" t="s">
        <v>4</v>
      </c>
      <c r="H326" s="5" t="s">
        <v>6</v>
      </c>
      <c r="I326" s="5" t="s">
        <v>37</v>
      </c>
      <c r="J326" s="5" t="s">
        <v>38</v>
      </c>
      <c r="K326" s="5" t="s">
        <v>5</v>
      </c>
      <c r="L326" s="5" t="s">
        <v>36</v>
      </c>
    </row>
    <row r="327" spans="1:12" ht="12.9" x14ac:dyDescent="0.35">
      <c r="A327" s="11"/>
      <c r="B327" s="4" t="s">
        <v>123</v>
      </c>
    </row>
    <row r="328" spans="1:12" ht="12.9" x14ac:dyDescent="0.35">
      <c r="A328" s="11"/>
      <c r="B328" s="28" t="s">
        <v>53</v>
      </c>
      <c r="C328" s="324">
        <f>+($C$322*C249*O49+C250*O53+C251*O54)/1000</f>
        <v>464415.46533645398</v>
      </c>
      <c r="D328" s="324">
        <f>+($C$322*D249*P49+D250*P53+D251*P54)/1000</f>
        <v>1334.4859951971555</v>
      </c>
      <c r="E328" s="336">
        <f>(($C$322*E246*Q50)+(C322*E247*Q51))/1000</f>
        <v>6513.2837105758808</v>
      </c>
      <c r="F328" s="324">
        <f>+$C$322*F245*R49/1000</f>
        <v>11.240337233074468</v>
      </c>
      <c r="G328" s="324">
        <f>+$C$322*G245*S49/1000</f>
        <v>0.22737148253429235</v>
      </c>
      <c r="H328" s="324">
        <f>+$C$322*H245*T49/1000</f>
        <v>159.58934551525547</v>
      </c>
      <c r="I328" s="324">
        <f>+$C$322*K247*U49/1000</f>
        <v>2264.967793052821</v>
      </c>
      <c r="J328" s="324">
        <f>+$C$322*K247*V49/1000</f>
        <v>5225.7343420310654</v>
      </c>
      <c r="K328" s="336">
        <f>+($C$322*C267+D267)*W49/1000+(I268*H152*K147)+(I273*H152*K149)</f>
        <v>185829.75854421966</v>
      </c>
      <c r="L328" s="336">
        <f>(($C$322*E268+F268)*X50+(C322*E269*X51))/1000+(J268*$H$152*L147)+(J273*$H$152*L149)</f>
        <v>143931.4391412524</v>
      </c>
    </row>
    <row r="329" spans="1:12" ht="12.9" x14ac:dyDescent="0.35">
      <c r="A329" s="11"/>
      <c r="B329" s="28" t="s">
        <v>54</v>
      </c>
      <c r="C329" s="324">
        <f>+$C$322*C255*O45/1000</f>
        <v>614162.19093414478</v>
      </c>
      <c r="D329" s="324">
        <f>+$C$322*D255*P45/1000</f>
        <v>4838.2412747585167</v>
      </c>
      <c r="E329" s="336">
        <f>(($C$322*E256*Q46)+(C322*E257*Q47))/1000</f>
        <v>7896.1978176403327</v>
      </c>
      <c r="F329" s="324">
        <f>+$C$322*F255*R45/1000</f>
        <v>30.248811051158658</v>
      </c>
      <c r="G329" s="324">
        <f>+$C$322*G255*S45/1000</f>
        <v>0.3917917229843127</v>
      </c>
      <c r="H329" s="324">
        <f>+$C$322*H255*T45/1000</f>
        <v>616.54735767841385</v>
      </c>
      <c r="I329" s="324">
        <f>+$C$322*K257*U45/1000</f>
        <v>6618.1645377404329</v>
      </c>
      <c r="J329" s="324">
        <f>+$C$322*K257*V45/1000</f>
        <v>15191.477545076525</v>
      </c>
      <c r="K329" s="336">
        <f>+($C$322*C271+D271)*W45/1000+(I269*H153*K147)+(I273*H153*K149)</f>
        <v>324482.80585000559</v>
      </c>
      <c r="L329" s="336">
        <f>(($C$322*E272+F272)*X46+C322*E273*X47)/1000+(J269*$H$153*L147)+(J273*$H$153*L149)</f>
        <v>262304.98793673282</v>
      </c>
    </row>
    <row r="330" spans="1:12" ht="12.9" x14ac:dyDescent="0.35">
      <c r="A330" s="11"/>
      <c r="B330" s="28" t="s">
        <v>19</v>
      </c>
      <c r="C330" s="63">
        <f>+C329+C328</f>
        <v>1078577.6562705988</v>
      </c>
      <c r="D330" s="63">
        <f t="shared" ref="D330:L330" si="68">+D329+D328</f>
        <v>6172.7272699556725</v>
      </c>
      <c r="E330" s="63">
        <f t="shared" si="68"/>
        <v>14409.481528216213</v>
      </c>
      <c r="F330" s="63">
        <f t="shared" si="68"/>
        <v>41.489148284233124</v>
      </c>
      <c r="G330" s="63">
        <f t="shared" si="68"/>
        <v>0.61916320551860504</v>
      </c>
      <c r="H330" s="63">
        <f t="shared" si="68"/>
        <v>776.13670319366929</v>
      </c>
      <c r="I330" s="63">
        <f t="shared" si="68"/>
        <v>8883.1323307932544</v>
      </c>
      <c r="J330" s="63">
        <f t="shared" si="68"/>
        <v>20417.211887107591</v>
      </c>
      <c r="K330" s="63">
        <f t="shared" si="68"/>
        <v>510312.56439422525</v>
      </c>
      <c r="L330" s="63">
        <f t="shared" si="68"/>
        <v>406236.42707798525</v>
      </c>
    </row>
    <row r="331" spans="1:12" ht="12.9" x14ac:dyDescent="0.35">
      <c r="A331" s="11"/>
      <c r="B331" s="28"/>
      <c r="C331" s="63"/>
      <c r="D331" s="63"/>
      <c r="E331" s="63"/>
      <c r="F331" s="63"/>
      <c r="G331" s="63"/>
      <c r="H331" s="63"/>
      <c r="I331" s="63"/>
      <c r="J331" s="63"/>
      <c r="K331" s="63"/>
      <c r="L331" s="63"/>
    </row>
    <row r="332" spans="1:12" ht="12.9" x14ac:dyDescent="0.35">
      <c r="A332" s="11"/>
      <c r="B332" s="28" t="s">
        <v>169</v>
      </c>
      <c r="C332" s="63">
        <f>SUM(C328:L328)</f>
        <v>809686.19191701384</v>
      </c>
      <c r="D332" s="63"/>
      <c r="E332" s="63"/>
      <c r="F332" s="63"/>
      <c r="G332" s="63"/>
      <c r="H332" s="63"/>
      <c r="I332" s="63"/>
      <c r="J332" s="63"/>
      <c r="K332" s="63"/>
      <c r="L332" s="63"/>
    </row>
    <row r="333" spans="1:12" ht="12.9" x14ac:dyDescent="0.35">
      <c r="A333" s="11"/>
      <c r="B333" s="28" t="s">
        <v>170</v>
      </c>
      <c r="C333" s="63">
        <f>SUM(C329:L329)</f>
        <v>1236141.2538565514</v>
      </c>
      <c r="E333" s="326"/>
    </row>
    <row r="334" spans="1:12" ht="12.9" x14ac:dyDescent="0.35">
      <c r="A334" s="11"/>
      <c r="B334" s="28" t="s">
        <v>171</v>
      </c>
      <c r="C334" s="63">
        <f>+C333+C332</f>
        <v>2045827.4457735652</v>
      </c>
      <c r="E334" s="326"/>
    </row>
    <row r="335" spans="1:12" ht="12.9" x14ac:dyDescent="0.35">
      <c r="A335" s="11"/>
      <c r="B335" s="28"/>
      <c r="C335" s="326"/>
      <c r="E335" s="326"/>
    </row>
    <row r="336" spans="1:12" ht="12.9" x14ac:dyDescent="0.35">
      <c r="A336" s="11"/>
      <c r="C336" s="5" t="s">
        <v>0</v>
      </c>
      <c r="D336" s="5" t="s">
        <v>1</v>
      </c>
      <c r="E336" s="5" t="s">
        <v>2</v>
      </c>
      <c r="F336" s="5" t="s">
        <v>3</v>
      </c>
      <c r="G336" s="5" t="s">
        <v>4</v>
      </c>
      <c r="H336" s="5" t="s">
        <v>6</v>
      </c>
      <c r="I336" s="5" t="s">
        <v>37</v>
      </c>
      <c r="J336" s="5" t="s">
        <v>38</v>
      </c>
      <c r="K336" s="5" t="s">
        <v>5</v>
      </c>
      <c r="L336" s="5" t="s">
        <v>36</v>
      </c>
    </row>
    <row r="337" spans="1:12" ht="12.9" x14ac:dyDescent="0.35">
      <c r="A337" s="11"/>
      <c r="B337" s="4" t="s">
        <v>124</v>
      </c>
    </row>
    <row r="338" spans="1:12" ht="12.9" x14ac:dyDescent="0.35">
      <c r="A338" s="11"/>
      <c r="B338" s="28" t="s">
        <v>53</v>
      </c>
      <c r="C338" s="324">
        <f t="shared" ref="C338:L338" si="69">+$C$322*$C$323*O49*C85/1000</f>
        <v>459721.69839589676</v>
      </c>
      <c r="D338" s="324">
        <f t="shared" si="69"/>
        <v>1373.9923200143078</v>
      </c>
      <c r="E338" s="324">
        <f t="shared" si="69"/>
        <v>6357.7728470378852</v>
      </c>
      <c r="F338" s="324">
        <f t="shared" si="69"/>
        <v>12.609477414553883</v>
      </c>
      <c r="G338" s="324">
        <f t="shared" si="69"/>
        <v>0.24563917041338731</v>
      </c>
      <c r="H338" s="324">
        <f t="shared" si="69"/>
        <v>159.17395940835038</v>
      </c>
      <c r="I338" s="324">
        <f t="shared" si="69"/>
        <v>2739.4499081735662</v>
      </c>
      <c r="J338" s="324">
        <f t="shared" si="69"/>
        <v>6320.4596141833981</v>
      </c>
      <c r="K338" s="324">
        <f t="shared" si="69"/>
        <v>187440.79524502406</v>
      </c>
      <c r="L338" s="324">
        <f t="shared" si="69"/>
        <v>150225.51658328704</v>
      </c>
    </row>
    <row r="339" spans="1:12" ht="12.9" x14ac:dyDescent="0.35">
      <c r="A339" s="11"/>
      <c r="B339" s="28" t="s">
        <v>54</v>
      </c>
      <c r="C339" s="324">
        <f t="shared" ref="C339:L339" si="70">+$C$322*$C$324*O45*C85/1000</f>
        <v>601726.8361817667</v>
      </c>
      <c r="D339" s="324">
        <f t="shared" si="70"/>
        <v>4807.4209011612356</v>
      </c>
      <c r="E339" s="324">
        <f t="shared" si="70"/>
        <v>7735.4032853102981</v>
      </c>
      <c r="F339" s="324">
        <f t="shared" si="70"/>
        <v>32.915648835393895</v>
      </c>
      <c r="G339" s="324">
        <f t="shared" si="70"/>
        <v>0.40939861735564553</v>
      </c>
      <c r="H339" s="324">
        <f t="shared" si="70"/>
        <v>598.49116541193882</v>
      </c>
      <c r="I339" s="324">
        <f t="shared" si="70"/>
        <v>7276.8966640496574</v>
      </c>
      <c r="J339" s="324">
        <f t="shared" si="70"/>
        <v>16703.545467833806</v>
      </c>
      <c r="K339" s="324">
        <f t="shared" si="70"/>
        <v>322757.71166627429</v>
      </c>
      <c r="L339" s="324">
        <f t="shared" si="70"/>
        <v>270172.23240518064</v>
      </c>
    </row>
    <row r="340" spans="1:12" ht="12.9" x14ac:dyDescent="0.35">
      <c r="A340" s="11"/>
      <c r="B340" s="28" t="s">
        <v>19</v>
      </c>
      <c r="C340" s="63">
        <f t="shared" ref="C340:L340" si="71">+C339+C338</f>
        <v>1061448.5345776635</v>
      </c>
      <c r="D340" s="63">
        <f t="shared" si="71"/>
        <v>6181.4132211755432</v>
      </c>
      <c r="E340" s="63">
        <f t="shared" si="71"/>
        <v>14093.176132348184</v>
      </c>
      <c r="F340" s="63">
        <f t="shared" si="71"/>
        <v>45.525126249947775</v>
      </c>
      <c r="G340" s="63">
        <f t="shared" si="71"/>
        <v>0.65503778776903288</v>
      </c>
      <c r="H340" s="63">
        <f t="shared" si="71"/>
        <v>757.66512482028918</v>
      </c>
      <c r="I340" s="63">
        <f t="shared" si="71"/>
        <v>10016.346572223223</v>
      </c>
      <c r="J340" s="324">
        <f t="shared" si="71"/>
        <v>23024.005082017204</v>
      </c>
      <c r="K340" s="324">
        <f t="shared" si="71"/>
        <v>510198.50691129838</v>
      </c>
      <c r="L340" s="324">
        <f t="shared" si="71"/>
        <v>420397.74898846768</v>
      </c>
    </row>
    <row r="341" spans="1:12" ht="12.9" x14ac:dyDescent="0.35">
      <c r="A341" s="11"/>
      <c r="C341" s="326"/>
      <c r="D341" s="326"/>
      <c r="E341" s="326"/>
      <c r="F341" s="326"/>
      <c r="G341" s="326"/>
      <c r="H341" s="326"/>
      <c r="I341" s="326"/>
      <c r="J341" s="326"/>
      <c r="K341" s="326"/>
      <c r="L341" s="326"/>
    </row>
    <row r="342" spans="1:12" ht="12.9" x14ac:dyDescent="0.35">
      <c r="A342" s="11"/>
      <c r="B342" s="28" t="s">
        <v>169</v>
      </c>
      <c r="C342" s="63">
        <f>SUM(C338:L338)</f>
        <v>814351.71398961032</v>
      </c>
    </row>
    <row r="343" spans="1:12" ht="12.9" x14ac:dyDescent="0.35">
      <c r="A343" s="11"/>
      <c r="B343" s="28" t="s">
        <v>170</v>
      </c>
      <c r="C343" s="63">
        <f>SUM(C339:L339)</f>
        <v>1231811.8627844411</v>
      </c>
    </row>
    <row r="344" spans="1:12" ht="12.9" x14ac:dyDescent="0.35">
      <c r="A344" s="11"/>
      <c r="B344" s="28" t="s">
        <v>171</v>
      </c>
      <c r="C344" s="63">
        <f>+C343+C342</f>
        <v>2046163.5767740514</v>
      </c>
    </row>
    <row r="345" spans="1:12" ht="12.9" x14ac:dyDescent="0.35">
      <c r="A345" s="11"/>
      <c r="C345" s="326"/>
      <c r="E345" s="326"/>
    </row>
    <row r="346" spans="1:12" x14ac:dyDescent="0.3">
      <c r="B346" s="33" t="s">
        <v>181</v>
      </c>
      <c r="C346" s="63">
        <f>+C334-C344</f>
        <v>-336.13100048620254</v>
      </c>
    </row>
    <row r="347" spans="1:12" x14ac:dyDescent="0.3">
      <c r="C347" s="4" t="s">
        <v>183</v>
      </c>
    </row>
    <row r="350" spans="1:12" ht="12.9" x14ac:dyDescent="0.35">
      <c r="A350" s="9" t="s">
        <v>229</v>
      </c>
      <c r="B350" s="7" t="s">
        <v>228</v>
      </c>
      <c r="C350" s="52" t="s">
        <v>269</v>
      </c>
    </row>
    <row r="351" spans="1:12" ht="12.9" x14ac:dyDescent="0.35">
      <c r="B351" s="8" t="s">
        <v>78</v>
      </c>
    </row>
    <row r="352" spans="1:12" x14ac:dyDescent="0.3">
      <c r="B352" s="28" t="s">
        <v>53</v>
      </c>
      <c r="C352" s="29">
        <f>SUMPRODUCT(O49:X49,C85:L85)</f>
        <v>10465409.653643606</v>
      </c>
    </row>
    <row r="353" spans="2:3" x14ac:dyDescent="0.3">
      <c r="B353" s="28" t="s">
        <v>54</v>
      </c>
      <c r="C353" s="78">
        <f>SUMPRODUCT(O45:X45,C85:L85)</f>
        <v>15830280.134243663</v>
      </c>
    </row>
    <row r="354" spans="2:3" x14ac:dyDescent="0.3">
      <c r="B354" s="28" t="s">
        <v>19</v>
      </c>
      <c r="C354" s="29">
        <f>+C353+C352</f>
        <v>26295689.787887268</v>
      </c>
    </row>
  </sheetData>
  <customSheetViews>
    <customSheetView guid="{9BF7FAF1-D686-4A6B-A2BE-0DAD43841920}" topLeftCell="A76">
      <selection activeCell="C295" sqref="C295"/>
      <rowBreaks count="6" manualBreakCount="6">
        <brk id="39" max="16383" man="1"/>
        <brk id="87" max="11" man="1"/>
        <brk id="140" max="11" man="1"/>
        <brk id="186" max="11" man="1"/>
        <brk id="236" max="11" man="1"/>
        <brk id="295" max="11" man="1"/>
      </rowBreaks>
      <pageMargins left="0.75" right="0.75" top="1" bottom="1" header="0.5" footer="0.5"/>
      <pageSetup scale="62" fitToHeight="9" orientation="landscape" r:id="rId1"/>
      <headerFooter alignWithMargins="0">
        <oddHeader>&amp;C&amp;"Arial,Bold"Public Service Electric and Gas Company Specific Addendum
Attachment 2</oddHeader>
        <oddFooter>&amp;CPage &amp;P of &amp;N</oddFooter>
      </headerFooter>
    </customSheetView>
    <customSheetView guid="{D5524E47-947F-4D9F-AE8B-3F0380261994}" topLeftCell="A76">
      <selection activeCell="C295" sqref="C295"/>
      <rowBreaks count="6" manualBreakCount="6">
        <brk id="39" max="16383" man="1"/>
        <brk id="87" max="11" man="1"/>
        <brk id="140" max="11" man="1"/>
        <brk id="186" max="11" man="1"/>
        <brk id="236" max="11" man="1"/>
        <brk id="295" max="11" man="1"/>
      </rowBreaks>
      <pageMargins left="0.75" right="0.75" top="1" bottom="1" header="0.5" footer="0.5"/>
      <pageSetup scale="62" fitToHeight="9" orientation="landscape" r:id="rId2"/>
      <headerFooter alignWithMargins="0">
        <oddHeader>&amp;C&amp;"Arial,Bold"Public Service Electric and Gas Company Specific Addendum
Attachment 2</oddHeader>
        <oddFooter>&amp;CPage &amp;P of &amp;N</oddFooter>
      </headerFooter>
    </customSheetView>
    <customSheetView guid="{88B031DE-0423-45A5-B384-E560A52FDD07}" topLeftCell="A76">
      <selection activeCell="C295" sqref="C295"/>
      <rowBreaks count="6" manualBreakCount="6">
        <brk id="39" max="16383" man="1"/>
        <brk id="87" max="11" man="1"/>
        <brk id="140" max="11" man="1"/>
        <brk id="186" max="11" man="1"/>
        <brk id="236" max="11" man="1"/>
        <brk id="295" max="11" man="1"/>
      </rowBreaks>
      <pageMargins left="0.75" right="0.75" top="1" bottom="1" header="0.5" footer="0.5"/>
      <pageSetup scale="62" fitToHeight="9" orientation="landscape" r:id="rId3"/>
      <headerFooter alignWithMargins="0">
        <oddHeader>&amp;C&amp;"Arial,Bold"Public Service Electric and Gas Company Specific Addendum
Attachment 2</oddHeader>
        <oddFooter>&amp;CPage &amp;P of &amp;N</oddFooter>
      </headerFooter>
    </customSheetView>
    <customSheetView guid="{782F5CFE-DE26-4D5A-B82E-30A424B0A39B}" topLeftCell="A76">
      <selection activeCell="C295" sqref="C295"/>
      <rowBreaks count="6" manualBreakCount="6">
        <brk id="39" max="16383" man="1"/>
        <brk id="87" max="11" man="1"/>
        <brk id="140" max="11" man="1"/>
        <brk id="186" max="11" man="1"/>
        <brk id="236" max="11" man="1"/>
        <brk id="295" max="11" man="1"/>
      </rowBreaks>
      <pageMargins left="0.75" right="0.75" top="1" bottom="1" header="0.5" footer="0.5"/>
      <pageSetup scale="62" fitToHeight="9" orientation="landscape" r:id="rId4"/>
      <headerFooter alignWithMargins="0">
        <oddHeader>&amp;C&amp;"Arial,Bold"Public Service Electric and Gas Company Specific Addendum
Attachment 2</oddHeader>
        <oddFooter>&amp;CPage &amp;P of &amp;N</oddFooter>
      </headerFooter>
    </customSheetView>
  </customSheetViews>
  <mergeCells count="1">
    <mergeCell ref="R145:V145"/>
  </mergeCells>
  <phoneticPr fontId="0" type="noConversion"/>
  <pageMargins left="0.75" right="0.75" top="1" bottom="1" header="0.5" footer="0.5"/>
  <pageSetup scale="60" fitToHeight="9" orientation="landscape" r:id="rId5"/>
  <headerFooter alignWithMargins="0">
    <oddHeader>&amp;C&amp;"Arial,Bold"Public Service Electric and Gas Company Specific Addendum
Attachment 2</oddHeader>
    <oddFooter>&amp;CPage &amp;P of &amp;N</oddFooter>
  </headerFooter>
  <rowBreaks count="6" manualBreakCount="6">
    <brk id="39" max="16383" man="1"/>
    <brk id="87" max="11" man="1"/>
    <brk id="140" max="11" man="1"/>
    <brk id="186" max="11" man="1"/>
    <brk id="236" max="11" man="1"/>
    <brk id="295" max="11" man="1"/>
  </rowBreaks>
  <ignoredErrors>
    <ignoredError sqref="C94:C96 D94:E96 F94:O96 C112:C114 D112:E114 F112:I114 J112:L1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FFEBF9"/>
    <pageSetUpPr fitToPage="1"/>
  </sheetPr>
  <dimension ref="A1:Q213"/>
  <sheetViews>
    <sheetView view="pageBreakPreview" zoomScaleNormal="100" zoomScaleSheetLayoutView="100" workbookViewId="0"/>
  </sheetViews>
  <sheetFormatPr defaultColWidth="9.07421875" defaultRowHeight="12.45" x14ac:dyDescent="0.3"/>
  <cols>
    <col min="1" max="1" width="8.4609375" style="4" bestFit="1" customWidth="1"/>
    <col min="2" max="2" width="36.4609375" style="4" customWidth="1"/>
    <col min="3" max="3" width="13.84375" style="4" customWidth="1"/>
    <col min="4" max="4" width="13.07421875" style="4" customWidth="1"/>
    <col min="5" max="5" width="13.4609375" style="4" customWidth="1"/>
    <col min="6" max="7" width="12.07421875" style="4" customWidth="1"/>
    <col min="8" max="8" width="11.84375" style="4" customWidth="1"/>
    <col min="9" max="9" width="19.4609375" style="4" customWidth="1"/>
    <col min="10" max="10" width="13.07421875" style="4" customWidth="1"/>
    <col min="11" max="11" width="12.53515625" style="4" customWidth="1"/>
    <col min="12" max="12" width="12.53515625" style="4" bestFit="1" customWidth="1"/>
    <col min="13" max="13" width="14.4609375" style="4" bestFit="1" customWidth="1"/>
    <col min="14" max="14" width="24.07421875" style="4" bestFit="1" customWidth="1"/>
    <col min="15" max="16" width="10.84375" style="4" bestFit="1" customWidth="1"/>
    <col min="17" max="17" width="14.4609375" style="4" bestFit="1" customWidth="1"/>
    <col min="18" max="16384" width="9.07421875" style="4"/>
  </cols>
  <sheetData>
    <row r="1" spans="1:17" ht="17.399999999999999" customHeight="1" x14ac:dyDescent="0.4">
      <c r="B1" s="307" t="str">
        <f>"Calculation of June "&amp;(Input!D2)&amp;" to May "&amp;(Input!D2+1)&amp;" BGS-RSCP Rates"</f>
        <v>Calculation of June 2025 to May 2026 BGS-RSCP Rates</v>
      </c>
      <c r="N1" s="524"/>
      <c r="O1" s="524"/>
      <c r="P1" s="524"/>
      <c r="Q1" s="524"/>
    </row>
    <row r="2" spans="1:17" ht="15.65" customHeight="1" x14ac:dyDescent="0.35">
      <c r="B2" s="440" t="s">
        <v>589</v>
      </c>
      <c r="N2" s="524"/>
      <c r="O2" s="524"/>
      <c r="P2" s="524"/>
      <c r="Q2" s="524"/>
    </row>
    <row r="3" spans="1:17" ht="18.649999999999999" customHeight="1" x14ac:dyDescent="0.35">
      <c r="B3" s="8" t="s">
        <v>490</v>
      </c>
    </row>
    <row r="5" spans="1:17" x14ac:dyDescent="0.3">
      <c r="A5" s="9" t="s">
        <v>241</v>
      </c>
      <c r="B5" s="7" t="s">
        <v>263</v>
      </c>
    </row>
    <row r="6" spans="1:17" ht="51" customHeight="1" x14ac:dyDescent="0.35">
      <c r="A6" s="28" t="s">
        <v>202</v>
      </c>
      <c r="B6" s="7" t="s">
        <v>531</v>
      </c>
      <c r="C6" s="14" t="str">
        <f>Input!C135</f>
        <v>remaining portion of 36 month bid - 2023 auction</v>
      </c>
      <c r="D6" s="14" t="str">
        <f>Input!D135</f>
        <v>remaining portion of 36 month bid - 2024 auction</v>
      </c>
      <c r="E6" s="14" t="str">
        <f>Input!E135</f>
        <v>2025 auction</v>
      </c>
      <c r="G6" s="14" t="s">
        <v>203</v>
      </c>
    </row>
    <row r="7" spans="1:17" x14ac:dyDescent="0.3">
      <c r="C7" s="210" t="str">
        <f>LEFT(RIGHT(C6,12),4)</f>
        <v>2023</v>
      </c>
      <c r="D7" s="210" t="str">
        <f t="shared" ref="D7:E7" si="0">LEFT(RIGHT(D6,12),4)</f>
        <v>2024</v>
      </c>
      <c r="E7" s="210" t="str">
        <f t="shared" si="0"/>
        <v>2025</v>
      </c>
      <c r="F7" s="308"/>
    </row>
    <row r="8" spans="1:17" x14ac:dyDescent="0.3">
      <c r="A8" s="28">
        <v>1</v>
      </c>
      <c r="B8" s="7" t="s">
        <v>204</v>
      </c>
      <c r="C8" s="256">
        <f>Input!C136</f>
        <v>93.11</v>
      </c>
      <c r="D8" s="256">
        <f>Input!D136</f>
        <v>80.88</v>
      </c>
      <c r="E8" s="309">
        <f>D11</f>
        <v>81.19</v>
      </c>
      <c r="G8" s="486" t="s">
        <v>612</v>
      </c>
    </row>
    <row r="9" spans="1:17" x14ac:dyDescent="0.3">
      <c r="A9" s="310" t="s">
        <v>503</v>
      </c>
      <c r="B9" s="4" t="s">
        <v>504</v>
      </c>
      <c r="C9" s="309">
        <f>'Attach 4 P1'!C21</f>
        <v>0.66</v>
      </c>
      <c r="D9" s="309">
        <f>'Attach 4 P1'!D21</f>
        <v>0.31</v>
      </c>
      <c r="E9" s="309">
        <f>'Attach 4 P1'!E21</f>
        <v>-0.46</v>
      </c>
      <c r="G9" s="257" t="s">
        <v>613</v>
      </c>
    </row>
    <row r="10" spans="1:17" x14ac:dyDescent="0.3">
      <c r="A10" s="310" t="s">
        <v>505</v>
      </c>
      <c r="B10" s="353"/>
      <c r="C10" s="354"/>
      <c r="D10" s="354"/>
      <c r="E10" s="354"/>
      <c r="F10" s="7"/>
      <c r="G10" s="49"/>
    </row>
    <row r="11" spans="1:17" x14ac:dyDescent="0.3">
      <c r="A11" s="310" t="s">
        <v>506</v>
      </c>
      <c r="B11" s="7" t="s">
        <v>354</v>
      </c>
      <c r="C11" s="311">
        <f>C8+C9-C10</f>
        <v>93.77</v>
      </c>
      <c r="D11" s="311">
        <f t="shared" ref="D11:E11" si="1">D8+D9-D10</f>
        <v>81.19</v>
      </c>
      <c r="E11" s="311">
        <f t="shared" si="1"/>
        <v>80.73</v>
      </c>
      <c r="G11" s="110" t="s">
        <v>507</v>
      </c>
    </row>
    <row r="12" spans="1:17" x14ac:dyDescent="0.3">
      <c r="A12" s="28"/>
      <c r="B12" s="7"/>
      <c r="C12" s="312"/>
      <c r="D12" s="312"/>
      <c r="E12" s="312"/>
      <c r="G12" s="110"/>
    </row>
    <row r="13" spans="1:17" ht="12.9" x14ac:dyDescent="0.35">
      <c r="B13" s="8" t="s">
        <v>275</v>
      </c>
    </row>
    <row r="14" spans="1:17" x14ac:dyDescent="0.3">
      <c r="A14" s="28">
        <v>2</v>
      </c>
      <c r="B14" s="7" t="s">
        <v>305</v>
      </c>
      <c r="C14" s="49">
        <f>Input!C137</f>
        <v>28</v>
      </c>
      <c r="D14" s="49">
        <f>Input!D137</f>
        <v>29</v>
      </c>
      <c r="E14" s="49">
        <f>Input!E137</f>
        <v>28</v>
      </c>
      <c r="G14" s="4" t="s">
        <v>205</v>
      </c>
    </row>
    <row r="15" spans="1:17" x14ac:dyDescent="0.3">
      <c r="A15" s="28">
        <v>3</v>
      </c>
      <c r="B15" s="7" t="s">
        <v>306</v>
      </c>
      <c r="C15" s="49">
        <f>SUM(C14:E14)</f>
        <v>85</v>
      </c>
      <c r="D15" s="49">
        <f>C15</f>
        <v>85</v>
      </c>
      <c r="E15" s="49">
        <f>D15</f>
        <v>85</v>
      </c>
      <c r="G15" s="4" t="s">
        <v>205</v>
      </c>
    </row>
    <row r="16" spans="1:17" x14ac:dyDescent="0.3">
      <c r="A16" s="28"/>
      <c r="B16" s="7" t="s">
        <v>206</v>
      </c>
      <c r="C16" s="49"/>
      <c r="D16" s="49"/>
      <c r="E16" s="49"/>
    </row>
    <row r="17" spans="1:12" x14ac:dyDescent="0.3">
      <c r="A17" s="28">
        <v>4</v>
      </c>
      <c r="B17" s="261" t="s">
        <v>207</v>
      </c>
      <c r="C17" s="112">
        <f>Input!C140</f>
        <v>1</v>
      </c>
      <c r="D17" s="112">
        <f>Input!D140</f>
        <v>1</v>
      </c>
      <c r="E17" s="112">
        <f>IF(LEFT(Input!$B$2,6)="rebase",Input!E140,'Attach 2'!L316)</f>
        <v>1</v>
      </c>
      <c r="K17" s="313"/>
    </row>
    <row r="18" spans="1:12" ht="12.75" customHeight="1" x14ac:dyDescent="0.3">
      <c r="A18" s="28">
        <v>5</v>
      </c>
      <c r="B18" s="261" t="s">
        <v>208</v>
      </c>
      <c r="C18" s="112">
        <f>Input!C141</f>
        <v>1</v>
      </c>
      <c r="D18" s="112">
        <f>Input!D141</f>
        <v>1</v>
      </c>
      <c r="E18" s="112">
        <f>IF(LEFT(Input!$B$2,6)="rebase",Input!E141,'Attach 2'!L317)</f>
        <v>1</v>
      </c>
      <c r="K18" s="313"/>
    </row>
    <row r="19" spans="1:12" x14ac:dyDescent="0.3">
      <c r="A19" s="28"/>
    </row>
    <row r="20" spans="1:12" ht="12.9" x14ac:dyDescent="0.35">
      <c r="A20" s="28"/>
      <c r="B20" s="7" t="s">
        <v>270</v>
      </c>
    </row>
    <row r="21" spans="1:12" x14ac:dyDescent="0.3">
      <c r="A21" s="28">
        <v>6</v>
      </c>
      <c r="B21" s="4" t="s">
        <v>209</v>
      </c>
      <c r="C21" s="314">
        <f>+'Attach 2'!C352</f>
        <v>10465409.653643606</v>
      </c>
      <c r="D21" s="315"/>
      <c r="E21" s="315"/>
      <c r="G21" s="4" t="s">
        <v>281</v>
      </c>
    </row>
    <row r="22" spans="1:12" x14ac:dyDescent="0.3">
      <c r="A22" s="28">
        <v>7</v>
      </c>
      <c r="B22" s="4" t="s">
        <v>210</v>
      </c>
      <c r="C22" s="314">
        <f>+'Attach 2'!C353</f>
        <v>15830280.134243663</v>
      </c>
      <c r="D22" s="315"/>
      <c r="E22" s="315"/>
    </row>
    <row r="23" spans="1:12" x14ac:dyDescent="0.3">
      <c r="A23" s="28"/>
    </row>
    <row r="24" spans="1:12" ht="12.9" x14ac:dyDescent="0.35">
      <c r="A24" s="28"/>
      <c r="B24" s="7" t="s">
        <v>271</v>
      </c>
    </row>
    <row r="25" spans="1:12" x14ac:dyDescent="0.3">
      <c r="A25" s="28">
        <v>8</v>
      </c>
      <c r="B25" s="261" t="s">
        <v>207</v>
      </c>
      <c r="C25" s="316">
        <f>(+C$11*C$14/C$15*C17*$C21/1000)</f>
        <v>323265.42317906482</v>
      </c>
      <c r="D25" s="316">
        <f t="shared" ref="D25:E26" si="2">(+D$11*D$14/D$15*D17*$C21/1000)</f>
        <v>289893.07863059302</v>
      </c>
      <c r="E25" s="316">
        <f t="shared" si="2"/>
        <v>278310.94820567238</v>
      </c>
      <c r="F25" s="317"/>
      <c r="G25" s="41" t="s">
        <v>547</v>
      </c>
      <c r="J25" s="63"/>
      <c r="L25" s="63"/>
    </row>
    <row r="26" spans="1:12" x14ac:dyDescent="0.3">
      <c r="A26" s="28">
        <v>9</v>
      </c>
      <c r="B26" s="261" t="s">
        <v>208</v>
      </c>
      <c r="C26" s="318">
        <f>(+C$11*C$14/C$15*C18*$C22/1000)</f>
        <v>488980.59187370341</v>
      </c>
      <c r="D26" s="318">
        <f t="shared" si="2"/>
        <v>438500.62210444763</v>
      </c>
      <c r="E26" s="318">
        <f t="shared" si="2"/>
        <v>420981.15796058532</v>
      </c>
      <c r="F26" s="317"/>
      <c r="G26" s="41" t="s">
        <v>548</v>
      </c>
    </row>
    <row r="27" spans="1:12" x14ac:dyDescent="0.3">
      <c r="A27" s="28">
        <v>10</v>
      </c>
      <c r="B27" s="4" t="s">
        <v>211</v>
      </c>
      <c r="C27" s="63">
        <f>+C26+C25</f>
        <v>812246.01505276817</v>
      </c>
      <c r="D27" s="63">
        <f>+D26+D25</f>
        <v>728393.70073504071</v>
      </c>
      <c r="E27" s="63">
        <f>+E26+E25</f>
        <v>699292.10616625776</v>
      </c>
      <c r="G27" s="4" t="s">
        <v>274</v>
      </c>
      <c r="J27" s="63"/>
      <c r="L27" s="63"/>
    </row>
    <row r="28" spans="1:12" x14ac:dyDescent="0.3">
      <c r="A28" s="28"/>
    </row>
    <row r="29" spans="1:12" ht="12.9" x14ac:dyDescent="0.35">
      <c r="A29" s="28"/>
      <c r="B29" s="7" t="s">
        <v>272</v>
      </c>
    </row>
    <row r="30" spans="1:12" x14ac:dyDescent="0.3">
      <c r="A30" s="28">
        <v>11</v>
      </c>
      <c r="B30" s="261" t="s">
        <v>207</v>
      </c>
      <c r="C30" s="319">
        <f>ROUND(+SUM(C25:E25)/C21*1000,3)</f>
        <v>85.182000000000002</v>
      </c>
      <c r="D30" s="60"/>
      <c r="G30" s="41" t="s">
        <v>261</v>
      </c>
    </row>
    <row r="31" spans="1:12" x14ac:dyDescent="0.3">
      <c r="A31" s="28">
        <v>12</v>
      </c>
      <c r="B31" s="261" t="s">
        <v>208</v>
      </c>
      <c r="C31" s="320">
        <f>ROUND(+SUM(C26:E26)/C22*1000,3)</f>
        <v>85.182000000000002</v>
      </c>
      <c r="G31" s="41" t="s">
        <v>262</v>
      </c>
    </row>
    <row r="32" spans="1:12" x14ac:dyDescent="0.3">
      <c r="A32" s="28"/>
      <c r="B32" s="261"/>
      <c r="C32" s="321"/>
      <c r="G32" s="41"/>
    </row>
    <row r="33" spans="1:10" x14ac:dyDescent="0.3">
      <c r="A33" s="28">
        <v>13</v>
      </c>
      <c r="B33" s="4" t="s">
        <v>215</v>
      </c>
      <c r="C33" s="322">
        <f>ROUND(+SUM(C27:E27)/(C21+C22)*1000,3)</f>
        <v>85.182000000000002</v>
      </c>
      <c r="D33" s="4" t="s">
        <v>213</v>
      </c>
      <c r="G33" s="41" t="s">
        <v>212</v>
      </c>
    </row>
    <row r="34" spans="1:10" x14ac:dyDescent="0.3">
      <c r="D34" s="4" t="s">
        <v>214</v>
      </c>
      <c r="G34" s="4" t="s">
        <v>260</v>
      </c>
    </row>
    <row r="35" spans="1:10" x14ac:dyDescent="0.3">
      <c r="C35" s="60"/>
    </row>
    <row r="36" spans="1:10" ht="12.9" x14ac:dyDescent="0.35">
      <c r="B36" s="79" t="s">
        <v>237</v>
      </c>
      <c r="D36" s="60"/>
    </row>
    <row r="37" spans="1:10" x14ac:dyDescent="0.3">
      <c r="A37" s="28">
        <v>14</v>
      </c>
      <c r="B37" s="33" t="s">
        <v>238</v>
      </c>
      <c r="C37" s="63">
        <f>(C33*(C22+C21))/1000</f>
        <v>2239919.4475118131</v>
      </c>
      <c r="D37" s="60"/>
      <c r="G37" s="41" t="s">
        <v>220</v>
      </c>
    </row>
    <row r="38" spans="1:10" ht="15" x14ac:dyDescent="0.6">
      <c r="A38" s="28">
        <v>15</v>
      </c>
      <c r="B38" s="33" t="s">
        <v>217</v>
      </c>
      <c r="C38" s="323">
        <f>SUM(C27:E27)</f>
        <v>2239931.8219540669</v>
      </c>
      <c r="D38" s="60"/>
      <c r="G38" s="41" t="s">
        <v>218</v>
      </c>
    </row>
    <row r="39" spans="1:10" x14ac:dyDescent="0.3">
      <c r="A39" s="28">
        <v>16</v>
      </c>
      <c r="B39" s="33" t="s">
        <v>216</v>
      </c>
      <c r="C39" s="324">
        <f>+C37-C38</f>
        <v>-12.374442253727466</v>
      </c>
      <c r="D39" s="60"/>
      <c r="G39" s="41" t="s">
        <v>219</v>
      </c>
    </row>
    <row r="40" spans="1:10" x14ac:dyDescent="0.3">
      <c r="B40" s="33"/>
      <c r="D40" s="60"/>
    </row>
    <row r="42" spans="1:10" ht="12.9" x14ac:dyDescent="0.35">
      <c r="A42" s="9" t="s">
        <v>242</v>
      </c>
      <c r="B42" s="7" t="s">
        <v>273</v>
      </c>
      <c r="G42" s="8" t="s">
        <v>199</v>
      </c>
    </row>
    <row r="43" spans="1:10" ht="12.9" x14ac:dyDescent="0.35">
      <c r="A43" s="9"/>
      <c r="B43" s="7"/>
      <c r="G43" s="8" t="s">
        <v>284</v>
      </c>
    </row>
    <row r="44" spans="1:10" x14ac:dyDescent="0.3">
      <c r="B44" s="7" t="s">
        <v>41</v>
      </c>
    </row>
    <row r="45" spans="1:10" ht="12.9" x14ac:dyDescent="0.35">
      <c r="B45" s="8" t="s">
        <v>88</v>
      </c>
    </row>
    <row r="46" spans="1:10" x14ac:dyDescent="0.3">
      <c r="B46" s="7"/>
    </row>
    <row r="47" spans="1:10" x14ac:dyDescent="0.3">
      <c r="C47" s="5" t="str">
        <f>+'Attach 2'!C243</f>
        <v>RS</v>
      </c>
      <c r="D47" s="5" t="str">
        <f>+'Attach 2'!D243</f>
        <v>RHS</v>
      </c>
      <c r="E47" s="5" t="str">
        <f>+'Attach 2'!E243</f>
        <v>RLM</v>
      </c>
      <c r="F47" s="5" t="str">
        <f>+'Attach 2'!F243</f>
        <v>WH</v>
      </c>
      <c r="G47" s="5" t="str">
        <f>+'Attach 2'!G243</f>
        <v>WHS</v>
      </c>
      <c r="H47" s="5" t="str">
        <f>+'Attach 2'!H243</f>
        <v>HS</v>
      </c>
      <c r="I47" s="5" t="str">
        <f>+'Attach 2'!I243</f>
        <v>PSAL</v>
      </c>
      <c r="J47" s="5" t="str">
        <f>+'Attach 2'!J243</f>
        <v>BPL</v>
      </c>
    </row>
    <row r="48" spans="1:10" x14ac:dyDescent="0.3">
      <c r="C48" s="5"/>
      <c r="D48" s="5"/>
      <c r="E48" s="5"/>
      <c r="F48" s="5"/>
      <c r="G48" s="5"/>
    </row>
    <row r="49" spans="2:16" x14ac:dyDescent="0.3">
      <c r="B49" s="23" t="s">
        <v>23</v>
      </c>
      <c r="E49" s="325"/>
      <c r="F49" s="64">
        <f>+'Attach 2'!F245</f>
        <v>0.93799999999999994</v>
      </c>
      <c r="G49" s="64">
        <f>+'Attach 2'!G245</f>
        <v>0.97399999999999998</v>
      </c>
      <c r="H49" s="64">
        <f>+'Attach 2'!H245</f>
        <v>1.0549999999999999</v>
      </c>
      <c r="I49" s="325">
        <f>+'Attach 2'!I245</f>
        <v>0.872</v>
      </c>
      <c r="J49" s="325">
        <f>+'Attach 2'!J245</f>
        <v>0.86899999999999999</v>
      </c>
      <c r="K49" s="326"/>
      <c r="L49" s="326"/>
      <c r="M49" s="326"/>
    </row>
    <row r="50" spans="2:16" x14ac:dyDescent="0.3">
      <c r="B50" s="56" t="s">
        <v>84</v>
      </c>
      <c r="C50" s="65"/>
      <c r="D50" s="327"/>
      <c r="E50" s="64">
        <f>+'Attach 2'!E246</f>
        <v>1.33</v>
      </c>
      <c r="F50" s="325"/>
      <c r="G50" s="325"/>
      <c r="H50" s="325"/>
      <c r="I50" s="328"/>
      <c r="J50" s="329" t="s">
        <v>167</v>
      </c>
      <c r="K50" s="326"/>
      <c r="L50" s="326"/>
      <c r="M50" s="326"/>
    </row>
    <row r="51" spans="2:16" x14ac:dyDescent="0.3">
      <c r="B51" s="56" t="s">
        <v>85</v>
      </c>
      <c r="C51" s="65"/>
      <c r="D51" s="327"/>
      <c r="E51" s="64">
        <f>+'Attach 2'!E247</f>
        <v>0.84699999999999998</v>
      </c>
      <c r="F51" s="325"/>
      <c r="G51" s="325"/>
      <c r="H51" s="66"/>
      <c r="I51" s="328"/>
      <c r="J51" s="329" t="s">
        <v>168</v>
      </c>
      <c r="K51" s="67">
        <f>+'Attach 2'!K247</f>
        <v>0.87</v>
      </c>
      <c r="L51" s="326"/>
      <c r="M51" s="326"/>
    </row>
    <row r="52" spans="2:16" x14ac:dyDescent="0.3">
      <c r="E52" s="65"/>
      <c r="F52" s="327"/>
      <c r="G52" s="327"/>
      <c r="L52" s="326"/>
      <c r="M52" s="326"/>
    </row>
    <row r="53" spans="2:16" x14ac:dyDescent="0.3">
      <c r="B53" s="68" t="s">
        <v>164</v>
      </c>
      <c r="C53" s="64">
        <f>+'Attach 2'!C249</f>
        <v>1.0629999999999999</v>
      </c>
      <c r="D53" s="64">
        <f>+'Attach 2'!D249</f>
        <v>1.022</v>
      </c>
      <c r="E53" s="65"/>
      <c r="F53" s="327"/>
      <c r="G53" s="327"/>
      <c r="H53" s="327"/>
      <c r="I53" s="327"/>
      <c r="J53" s="327"/>
      <c r="K53" s="326"/>
      <c r="L53" s="326"/>
      <c r="M53" s="326"/>
    </row>
    <row r="54" spans="2:16" x14ac:dyDescent="0.3">
      <c r="B54" s="68" t="s">
        <v>172</v>
      </c>
      <c r="C54" s="69">
        <f>+'Attach 2'!C250</f>
        <v>-3.0630000000000002</v>
      </c>
      <c r="D54" s="69">
        <f>+'Attach 2'!D250</f>
        <v>-3.9220000000000002</v>
      </c>
      <c r="E54" s="330" t="s">
        <v>165</v>
      </c>
      <c r="F54" s="327"/>
      <c r="G54" s="327"/>
      <c r="H54" s="327"/>
      <c r="I54" s="327"/>
      <c r="J54" s="327"/>
      <c r="K54" s="326"/>
      <c r="L54" s="326"/>
      <c r="M54" s="326"/>
    </row>
    <row r="55" spans="2:16" x14ac:dyDescent="0.3">
      <c r="B55" s="68" t="s">
        <v>172</v>
      </c>
      <c r="C55" s="69">
        <f>+'Attach 2'!C251</f>
        <v>5.5890000000000004</v>
      </c>
      <c r="D55" s="69">
        <f>+'Attach 2'!D251</f>
        <v>7.6470000000000002</v>
      </c>
      <c r="E55" s="330" t="s">
        <v>166</v>
      </c>
      <c r="F55" s="327"/>
      <c r="G55" s="327"/>
      <c r="H55" s="327"/>
      <c r="I55" s="327"/>
      <c r="J55" s="327"/>
      <c r="K55" s="326"/>
      <c r="L55" s="326"/>
      <c r="M55" s="326"/>
    </row>
    <row r="56" spans="2:16" x14ac:dyDescent="0.3">
      <c r="G56" s="327"/>
      <c r="H56" s="327"/>
      <c r="I56" s="327"/>
      <c r="J56" s="327"/>
      <c r="K56" s="326"/>
      <c r="L56" s="326"/>
      <c r="M56" s="326"/>
    </row>
    <row r="57" spans="2:16" x14ac:dyDescent="0.3">
      <c r="H57" s="327"/>
      <c r="I57" s="327"/>
      <c r="J57" s="327"/>
      <c r="K57" s="326"/>
      <c r="L57" s="326"/>
      <c r="M57" s="326"/>
    </row>
    <row r="58" spans="2:16" x14ac:dyDescent="0.3">
      <c r="C58" s="327"/>
      <c r="D58" s="327"/>
      <c r="E58" s="327"/>
      <c r="F58" s="327"/>
      <c r="G58" s="327"/>
      <c r="H58" s="327"/>
      <c r="I58" s="327"/>
      <c r="J58" s="327"/>
      <c r="K58" s="326"/>
      <c r="L58" s="326"/>
      <c r="M58" s="326"/>
    </row>
    <row r="59" spans="2:16" x14ac:dyDescent="0.3">
      <c r="B59" s="23" t="s">
        <v>24</v>
      </c>
      <c r="C59" s="64">
        <f>+'Attach 2'!C255</f>
        <v>1.0740000000000001</v>
      </c>
      <c r="D59" s="64">
        <f>+'Attach 2'!D255</f>
        <v>1.0589999999999999</v>
      </c>
      <c r="E59" s="325"/>
      <c r="F59" s="64">
        <f>+'Attach 2'!F255</f>
        <v>0.96699999999999997</v>
      </c>
      <c r="G59" s="64">
        <f>+'Attach 2'!G255</f>
        <v>1.0069999999999999</v>
      </c>
      <c r="H59" s="64">
        <f>+'Attach 2'!H255</f>
        <v>1.0840000000000001</v>
      </c>
      <c r="I59" s="325">
        <f>+'Attach 2'!I255</f>
        <v>0.95899999999999996</v>
      </c>
      <c r="J59" s="325">
        <f>+'Attach 2'!J255</f>
        <v>0.95599999999999996</v>
      </c>
      <c r="K59" s="326"/>
      <c r="L59" s="326"/>
      <c r="M59" s="326"/>
    </row>
    <row r="60" spans="2:16" x14ac:dyDescent="0.3">
      <c r="B60" s="56" t="s">
        <v>84</v>
      </c>
      <c r="C60" s="327"/>
      <c r="D60" s="327"/>
      <c r="E60" s="64">
        <f>+'Attach 2'!E256</f>
        <v>1.2589999999999999</v>
      </c>
      <c r="F60" s="327"/>
      <c r="G60" s="327"/>
      <c r="H60" s="327"/>
      <c r="J60" s="329" t="s">
        <v>167</v>
      </c>
      <c r="K60" s="326"/>
      <c r="L60" s="326"/>
      <c r="M60" s="326"/>
    </row>
    <row r="61" spans="2:16" x14ac:dyDescent="0.3">
      <c r="B61" s="56" t="s">
        <v>85</v>
      </c>
      <c r="C61" s="327"/>
      <c r="D61" s="327"/>
      <c r="E61" s="64">
        <f>+'Attach 2'!E257</f>
        <v>0.93700000000000006</v>
      </c>
      <c r="F61" s="327"/>
      <c r="G61" s="327"/>
      <c r="J61" s="329" t="s">
        <v>168</v>
      </c>
      <c r="K61" s="67">
        <f>+'Attach 2'!K257</f>
        <v>0.95699999999999996</v>
      </c>
      <c r="L61" s="326"/>
      <c r="M61" s="326"/>
    </row>
    <row r="62" spans="2:16" x14ac:dyDescent="0.3">
      <c r="C62" s="326"/>
      <c r="D62" s="326"/>
      <c r="E62" s="326"/>
      <c r="F62" s="326"/>
      <c r="G62" s="326"/>
      <c r="K62" s="326"/>
      <c r="L62" s="326"/>
      <c r="M62" s="326"/>
    </row>
    <row r="63" spans="2:16" x14ac:dyDescent="0.3">
      <c r="B63" s="4" t="s">
        <v>113</v>
      </c>
      <c r="C63" s="331">
        <f>+'Attach 2'!C259</f>
        <v>1.069</v>
      </c>
      <c r="D63" s="331">
        <f>+'Attach 2'!D259</f>
        <v>1.0509999999999999</v>
      </c>
      <c r="E63" s="331">
        <f>+'Attach 2'!E259</f>
        <v>1.0760000000000001</v>
      </c>
      <c r="F63" s="331">
        <f>+'Attach 2'!F259</f>
        <v>0.95899999999999996</v>
      </c>
      <c r="G63" s="331">
        <f>+'Attach 2'!G259</f>
        <v>0.995</v>
      </c>
      <c r="H63" s="331">
        <f>+'Attach 2'!H259</f>
        <v>1.0780000000000001</v>
      </c>
      <c r="I63" s="331">
        <f>+'Attach 2'!I259</f>
        <v>0.93500000000000005</v>
      </c>
      <c r="J63" s="331">
        <f>+'Attach 2'!J259</f>
        <v>0.93200000000000005</v>
      </c>
      <c r="K63" s="326"/>
      <c r="L63" s="326"/>
      <c r="M63" s="326"/>
    </row>
    <row r="64" spans="2:16" x14ac:dyDescent="0.3">
      <c r="N64" s="1"/>
      <c r="O64"/>
      <c r="P64"/>
    </row>
    <row r="65" spans="2:16" x14ac:dyDescent="0.3">
      <c r="N65" s="1"/>
      <c r="O65"/>
      <c r="P65"/>
    </row>
    <row r="66" spans="2:16" x14ac:dyDescent="0.3">
      <c r="B66" s="7" t="s">
        <v>32</v>
      </c>
      <c r="N66" s="445"/>
      <c r="O66"/>
      <c r="P66"/>
    </row>
    <row r="67" spans="2:16" ht="12.9" x14ac:dyDescent="0.35">
      <c r="B67" s="8" t="s">
        <v>89</v>
      </c>
    </row>
    <row r="68" spans="2:16" x14ac:dyDescent="0.3">
      <c r="B68" s="328"/>
      <c r="N68" s="59"/>
    </row>
    <row r="69" spans="2:16" x14ac:dyDescent="0.3">
      <c r="C69" s="5" t="str">
        <f>+'Attach 2'!C265</f>
        <v>GLP</v>
      </c>
      <c r="D69" s="5" t="str">
        <f>+'Attach 2'!D265</f>
        <v>GLP</v>
      </c>
      <c r="E69" s="5" t="str">
        <f>+'Attach 2'!E265</f>
        <v>LPL-S</v>
      </c>
      <c r="F69" s="5" t="str">
        <f>+'Attach 2'!F265</f>
        <v>LPL-S</v>
      </c>
      <c r="H69" s="7" t="s">
        <v>31</v>
      </c>
      <c r="I69" s="5" t="str">
        <f>+C69</f>
        <v>GLP</v>
      </c>
      <c r="J69" s="5" t="str">
        <f>+E69</f>
        <v>LPL-S</v>
      </c>
    </row>
    <row r="70" spans="2:16" ht="24.9" x14ac:dyDescent="0.3">
      <c r="C70" s="5" t="s">
        <v>122</v>
      </c>
      <c r="D70" s="70" t="s">
        <v>172</v>
      </c>
      <c r="E70" s="5" t="s">
        <v>122</v>
      </c>
      <c r="F70" s="70" t="s">
        <v>172</v>
      </c>
    </row>
    <row r="71" spans="2:16" x14ac:dyDescent="0.3">
      <c r="B71" s="23" t="s">
        <v>23</v>
      </c>
      <c r="C71" s="64">
        <f>+'Attach 2'!C267</f>
        <v>1.0429999999999999</v>
      </c>
      <c r="D71" s="67">
        <f>+'Attach 2'!D267</f>
        <v>-6.0209999999999999</v>
      </c>
      <c r="E71" s="66"/>
      <c r="F71" s="66"/>
      <c r="H71" s="58" t="s">
        <v>28</v>
      </c>
      <c r="N71" s="437"/>
    </row>
    <row r="72" spans="2:16" x14ac:dyDescent="0.3">
      <c r="B72" s="56" t="s">
        <v>84</v>
      </c>
      <c r="C72" s="325"/>
      <c r="D72" s="67"/>
      <c r="E72" s="64">
        <f>+'Attach 2'!E268</f>
        <v>1.179</v>
      </c>
      <c r="F72" s="67">
        <f>+'Attach 2'!F268</f>
        <v>-7.9729999999999999</v>
      </c>
      <c r="H72" s="33" t="s">
        <v>47</v>
      </c>
      <c r="I72" s="332">
        <f>+'Attach 2'!I$270</f>
        <v>1.5770999999999999</v>
      </c>
      <c r="J72" s="332">
        <f>+'Attach 2'!J$270</f>
        <v>1.5770999999999999</v>
      </c>
      <c r="K72" s="41" t="s">
        <v>51</v>
      </c>
      <c r="N72" s="57"/>
    </row>
    <row r="73" spans="2:16" x14ac:dyDescent="0.3">
      <c r="B73" s="56" t="s">
        <v>85</v>
      </c>
      <c r="C73" s="325"/>
      <c r="D73" s="67"/>
      <c r="E73" s="64">
        <f>+'Attach 2'!E269</f>
        <v>0.84499999999999997</v>
      </c>
      <c r="F73" s="67">
        <f>+'Attach 2'!F269</f>
        <v>0</v>
      </c>
      <c r="H73" s="33" t="s">
        <v>48</v>
      </c>
      <c r="I73" s="332">
        <f>+'Attach 2'!I$270</f>
        <v>1.5770999999999999</v>
      </c>
      <c r="J73" s="332">
        <f>+'Attach 2'!J$270</f>
        <v>1.5770999999999999</v>
      </c>
      <c r="K73" s="41" t="s">
        <v>51</v>
      </c>
    </row>
    <row r="74" spans="2:16" x14ac:dyDescent="0.3">
      <c r="C74" s="325"/>
      <c r="D74" s="67"/>
      <c r="E74" s="325"/>
      <c r="F74" s="67"/>
      <c r="H74" s="33"/>
      <c r="I74" s="332"/>
      <c r="J74" s="332"/>
      <c r="K74" s="41"/>
    </row>
    <row r="75" spans="2:16" x14ac:dyDescent="0.3">
      <c r="B75" s="23" t="s">
        <v>24</v>
      </c>
      <c r="C75" s="64">
        <f>+'Attach 2'!C271</f>
        <v>1.0580000000000001</v>
      </c>
      <c r="D75" s="67">
        <f>+'Attach 2'!D271</f>
        <v>-6.9930000000000003</v>
      </c>
      <c r="E75" s="64"/>
      <c r="F75" s="67"/>
      <c r="H75" s="58" t="s">
        <v>29</v>
      </c>
      <c r="I75" s="60"/>
      <c r="J75" s="60"/>
    </row>
    <row r="76" spans="2:16" x14ac:dyDescent="0.3">
      <c r="B76" s="56" t="s">
        <v>84</v>
      </c>
      <c r="C76" s="325"/>
      <c r="D76" s="66"/>
      <c r="E76" s="64">
        <f>+'Attach 2'!E272</f>
        <v>1.123</v>
      </c>
      <c r="F76" s="67">
        <f>+'Attach 2'!F272</f>
        <v>-9.1630000000000003</v>
      </c>
      <c r="H76" s="33" t="s">
        <v>49</v>
      </c>
      <c r="I76" s="332">
        <f>+'Attach 2'!I273</f>
        <v>0</v>
      </c>
      <c r="J76" s="332">
        <f>+'Attach 2'!J273</f>
        <v>0</v>
      </c>
      <c r="K76" s="41" t="s">
        <v>52</v>
      </c>
    </row>
    <row r="77" spans="2:16" x14ac:dyDescent="0.3">
      <c r="B77" s="56" t="s">
        <v>85</v>
      </c>
      <c r="C77" s="325"/>
      <c r="D77" s="66"/>
      <c r="E77" s="64">
        <f>+'Attach 2'!E273</f>
        <v>0.93100000000000005</v>
      </c>
      <c r="F77" s="67">
        <f>+'Attach 2'!F273</f>
        <v>0</v>
      </c>
    </row>
    <row r="78" spans="2:16" x14ac:dyDescent="0.3">
      <c r="C78" s="331"/>
      <c r="D78" s="66"/>
      <c r="E78" s="331"/>
      <c r="F78" s="66"/>
    </row>
    <row r="79" spans="2:16" x14ac:dyDescent="0.3">
      <c r="B79" s="4" t="s">
        <v>109</v>
      </c>
      <c r="C79" s="331">
        <f>+'Attach 2'!C275</f>
        <v>1.0529999999999999</v>
      </c>
      <c r="D79" s="66"/>
      <c r="E79" s="331">
        <f>+'Attach 2'!E275</f>
        <v>1.0169999999999999</v>
      </c>
      <c r="F79" s="66"/>
    </row>
    <row r="80" spans="2:16" x14ac:dyDescent="0.3">
      <c r="C80" s="331"/>
      <c r="D80" s="66"/>
      <c r="E80" s="331"/>
      <c r="F80" s="66"/>
    </row>
    <row r="81" spans="1:13" x14ac:dyDescent="0.3">
      <c r="C81" s="326"/>
      <c r="E81" s="326"/>
      <c r="I81" s="59"/>
    </row>
    <row r="82" spans="1:13" ht="12.9" x14ac:dyDescent="0.35">
      <c r="A82" s="333" t="s">
        <v>243</v>
      </c>
      <c r="B82" s="79" t="s">
        <v>258</v>
      </c>
      <c r="C82" s="326"/>
      <c r="E82" s="326"/>
    </row>
    <row r="83" spans="1:13" ht="12.9" x14ac:dyDescent="0.35">
      <c r="A83" s="333"/>
      <c r="B83" s="8" t="s">
        <v>224</v>
      </c>
    </row>
    <row r="85" spans="1:13" x14ac:dyDescent="0.3">
      <c r="B85" s="7" t="s">
        <v>200</v>
      </c>
    </row>
    <row r="86" spans="1:13" ht="12.9" x14ac:dyDescent="0.35">
      <c r="B86" s="8" t="s">
        <v>88</v>
      </c>
    </row>
    <row r="87" spans="1:13" x14ac:dyDescent="0.3">
      <c r="B87" s="7"/>
    </row>
    <row r="88" spans="1:13" x14ac:dyDescent="0.3">
      <c r="C88" s="5" t="str">
        <f>+C47</f>
        <v>RS</v>
      </c>
      <c r="D88" s="5" t="str">
        <f t="shared" ref="D88:J88" si="3">+D47</f>
        <v>RHS</v>
      </c>
      <c r="E88" s="5" t="str">
        <f t="shared" si="3"/>
        <v>RLM</v>
      </c>
      <c r="F88" s="5" t="str">
        <f t="shared" si="3"/>
        <v>WH</v>
      </c>
      <c r="G88" s="5" t="str">
        <f t="shared" si="3"/>
        <v>WHS</v>
      </c>
      <c r="H88" s="5" t="str">
        <f t="shared" si="3"/>
        <v>HS</v>
      </c>
      <c r="I88" s="5" t="str">
        <f t="shared" si="3"/>
        <v>PSAL</v>
      </c>
      <c r="J88" s="5" t="str">
        <f t="shared" si="3"/>
        <v>BPL</v>
      </c>
    </row>
    <row r="89" spans="1:13" x14ac:dyDescent="0.3">
      <c r="C89" s="333"/>
      <c r="D89" s="333"/>
      <c r="E89" s="333"/>
      <c r="F89" s="334"/>
      <c r="G89" s="334"/>
      <c r="H89" s="334"/>
      <c r="I89" s="334"/>
      <c r="J89" s="334"/>
    </row>
    <row r="90" spans="1:13" x14ac:dyDescent="0.3">
      <c r="B90" s="23" t="s">
        <v>23</v>
      </c>
      <c r="C90" s="333"/>
      <c r="D90" s="333"/>
      <c r="E90" s="333"/>
      <c r="F90" s="334">
        <f>ROUND(($C$33*F49)/10,4)</f>
        <v>7.9901</v>
      </c>
      <c r="G90" s="334">
        <f>ROUND(($C$33*G49)/10,4)</f>
        <v>8.2966999999999995</v>
      </c>
      <c r="H90" s="334">
        <f>ROUND(($C$33*H49)/10,4)</f>
        <v>8.9867000000000008</v>
      </c>
      <c r="I90" s="334">
        <f>ROUND(($C$33*K51)/10,4)</f>
        <v>7.4108000000000001</v>
      </c>
      <c r="J90" s="334">
        <f>+I90</f>
        <v>7.4108000000000001</v>
      </c>
      <c r="L90" s="326"/>
      <c r="M90" s="326"/>
    </row>
    <row r="91" spans="1:13" x14ac:dyDescent="0.3">
      <c r="B91" s="56" t="s">
        <v>84</v>
      </c>
      <c r="C91" s="333"/>
      <c r="D91" s="333"/>
      <c r="E91" s="334">
        <f>ROUND(($C$33*E50)/10,4)</f>
        <v>11.3292</v>
      </c>
      <c r="F91" s="333"/>
      <c r="G91" s="334"/>
      <c r="H91" s="334"/>
      <c r="I91" s="334"/>
      <c r="J91" s="333"/>
      <c r="L91" s="326"/>
      <c r="M91" s="326"/>
    </row>
    <row r="92" spans="1:13" x14ac:dyDescent="0.3">
      <c r="B92" s="56" t="s">
        <v>85</v>
      </c>
      <c r="C92" s="333"/>
      <c r="D92" s="333"/>
      <c r="E92" s="334">
        <f>ROUND(($C$33*E51/10),4)</f>
        <v>7.2149000000000001</v>
      </c>
      <c r="F92" s="333"/>
      <c r="G92" s="333"/>
      <c r="H92" s="333"/>
      <c r="I92" s="333"/>
      <c r="J92" s="333"/>
      <c r="L92" s="326"/>
      <c r="M92" s="326"/>
    </row>
    <row r="93" spans="1:13" x14ac:dyDescent="0.3">
      <c r="B93" s="68"/>
      <c r="C93" s="333"/>
      <c r="D93" s="333"/>
      <c r="E93" s="333"/>
      <c r="F93" s="333"/>
      <c r="G93" s="333"/>
      <c r="H93" s="333"/>
      <c r="I93" s="333"/>
      <c r="J93" s="333"/>
      <c r="L93" s="326"/>
      <c r="M93" s="326"/>
    </row>
    <row r="94" spans="1:13" x14ac:dyDescent="0.3">
      <c r="B94" s="330" t="s">
        <v>165</v>
      </c>
      <c r="C94" s="334">
        <f>ROUND((+$C$33*C53+C54)/10,4)</f>
        <v>8.7484999999999999</v>
      </c>
      <c r="D94" s="334">
        <f>ROUND((+$C$33*D53+D54)/10,4)</f>
        <v>8.3133999999999997</v>
      </c>
      <c r="E94" s="333"/>
      <c r="F94" s="333"/>
      <c r="G94" s="333"/>
      <c r="H94" s="333"/>
      <c r="I94" s="333"/>
      <c r="J94" s="333"/>
      <c r="L94" s="326"/>
      <c r="M94" s="326"/>
    </row>
    <row r="95" spans="1:13" x14ac:dyDescent="0.3">
      <c r="B95" s="330" t="s">
        <v>166</v>
      </c>
      <c r="C95" s="334">
        <f>ROUND((+$C$33*C53+C55)/10,4)</f>
        <v>9.6136999999999997</v>
      </c>
      <c r="D95" s="334">
        <f>ROUND((+$C$33*D53+D55)/10,4)</f>
        <v>9.4702999999999999</v>
      </c>
      <c r="E95" s="333"/>
      <c r="F95" s="333"/>
      <c r="G95" s="333"/>
      <c r="H95" s="333"/>
      <c r="I95" s="333"/>
      <c r="J95" s="333"/>
      <c r="L95" s="326"/>
      <c r="M95" s="326"/>
    </row>
    <row r="96" spans="1:13" x14ac:dyDescent="0.3">
      <c r="C96" s="334"/>
      <c r="D96" s="334"/>
      <c r="E96" s="333"/>
      <c r="F96" s="333"/>
      <c r="G96" s="333"/>
      <c r="H96" s="333"/>
      <c r="I96" s="333"/>
      <c r="J96" s="333"/>
      <c r="L96" s="326"/>
      <c r="M96" s="326"/>
    </row>
    <row r="97" spans="2:13" x14ac:dyDescent="0.3">
      <c r="B97" s="23" t="s">
        <v>24</v>
      </c>
      <c r="C97" s="334">
        <f>ROUND(($C$33*C59)/10,4)</f>
        <v>9.1485000000000003</v>
      </c>
      <c r="D97" s="334">
        <f>ROUND(($C$33*D59)/10,4)</f>
        <v>9.0207999999999995</v>
      </c>
      <c r="E97" s="333"/>
      <c r="F97" s="334">
        <f>ROUND(($C$33*F59)/10,4)</f>
        <v>8.2370999999999999</v>
      </c>
      <c r="G97" s="334">
        <f>ROUND(($C$33*G59)/10,4)</f>
        <v>8.5777999999999999</v>
      </c>
      <c r="H97" s="334">
        <f>ROUND(($C$33*H59)/10,4)</f>
        <v>9.2337000000000007</v>
      </c>
      <c r="I97" s="334">
        <f>ROUND(($C$33*K61)/10,4)</f>
        <v>8.1518999999999995</v>
      </c>
      <c r="J97" s="334">
        <f>+I97</f>
        <v>8.1518999999999995</v>
      </c>
      <c r="L97" s="326"/>
      <c r="M97" s="326"/>
    </row>
    <row r="98" spans="2:13" x14ac:dyDescent="0.3">
      <c r="B98" s="56" t="s">
        <v>84</v>
      </c>
      <c r="C98" s="333"/>
      <c r="D98" s="333"/>
      <c r="E98" s="334">
        <f>ROUND(($C$33*E60)/10,4)</f>
        <v>10.724399999999999</v>
      </c>
      <c r="F98" s="333"/>
      <c r="G98" s="333"/>
      <c r="H98" s="333"/>
      <c r="I98" s="333"/>
      <c r="J98" s="333"/>
      <c r="L98" s="326"/>
      <c r="M98" s="326"/>
    </row>
    <row r="99" spans="2:13" x14ac:dyDescent="0.3">
      <c r="B99" s="56" t="s">
        <v>85</v>
      </c>
      <c r="C99" s="333"/>
      <c r="D99" s="333"/>
      <c r="E99" s="334">
        <f>ROUND(($C$33*E61)/10,4)</f>
        <v>7.9816000000000003</v>
      </c>
      <c r="F99" s="333"/>
      <c r="G99" s="333"/>
      <c r="H99" s="333"/>
      <c r="I99" s="333"/>
      <c r="J99" s="333"/>
      <c r="L99" s="326"/>
      <c r="M99" s="326"/>
    </row>
    <row r="100" spans="2:13" x14ac:dyDescent="0.3">
      <c r="C100" s="333"/>
      <c r="D100" s="333"/>
      <c r="E100" s="334"/>
      <c r="F100" s="333"/>
      <c r="G100" s="333"/>
      <c r="H100" s="333"/>
      <c r="I100" s="333"/>
      <c r="J100" s="333"/>
      <c r="L100" s="326"/>
      <c r="M100" s="326"/>
    </row>
    <row r="103" spans="2:13" x14ac:dyDescent="0.3">
      <c r="B103" s="7" t="s">
        <v>201</v>
      </c>
    </row>
    <row r="104" spans="2:13" ht="12.9" x14ac:dyDescent="0.35">
      <c r="B104" s="8" t="s">
        <v>89</v>
      </c>
    </row>
    <row r="105" spans="2:13" x14ac:dyDescent="0.3">
      <c r="B105" s="328"/>
    </row>
    <row r="106" spans="2:13" x14ac:dyDescent="0.3">
      <c r="C106" s="5" t="str">
        <f>+C69</f>
        <v>GLP</v>
      </c>
      <c r="D106" s="5"/>
      <c r="E106" s="5" t="str">
        <f>+E69</f>
        <v>LPL-S</v>
      </c>
      <c r="F106" s="5"/>
      <c r="H106" s="7" t="s">
        <v>31</v>
      </c>
      <c r="I106" s="5" t="str">
        <f>+C106</f>
        <v>GLP</v>
      </c>
      <c r="J106" s="5" t="str">
        <f>+E106</f>
        <v>LPL-S</v>
      </c>
    </row>
    <row r="107" spans="2:13" x14ac:dyDescent="0.3">
      <c r="F107" s="70"/>
    </row>
    <row r="108" spans="2:13" x14ac:dyDescent="0.3">
      <c r="B108" s="23" t="s">
        <v>23</v>
      </c>
      <c r="C108" s="334">
        <f>ROUND(($C$33*C71+D71)/10,4)</f>
        <v>8.2824000000000009</v>
      </c>
      <c r="D108" s="334"/>
      <c r="E108" s="334"/>
      <c r="F108" s="66"/>
      <c r="H108" s="58" t="s">
        <v>28</v>
      </c>
    </row>
    <row r="109" spans="2:13" x14ac:dyDescent="0.3">
      <c r="B109" s="56" t="s">
        <v>84</v>
      </c>
      <c r="C109" s="334"/>
      <c r="D109" s="334"/>
      <c r="E109" s="334">
        <f>ROUND(($C$33*E72+F72)/10,4)</f>
        <v>9.2456999999999994</v>
      </c>
      <c r="F109" s="67"/>
      <c r="H109" s="33" t="s">
        <v>47</v>
      </c>
      <c r="I109" s="335">
        <f>+I72</f>
        <v>1.5770999999999999</v>
      </c>
      <c r="J109" s="335">
        <f>+J72</f>
        <v>1.5770999999999999</v>
      </c>
      <c r="K109" s="41" t="s">
        <v>51</v>
      </c>
    </row>
    <row r="110" spans="2:13" x14ac:dyDescent="0.3">
      <c r="B110" s="56" t="s">
        <v>85</v>
      </c>
      <c r="C110" s="334"/>
      <c r="D110" s="334"/>
      <c r="E110" s="334">
        <f>ROUND(($C$33*E73+F73)/10,4)</f>
        <v>7.1978999999999997</v>
      </c>
      <c r="F110" s="67"/>
      <c r="H110" s="33" t="s">
        <v>48</v>
      </c>
      <c r="I110" s="335">
        <f>+I73</f>
        <v>1.5770999999999999</v>
      </c>
      <c r="J110" s="335">
        <f>+J73</f>
        <v>1.5770999999999999</v>
      </c>
      <c r="K110" s="41" t="s">
        <v>51</v>
      </c>
    </row>
    <row r="111" spans="2:13" x14ac:dyDescent="0.3">
      <c r="C111" s="334"/>
      <c r="D111" s="334"/>
      <c r="E111" s="334"/>
      <c r="F111" s="67"/>
      <c r="H111" s="33"/>
      <c r="I111" s="332"/>
      <c r="J111" s="332"/>
      <c r="K111" s="41"/>
    </row>
    <row r="112" spans="2:13" x14ac:dyDescent="0.3">
      <c r="B112" s="23" t="s">
        <v>24</v>
      </c>
      <c r="C112" s="334">
        <f>ROUND(($C$33*C75+D75)/10,4)</f>
        <v>8.3130000000000006</v>
      </c>
      <c r="D112" s="334"/>
      <c r="E112" s="334"/>
      <c r="F112" s="67"/>
      <c r="H112" s="58" t="s">
        <v>29</v>
      </c>
      <c r="I112" s="60"/>
      <c r="J112" s="60"/>
    </row>
    <row r="113" spans="1:12" x14ac:dyDescent="0.3">
      <c r="B113" s="56" t="s">
        <v>84</v>
      </c>
      <c r="C113" s="334"/>
      <c r="D113" s="334"/>
      <c r="E113" s="334">
        <f>ROUND(($C$33*E76+F76)/10,4)</f>
        <v>8.6495999999999995</v>
      </c>
      <c r="F113" s="67"/>
      <c r="H113" s="33" t="s">
        <v>49</v>
      </c>
      <c r="I113" s="335">
        <f>+I76</f>
        <v>0</v>
      </c>
      <c r="J113" s="335">
        <f>+J76</f>
        <v>0</v>
      </c>
      <c r="K113" s="41" t="s">
        <v>52</v>
      </c>
    </row>
    <row r="114" spans="1:12" x14ac:dyDescent="0.3">
      <c r="B114" s="56" t="s">
        <v>85</v>
      </c>
      <c r="C114" s="334"/>
      <c r="D114" s="334"/>
      <c r="E114" s="334">
        <f>ROUND(($C$33*E77+F77)/10,4)</f>
        <v>7.9303999999999997</v>
      </c>
      <c r="F114" s="67"/>
    </row>
    <row r="115" spans="1:12" x14ac:dyDescent="0.3">
      <c r="C115" s="331"/>
      <c r="D115" s="66"/>
      <c r="E115" s="331"/>
      <c r="F115" s="66"/>
    </row>
    <row r="116" spans="1:12" x14ac:dyDescent="0.3">
      <c r="C116" s="331"/>
      <c r="D116" s="66"/>
      <c r="E116" s="331"/>
      <c r="F116" s="66"/>
    </row>
    <row r="118" spans="1:12" ht="12.9" x14ac:dyDescent="0.35">
      <c r="A118" s="333" t="s">
        <v>244</v>
      </c>
      <c r="B118" s="7" t="s">
        <v>245</v>
      </c>
      <c r="C118" s="326"/>
      <c r="E118" s="326"/>
    </row>
    <row r="119" spans="1:12" x14ac:dyDescent="0.3">
      <c r="C119" s="326"/>
      <c r="E119" s="326"/>
    </row>
    <row r="120" spans="1:12" x14ac:dyDescent="0.3">
      <c r="C120" s="5" t="s">
        <v>0</v>
      </c>
      <c r="D120" s="5" t="s">
        <v>1</v>
      </c>
      <c r="E120" s="5" t="s">
        <v>2</v>
      </c>
      <c r="F120" s="5" t="s">
        <v>3</v>
      </c>
      <c r="G120" s="5" t="s">
        <v>4</v>
      </c>
      <c r="H120" s="5" t="s">
        <v>6</v>
      </c>
      <c r="I120" s="5" t="s">
        <v>37</v>
      </c>
      <c r="J120" s="5" t="s">
        <v>38</v>
      </c>
    </row>
    <row r="121" spans="1:12" x14ac:dyDescent="0.3">
      <c r="B121" s="4" t="s">
        <v>246</v>
      </c>
    </row>
    <row r="122" spans="1:12" x14ac:dyDescent="0.3">
      <c r="B122" s="28" t="s">
        <v>53</v>
      </c>
      <c r="C122" s="324">
        <f>+C94/100*'Attach 2'!O53+'Attach 3'!C95/100*'Attach 2'!O54</f>
        <v>508389.50493602024</v>
      </c>
      <c r="D122" s="324">
        <f>+D94/100*'Attach 2'!P53+'Attach 3'!D95/100*'Attach 2'!P54</f>
        <v>1460.8516073967785</v>
      </c>
      <c r="E122" s="336">
        <f>+E91/100*'Attach 2'!Q50+E92/100*'Attach 2'!Q51</f>
        <v>7130.0328531989398</v>
      </c>
      <c r="F122" s="324">
        <f>+F90/100*'Attach 2'!R49</f>
        <v>12.304753999999999</v>
      </c>
      <c r="G122" s="324">
        <f>+G90/100*'Attach 2'!S49</f>
        <v>0.24890099999999998</v>
      </c>
      <c r="H122" s="324">
        <f>+H90/100*'Attach 2'!T49</f>
        <v>174.70120322516726</v>
      </c>
      <c r="I122" s="324">
        <f>+I90/100*'Attach 2'!U49</f>
        <v>2479.4313560000001</v>
      </c>
      <c r="J122" s="324">
        <f>+J90/100*'Attach 2'!V49</f>
        <v>5720.5447360000007</v>
      </c>
    </row>
    <row r="123" spans="1:12" ht="15" x14ac:dyDescent="0.6">
      <c r="B123" s="28" t="s">
        <v>54</v>
      </c>
      <c r="C123" s="337">
        <f>+C97/100*'Attach 2'!O45</f>
        <v>672315.16270935233</v>
      </c>
      <c r="D123" s="337">
        <f>+D97/100*'Attach 2'!P45</f>
        <v>5296.4006993118946</v>
      </c>
      <c r="E123" s="337">
        <f>+E98/100*'Attach 2'!Q46+'Attach 3'!E99/100*'Attach 2'!Q47</f>
        <v>8643.926425307196</v>
      </c>
      <c r="F123" s="337">
        <f>+F97/100*'Attach 2'!R45</f>
        <v>33.113142000000003</v>
      </c>
      <c r="G123" s="337">
        <f>+G97/100*'Attach 2'!S45</f>
        <v>0.42888999999999999</v>
      </c>
      <c r="H123" s="337">
        <f>+H97/100*'Attach 2'!T45</f>
        <v>674.92752048836553</v>
      </c>
      <c r="I123" s="337">
        <f>+I97/100*'Attach 2'!U45</f>
        <v>7244.8380869999992</v>
      </c>
      <c r="J123" s="337">
        <f>+J97/100*'Attach 2'!V45</f>
        <v>16629.957519</v>
      </c>
    </row>
    <row r="124" spans="1:12" x14ac:dyDescent="0.3">
      <c r="B124" s="28" t="s">
        <v>19</v>
      </c>
      <c r="C124" s="63">
        <f>+C123+C122</f>
        <v>1180704.6676453725</v>
      </c>
      <c r="D124" s="63">
        <f t="shared" ref="D124:J124" si="4">+D123+D122</f>
        <v>6757.2523067086731</v>
      </c>
      <c r="E124" s="63">
        <f t="shared" si="4"/>
        <v>15773.959278506136</v>
      </c>
      <c r="F124" s="63">
        <f t="shared" si="4"/>
        <v>45.417895999999999</v>
      </c>
      <c r="G124" s="63">
        <f t="shared" si="4"/>
        <v>0.67779100000000003</v>
      </c>
      <c r="H124" s="63">
        <f t="shared" si="4"/>
        <v>849.62872371353274</v>
      </c>
      <c r="I124" s="63">
        <f t="shared" si="4"/>
        <v>9724.2694429999992</v>
      </c>
      <c r="J124" s="63">
        <f t="shared" si="4"/>
        <v>22350.502254999999</v>
      </c>
    </row>
    <row r="125" spans="1:12" x14ac:dyDescent="0.3">
      <c r="B125" s="28"/>
      <c r="C125" s="63"/>
      <c r="D125" s="63"/>
      <c r="E125" s="63"/>
      <c r="F125" s="63"/>
      <c r="G125" s="63"/>
      <c r="H125" s="63"/>
      <c r="I125" s="63"/>
      <c r="J125" s="63"/>
      <c r="K125" s="63"/>
      <c r="L125" s="63"/>
    </row>
    <row r="126" spans="1:12" x14ac:dyDescent="0.3">
      <c r="B126" s="28"/>
      <c r="C126" s="63"/>
      <c r="D126" s="63"/>
      <c r="E126" s="63"/>
      <c r="F126" s="63"/>
      <c r="G126" s="63"/>
      <c r="H126" s="63"/>
      <c r="I126" s="63"/>
      <c r="J126" s="63"/>
      <c r="K126" s="63"/>
      <c r="L126" s="63"/>
    </row>
    <row r="127" spans="1:12" x14ac:dyDescent="0.3">
      <c r="B127" s="28"/>
      <c r="C127" s="5" t="s">
        <v>5</v>
      </c>
      <c r="D127" s="5" t="s">
        <v>5</v>
      </c>
      <c r="F127" s="5" t="s">
        <v>36</v>
      </c>
      <c r="G127" s="5" t="s">
        <v>36</v>
      </c>
      <c r="H127" s="63"/>
      <c r="I127" s="63"/>
      <c r="J127" s="63"/>
      <c r="K127" s="63"/>
      <c r="L127" s="63"/>
    </row>
    <row r="128" spans="1:12" x14ac:dyDescent="0.3">
      <c r="B128" s="28"/>
      <c r="C128" s="5" t="s">
        <v>252</v>
      </c>
      <c r="D128" s="5" t="s">
        <v>253</v>
      </c>
      <c r="F128" s="5" t="s">
        <v>252</v>
      </c>
      <c r="G128" s="5" t="s">
        <v>253</v>
      </c>
      <c r="H128" s="63"/>
      <c r="I128" s="63"/>
      <c r="J128" s="63"/>
      <c r="K128" s="63"/>
      <c r="L128" s="63"/>
    </row>
    <row r="129" spans="2:12" x14ac:dyDescent="0.3">
      <c r="B129" s="28"/>
      <c r="G129" s="63"/>
      <c r="H129" s="63"/>
      <c r="I129" s="63"/>
      <c r="J129" s="63"/>
      <c r="K129" s="63"/>
      <c r="L129" s="63"/>
    </row>
    <row r="130" spans="2:12" x14ac:dyDescent="0.3">
      <c r="B130" s="28" t="s">
        <v>53</v>
      </c>
      <c r="C130" s="336">
        <f>+C108/100*'Attach 2'!W49</f>
        <v>189602.45305234657</v>
      </c>
      <c r="D130" s="336">
        <f>I109*'Attach 2'!K147*4+'Attach 3'!I113*'Attach 2'!K149*4</f>
        <v>13783.22316</v>
      </c>
      <c r="F130" s="336">
        <f>+E109/100*'Attach 2'!X50+'Attach 3'!E110/100*'Attach 2'!X51</f>
        <v>150399.38488440943</v>
      </c>
      <c r="G130" s="336">
        <f>'Attach 3'!J109*'Attach 2'!L147*4+'Attach 3'!J113*'Attach 2'!L149*4</f>
        <v>7140.4779600000002</v>
      </c>
      <c r="H130" s="63"/>
      <c r="I130" s="63"/>
      <c r="J130" s="63"/>
      <c r="K130" s="63"/>
      <c r="L130" s="63"/>
    </row>
    <row r="131" spans="2:12" ht="15" x14ac:dyDescent="0.6">
      <c r="B131" s="28" t="s">
        <v>54</v>
      </c>
      <c r="C131" s="338">
        <f>+C112/100*'Attach 2'!W45</f>
        <v>327686.11609048699</v>
      </c>
      <c r="D131" s="338">
        <f>'Attach 3'!I110*'Attach 2'!K147*8+'Attach 3'!I113*'Attach 2'!K149*8</f>
        <v>27566.446319999999</v>
      </c>
      <c r="F131" s="338">
        <f>+E113/100*'Attach 2'!X46+'Attach 3'!E114/100*'Attach 2'!X47</f>
        <v>272882.77044881252</v>
      </c>
      <c r="G131" s="338">
        <f>'Attach 3'!J110*'Attach 2'!L147*8+'Attach 3'!J113*'Attach 2'!L149*8</f>
        <v>14280.95592</v>
      </c>
      <c r="H131" s="63"/>
      <c r="I131" s="63"/>
      <c r="J131" s="63"/>
      <c r="K131" s="63"/>
      <c r="L131" s="63"/>
    </row>
    <row r="132" spans="2:12" x14ac:dyDescent="0.3">
      <c r="B132" s="28" t="s">
        <v>19</v>
      </c>
      <c r="C132" s="63">
        <f>+C131+C130</f>
        <v>517288.56914283358</v>
      </c>
      <c r="D132" s="63">
        <f>+D131+D130</f>
        <v>41349.669479999997</v>
      </c>
      <c r="F132" s="63">
        <f>+F131+F130</f>
        <v>423282.15533322195</v>
      </c>
      <c r="G132" s="63">
        <f>+G131+G130</f>
        <v>21421.43388</v>
      </c>
      <c r="H132" s="63"/>
      <c r="I132" s="63"/>
      <c r="J132" s="63"/>
      <c r="K132" s="63"/>
      <c r="L132" s="63"/>
    </row>
    <row r="133" spans="2:12" x14ac:dyDescent="0.3">
      <c r="B133" s="28"/>
      <c r="C133" s="63"/>
      <c r="F133" s="63"/>
      <c r="G133" s="63"/>
      <c r="H133" s="63"/>
      <c r="I133" s="63"/>
      <c r="J133" s="63"/>
      <c r="K133" s="63"/>
      <c r="L133" s="63"/>
    </row>
    <row r="134" spans="2:12" x14ac:dyDescent="0.3">
      <c r="B134" s="28"/>
      <c r="C134" s="63"/>
      <c r="D134" s="63"/>
      <c r="E134" s="63"/>
      <c r="F134" s="63"/>
      <c r="G134" s="63"/>
      <c r="H134" s="63"/>
      <c r="I134" s="63"/>
      <c r="J134" s="63"/>
      <c r="K134" s="63"/>
      <c r="L134" s="63"/>
    </row>
    <row r="135" spans="2:12" x14ac:dyDescent="0.3">
      <c r="B135" s="28"/>
      <c r="C135" s="5" t="s">
        <v>252</v>
      </c>
      <c r="D135" s="5" t="s">
        <v>253</v>
      </c>
      <c r="E135" s="5" t="s">
        <v>254</v>
      </c>
      <c r="F135" s="63"/>
      <c r="G135" s="63"/>
      <c r="H135" s="63"/>
      <c r="I135" s="63"/>
      <c r="J135" s="63"/>
      <c r="K135" s="63"/>
      <c r="L135" s="63"/>
    </row>
    <row r="136" spans="2:12" x14ac:dyDescent="0.3">
      <c r="B136" s="28" t="s">
        <v>169</v>
      </c>
      <c r="C136" s="63">
        <f>SUM(C122:J122)+C130+F130</f>
        <v>865369.45828359714</v>
      </c>
      <c r="D136" s="63">
        <f>+D130+G130</f>
        <v>20923.701119999998</v>
      </c>
      <c r="E136" s="63">
        <f>+C136+D136</f>
        <v>886293.15940359712</v>
      </c>
      <c r="F136" s="63"/>
      <c r="G136" s="63"/>
      <c r="H136" s="63"/>
      <c r="I136" s="63"/>
      <c r="J136" s="63"/>
      <c r="K136" s="63"/>
      <c r="L136" s="63"/>
    </row>
    <row r="137" spans="2:12" ht="15" x14ac:dyDescent="0.6">
      <c r="B137" s="28" t="s">
        <v>170</v>
      </c>
      <c r="C137" s="323">
        <f>SUM(C123:J123)+C131+F131</f>
        <v>1311407.6415317594</v>
      </c>
      <c r="D137" s="323">
        <f>+D131+G131</f>
        <v>41847.402239999996</v>
      </c>
      <c r="E137" s="323">
        <f>+C137+D137</f>
        <v>1353255.0437717594</v>
      </c>
    </row>
    <row r="138" spans="2:12" x14ac:dyDescent="0.3">
      <c r="B138" s="28" t="s">
        <v>171</v>
      </c>
      <c r="C138" s="63">
        <f>+C137+C136</f>
        <v>2176777.0998153565</v>
      </c>
      <c r="D138" s="63">
        <f>+D132+G132</f>
        <v>62771.103359999994</v>
      </c>
      <c r="E138" s="339">
        <f>+C138+D138</f>
        <v>2239548.2031753566</v>
      </c>
    </row>
    <row r="139" spans="2:12" x14ac:dyDescent="0.3">
      <c r="B139" s="28"/>
      <c r="C139" s="326"/>
      <c r="E139" s="326"/>
    </row>
    <row r="140" spans="2:12" x14ac:dyDescent="0.3">
      <c r="C140" s="5"/>
      <c r="D140" s="5"/>
      <c r="E140" s="5"/>
      <c r="F140" s="5"/>
      <c r="G140" s="5"/>
      <c r="H140" s="5"/>
      <c r="I140" s="5"/>
      <c r="J140" s="5"/>
      <c r="K140" s="5"/>
      <c r="L140" s="5"/>
    </row>
    <row r="141" spans="2:12" x14ac:dyDescent="0.3">
      <c r="B141" s="4" t="s">
        <v>124</v>
      </c>
    </row>
    <row r="142" spans="2:12" x14ac:dyDescent="0.3">
      <c r="B142" s="28" t="s">
        <v>53</v>
      </c>
      <c r="C142" s="63">
        <f>+C25+D25+E25</f>
        <v>891469.45001533022</v>
      </c>
    </row>
    <row r="143" spans="2:12" ht="15" x14ac:dyDescent="0.6">
      <c r="B143" s="28" t="s">
        <v>54</v>
      </c>
      <c r="C143" s="323">
        <f>+C26+D26+E26</f>
        <v>1348462.3719387364</v>
      </c>
      <c r="E143" s="340"/>
      <c r="F143" s="341"/>
      <c r="G143" s="341"/>
      <c r="H143" s="342"/>
    </row>
    <row r="144" spans="2:12" x14ac:dyDescent="0.3">
      <c r="B144" s="28" t="s">
        <v>19</v>
      </c>
      <c r="C144" s="63">
        <f>+C143+C142</f>
        <v>2239931.8219540669</v>
      </c>
      <c r="E144" s="343" t="s">
        <v>255</v>
      </c>
      <c r="H144" s="344"/>
    </row>
    <row r="145" spans="1:10" ht="12.9" x14ac:dyDescent="0.35">
      <c r="C145" s="326"/>
      <c r="E145" s="343" t="s">
        <v>247</v>
      </c>
      <c r="F145" s="8" t="s">
        <v>251</v>
      </c>
      <c r="H145" s="344"/>
    </row>
    <row r="146" spans="1:10" x14ac:dyDescent="0.3">
      <c r="B146" s="3" t="s">
        <v>223</v>
      </c>
      <c r="C146" s="345"/>
      <c r="D146" s="345"/>
      <c r="E146" s="346" t="s">
        <v>248</v>
      </c>
      <c r="H146" s="344"/>
    </row>
    <row r="147" spans="1:10" x14ac:dyDescent="0.3">
      <c r="B147" s="28" t="s">
        <v>53</v>
      </c>
      <c r="C147" s="63">
        <f>+C142-E136</f>
        <v>5176.2906117331004</v>
      </c>
      <c r="D147" s="296"/>
      <c r="E147" s="347">
        <f>ROUND(1+(C147/C136),5)</f>
        <v>1.0059800000000001</v>
      </c>
      <c r="H147" s="344"/>
    </row>
    <row r="148" spans="1:10" ht="15" x14ac:dyDescent="0.6">
      <c r="B148" s="28" t="s">
        <v>54</v>
      </c>
      <c r="C148" s="323">
        <f>+C143-E137</f>
        <v>-4792.6718330229633</v>
      </c>
      <c r="D148" s="296"/>
      <c r="E148" s="347">
        <f>ROUND(1+(C148/C137),5)</f>
        <v>0.99634999999999996</v>
      </c>
      <c r="H148" s="344"/>
    </row>
    <row r="149" spans="1:10" x14ac:dyDescent="0.3">
      <c r="B149" s="28" t="s">
        <v>19</v>
      </c>
      <c r="C149" s="63">
        <f>+C144-E138</f>
        <v>383.61877871025354</v>
      </c>
      <c r="D149" s="296"/>
      <c r="E149" s="348"/>
      <c r="F149" s="349"/>
      <c r="G149" s="349"/>
      <c r="H149" s="350"/>
    </row>
    <row r="151" spans="1:10" x14ac:dyDescent="0.3">
      <c r="C151" s="4" t="s">
        <v>225</v>
      </c>
    </row>
    <row r="152" spans="1:10" x14ac:dyDescent="0.3">
      <c r="C152" s="4" t="s">
        <v>226</v>
      </c>
    </row>
    <row r="154" spans="1:10" ht="12.9" x14ac:dyDescent="0.35">
      <c r="A154" s="333" t="s">
        <v>256</v>
      </c>
      <c r="B154" s="79" t="s">
        <v>290</v>
      </c>
      <c r="C154" s="326"/>
      <c r="E154" s="326"/>
    </row>
    <row r="155" spans="1:10" ht="12.9" x14ac:dyDescent="0.35">
      <c r="B155" s="8" t="s">
        <v>224</v>
      </c>
    </row>
    <row r="157" spans="1:10" x14ac:dyDescent="0.3">
      <c r="B157" s="7" t="s">
        <v>200</v>
      </c>
    </row>
    <row r="158" spans="1:10" ht="12.9" x14ac:dyDescent="0.35">
      <c r="B158" s="8" t="s">
        <v>249</v>
      </c>
    </row>
    <row r="159" spans="1:10" x14ac:dyDescent="0.3">
      <c r="B159" s="7"/>
    </row>
    <row r="160" spans="1:10" x14ac:dyDescent="0.3">
      <c r="C160" s="5" t="str">
        <f>+C120</f>
        <v>RS</v>
      </c>
      <c r="D160" s="5" t="str">
        <f t="shared" ref="D160:J160" si="5">+D120</f>
        <v>RHS</v>
      </c>
      <c r="E160" s="5" t="str">
        <f t="shared" si="5"/>
        <v>RLM</v>
      </c>
      <c r="F160" s="5" t="str">
        <f t="shared" si="5"/>
        <v>WH</v>
      </c>
      <c r="G160" s="5" t="str">
        <f t="shared" si="5"/>
        <v>WHS</v>
      </c>
      <c r="H160" s="5" t="str">
        <f t="shared" si="5"/>
        <v>HS</v>
      </c>
      <c r="I160" s="5" t="str">
        <f t="shared" si="5"/>
        <v>PSAL</v>
      </c>
      <c r="J160" s="5" t="str">
        <f t="shared" si="5"/>
        <v>BPL</v>
      </c>
    </row>
    <row r="161" spans="2:10" x14ac:dyDescent="0.3">
      <c r="C161" s="333"/>
      <c r="D161" s="333"/>
      <c r="E161" s="333"/>
      <c r="F161" s="334"/>
      <c r="G161" s="334"/>
      <c r="H161" s="334"/>
      <c r="I161" s="334"/>
      <c r="J161" s="334"/>
    </row>
    <row r="162" spans="2:10" x14ac:dyDescent="0.3">
      <c r="B162" s="23" t="s">
        <v>23</v>
      </c>
      <c r="C162" s="333"/>
      <c r="D162" s="333"/>
      <c r="E162" s="333"/>
      <c r="F162" s="334">
        <f>ROUND(+F90*$E$147,4)</f>
        <v>8.0379000000000005</v>
      </c>
      <c r="G162" s="334">
        <f>ROUND(+G90*$E$147,4)</f>
        <v>8.3462999999999994</v>
      </c>
      <c r="H162" s="334">
        <f>ROUND(+H90*$E$147,4)</f>
        <v>9.0404</v>
      </c>
      <c r="I162" s="334">
        <f>ROUND(+I90*$E$147,4)</f>
        <v>7.4550999999999998</v>
      </c>
      <c r="J162" s="334">
        <f>ROUND(+J90*$E$147,4)</f>
        <v>7.4550999999999998</v>
      </c>
    </row>
    <row r="163" spans="2:10" x14ac:dyDescent="0.3">
      <c r="B163" s="56" t="s">
        <v>84</v>
      </c>
      <c r="C163" s="333"/>
      <c r="D163" s="333"/>
      <c r="E163" s="334">
        <f>ROUND(+E91*$E$147,4)</f>
        <v>11.3969</v>
      </c>
      <c r="G163" s="334"/>
      <c r="H163" s="334"/>
      <c r="I163" s="334"/>
      <c r="J163" s="333"/>
    </row>
    <row r="164" spans="2:10" x14ac:dyDescent="0.3">
      <c r="B164" s="56" t="s">
        <v>85</v>
      </c>
      <c r="C164" s="333"/>
      <c r="D164" s="333"/>
      <c r="E164" s="334">
        <f>ROUND(+E92*$E$147,4)</f>
        <v>7.258</v>
      </c>
      <c r="F164" s="333"/>
      <c r="G164" s="333"/>
      <c r="H164" s="333"/>
      <c r="I164" s="333"/>
      <c r="J164" s="333"/>
    </row>
    <row r="165" spans="2:10" x14ac:dyDescent="0.3">
      <c r="B165" s="68"/>
      <c r="C165" s="333"/>
      <c r="D165" s="333"/>
      <c r="E165" s="333"/>
      <c r="F165" s="333"/>
      <c r="G165" s="333"/>
      <c r="H165" s="333"/>
      <c r="I165" s="333"/>
      <c r="J165" s="333"/>
    </row>
    <row r="166" spans="2:10" x14ac:dyDescent="0.3">
      <c r="B166" s="330" t="s">
        <v>165</v>
      </c>
      <c r="C166" s="334">
        <f>ROUND(+C94*$E$147,4)</f>
        <v>8.8008000000000006</v>
      </c>
      <c r="D166" s="334">
        <f>ROUND(+D94*$E$147,4)</f>
        <v>8.3630999999999993</v>
      </c>
      <c r="E166" s="333"/>
      <c r="F166" s="333"/>
      <c r="G166" s="333"/>
      <c r="H166" s="333"/>
      <c r="I166" s="333"/>
      <c r="J166" s="333"/>
    </row>
    <row r="167" spans="2:10" x14ac:dyDescent="0.3">
      <c r="B167" s="330" t="s">
        <v>166</v>
      </c>
      <c r="C167" s="334">
        <f>ROUND(+C95*$E$147,4)</f>
        <v>9.6712000000000007</v>
      </c>
      <c r="D167" s="334">
        <f>ROUND(+D95*$E$147,4)</f>
        <v>9.5268999999999995</v>
      </c>
      <c r="E167" s="333"/>
      <c r="F167" s="333"/>
      <c r="G167" s="333"/>
      <c r="H167" s="333"/>
      <c r="I167" s="333"/>
      <c r="J167" s="333"/>
    </row>
    <row r="168" spans="2:10" x14ac:dyDescent="0.3">
      <c r="C168" s="334"/>
      <c r="D168" s="334"/>
      <c r="E168" s="333"/>
      <c r="F168" s="333"/>
      <c r="G168" s="333"/>
      <c r="H168" s="333"/>
      <c r="I168" s="333"/>
      <c r="J168" s="333"/>
    </row>
    <row r="169" spans="2:10" x14ac:dyDescent="0.3">
      <c r="B169" s="23" t="s">
        <v>24</v>
      </c>
      <c r="C169" s="334">
        <f>ROUND(+C97*$E$148,4)</f>
        <v>9.1151</v>
      </c>
      <c r="D169" s="334">
        <f>ROUND(+D97*$E$148,4)</f>
        <v>8.9878999999999998</v>
      </c>
      <c r="E169" s="333"/>
      <c r="F169" s="334">
        <f>ROUND(+F97*$E$148,4)</f>
        <v>8.2070000000000007</v>
      </c>
      <c r="G169" s="334">
        <f>ROUND(+G97*$E$148,4)</f>
        <v>8.5465</v>
      </c>
      <c r="H169" s="334">
        <f>ROUND(+H97*$E$148,4)</f>
        <v>9.1999999999999993</v>
      </c>
      <c r="I169" s="334">
        <f>ROUND(+I97*$E$148,4)</f>
        <v>8.1220999999999997</v>
      </c>
      <c r="J169" s="334">
        <f>ROUND(+J97*$E$148,4)</f>
        <v>8.1220999999999997</v>
      </c>
    </row>
    <row r="170" spans="2:10" x14ac:dyDescent="0.3">
      <c r="B170" s="56" t="s">
        <v>84</v>
      </c>
      <c r="C170" s="333"/>
      <c r="D170" s="333"/>
      <c r="E170" s="334">
        <f>ROUND(+E98*$E$148,4)</f>
        <v>10.6853</v>
      </c>
      <c r="F170" s="333"/>
      <c r="G170" s="333"/>
      <c r="H170" s="333"/>
      <c r="I170" s="333"/>
      <c r="J170" s="333"/>
    </row>
    <row r="171" spans="2:10" x14ac:dyDescent="0.3">
      <c r="B171" s="56" t="s">
        <v>85</v>
      </c>
      <c r="C171" s="333"/>
      <c r="D171" s="333"/>
      <c r="E171" s="334">
        <f>ROUND(+E99*$E$148,4)</f>
        <v>7.9524999999999997</v>
      </c>
      <c r="F171" s="333"/>
      <c r="G171" s="333"/>
      <c r="H171" s="333"/>
      <c r="I171" s="333"/>
      <c r="J171" s="333"/>
    </row>
    <row r="172" spans="2:10" x14ac:dyDescent="0.3">
      <c r="C172" s="333"/>
      <c r="D172" s="333"/>
      <c r="E172" s="334"/>
      <c r="F172" s="333"/>
      <c r="G172" s="333"/>
      <c r="H172" s="333"/>
      <c r="I172" s="333"/>
      <c r="J172" s="333"/>
    </row>
    <row r="175" spans="2:10" x14ac:dyDescent="0.3">
      <c r="B175" s="7" t="s">
        <v>201</v>
      </c>
    </row>
    <row r="176" spans="2:10" ht="12.9" x14ac:dyDescent="0.35">
      <c r="B176" s="8" t="s">
        <v>250</v>
      </c>
    </row>
    <row r="177" spans="1:12" x14ac:dyDescent="0.3">
      <c r="B177" s="328"/>
    </row>
    <row r="178" spans="1:12" x14ac:dyDescent="0.3">
      <c r="C178" s="5" t="str">
        <f>+C106</f>
        <v>GLP</v>
      </c>
      <c r="D178" s="5"/>
      <c r="E178" s="5" t="str">
        <f>+E106</f>
        <v>LPL-S</v>
      </c>
      <c r="F178" s="5"/>
      <c r="H178" s="7" t="s">
        <v>31</v>
      </c>
      <c r="I178" s="5" t="str">
        <f>+C178</f>
        <v>GLP</v>
      </c>
      <c r="J178" s="5" t="str">
        <f>+E178</f>
        <v>LPL-S</v>
      </c>
    </row>
    <row r="179" spans="1:12" x14ac:dyDescent="0.3">
      <c r="F179" s="70"/>
    </row>
    <row r="180" spans="1:12" x14ac:dyDescent="0.3">
      <c r="B180" s="23" t="s">
        <v>23</v>
      </c>
      <c r="C180" s="334">
        <f>ROUND(+C108*$E$147,4)</f>
        <v>8.3318999999999992</v>
      </c>
      <c r="D180" s="334"/>
      <c r="E180" s="334"/>
      <c r="F180" s="66"/>
      <c r="H180" s="58" t="s">
        <v>28</v>
      </c>
    </row>
    <row r="181" spans="1:12" x14ac:dyDescent="0.3">
      <c r="B181" s="56" t="s">
        <v>84</v>
      </c>
      <c r="C181" s="334"/>
      <c r="D181" s="334"/>
      <c r="E181" s="334">
        <f>ROUND(+E109*$E$147,4)</f>
        <v>9.3010000000000002</v>
      </c>
      <c r="F181" s="67"/>
      <c r="H181" s="33" t="s">
        <v>47</v>
      </c>
      <c r="I181" s="351">
        <f>+I109</f>
        <v>1.5770999999999999</v>
      </c>
      <c r="J181" s="351">
        <f>+J109</f>
        <v>1.5770999999999999</v>
      </c>
    </row>
    <row r="182" spans="1:12" x14ac:dyDescent="0.3">
      <c r="B182" s="56" t="s">
        <v>85</v>
      </c>
      <c r="C182" s="334"/>
      <c r="D182" s="334"/>
      <c r="E182" s="334">
        <f>ROUND(+E110*$E$147,4)</f>
        <v>7.2408999999999999</v>
      </c>
      <c r="F182" s="67"/>
      <c r="H182" s="33" t="s">
        <v>48</v>
      </c>
      <c r="I182" s="351">
        <f>+I110</f>
        <v>1.5770999999999999</v>
      </c>
      <c r="J182" s="351">
        <f>+J110</f>
        <v>1.5770999999999999</v>
      </c>
    </row>
    <row r="183" spans="1:12" x14ac:dyDescent="0.3">
      <c r="C183" s="334"/>
      <c r="D183" s="334"/>
      <c r="E183" s="334"/>
      <c r="F183" s="67"/>
      <c r="H183" s="33"/>
      <c r="I183" s="332"/>
      <c r="J183" s="332"/>
    </row>
    <row r="184" spans="1:12" x14ac:dyDescent="0.3">
      <c r="B184" s="23" t="s">
        <v>24</v>
      </c>
      <c r="C184" s="334">
        <f>ROUND(+C112*$E$148,4)</f>
        <v>8.2827000000000002</v>
      </c>
      <c r="D184" s="334"/>
      <c r="E184" s="334"/>
      <c r="F184" s="67"/>
      <c r="H184" s="58" t="s">
        <v>29</v>
      </c>
      <c r="I184" s="60"/>
      <c r="J184" s="60"/>
    </row>
    <row r="185" spans="1:12" x14ac:dyDescent="0.3">
      <c r="B185" s="56" t="s">
        <v>84</v>
      </c>
      <c r="C185" s="334"/>
      <c r="D185" s="334"/>
      <c r="E185" s="334">
        <f>ROUND(+E113*$E$148,4)</f>
        <v>8.6180000000000003</v>
      </c>
      <c r="F185" s="67"/>
      <c r="H185" s="33" t="s">
        <v>49</v>
      </c>
      <c r="I185" s="351">
        <f>+I113</f>
        <v>0</v>
      </c>
      <c r="J185" s="351">
        <f>+J113</f>
        <v>0</v>
      </c>
    </row>
    <row r="186" spans="1:12" x14ac:dyDescent="0.3">
      <c r="B186" s="56" t="s">
        <v>85</v>
      </c>
      <c r="C186" s="334"/>
      <c r="D186" s="334"/>
      <c r="E186" s="334">
        <f>ROUND(+E114*$E$148,4)</f>
        <v>7.9015000000000004</v>
      </c>
      <c r="F186" s="67"/>
    </row>
    <row r="190" spans="1:12" ht="12.9" x14ac:dyDescent="0.35">
      <c r="A190" s="333" t="s">
        <v>259</v>
      </c>
      <c r="B190" s="7" t="s">
        <v>257</v>
      </c>
      <c r="C190" s="326"/>
      <c r="E190" s="326"/>
    </row>
    <row r="191" spans="1:12" x14ac:dyDescent="0.3">
      <c r="C191" s="326"/>
      <c r="E191" s="326"/>
    </row>
    <row r="192" spans="1:12" x14ac:dyDescent="0.3">
      <c r="C192" s="5" t="s">
        <v>0</v>
      </c>
      <c r="D192" s="5" t="s">
        <v>1</v>
      </c>
      <c r="E192" s="5" t="s">
        <v>2</v>
      </c>
      <c r="F192" s="5" t="s">
        <v>3</v>
      </c>
      <c r="G192" s="5" t="s">
        <v>4</v>
      </c>
      <c r="H192" s="5" t="s">
        <v>6</v>
      </c>
      <c r="I192" s="5" t="s">
        <v>37</v>
      </c>
      <c r="J192" s="5" t="s">
        <v>38</v>
      </c>
      <c r="K192" s="5" t="s">
        <v>5</v>
      </c>
      <c r="L192" s="5" t="s">
        <v>36</v>
      </c>
    </row>
    <row r="193" spans="2:12" x14ac:dyDescent="0.3">
      <c r="B193" s="4" t="s">
        <v>123</v>
      </c>
    </row>
    <row r="194" spans="2:12" x14ac:dyDescent="0.3">
      <c r="B194" s="28" t="s">
        <v>53</v>
      </c>
      <c r="C194" s="324">
        <f>+C166/100*'Attach 2'!O53+'Attach 3'!C167/100*'Attach 2'!O54</f>
        <v>511429.29299017612</v>
      </c>
      <c r="D194" s="324">
        <f>+D166/100*'Attach 2'!P53+'Attach 3'!D167/100*'Attach 2'!P54</f>
        <v>1469.5840897146588</v>
      </c>
      <c r="E194" s="336">
        <f>+E163/100*'Attach 2'!Q50+E164/100*'Attach 2'!Q51</f>
        <v>7172.6341240824295</v>
      </c>
      <c r="F194" s="324">
        <f>+F162/100*'Attach 2'!R49</f>
        <v>12.378366000000002</v>
      </c>
      <c r="G194" s="324">
        <f>+G162/100*'Attach 2'!S49</f>
        <v>0.25038899999999997</v>
      </c>
      <c r="H194" s="324">
        <f>+H162/100*'Attach 2'!T49</f>
        <v>175.74512976251594</v>
      </c>
      <c r="I194" s="324">
        <f>+I162/100*'Attach 2'!U49</f>
        <v>2494.2528069999998</v>
      </c>
      <c r="J194" s="324">
        <f>+J162/100*'Attach 2'!V49</f>
        <v>5754.7407919999996</v>
      </c>
      <c r="K194" s="336">
        <f>+C180/100*'Attach 2'!W49+I181*'Attach 2'!K147*4+'Attach 3'!I185*'Attach 2'!K149*4</f>
        <v>204518.84068473268</v>
      </c>
      <c r="L194" s="336">
        <f>+E181/100*'Attach 2'!X50+'Attach 3'!E182/100*'Attach 2'!X51+'Attach 3'!J181*'Attach 2'!L147*4+'Attach 3'!J185*'Attach 2'!L149*4</f>
        <v>158438.93911885814</v>
      </c>
    </row>
    <row r="195" spans="2:12" ht="15" x14ac:dyDescent="0.6">
      <c r="B195" s="28" t="s">
        <v>54</v>
      </c>
      <c r="C195" s="337">
        <f>+C169/100*'Attach 2'!O45</f>
        <v>669860.62628977618</v>
      </c>
      <c r="D195" s="337">
        <f>+D169/100*'Attach 2'!P45</f>
        <v>5277.0840552218624</v>
      </c>
      <c r="E195" s="337">
        <f>+E170/100*'Attach 2'!Q46+'Attach 3'!E171/100*'Attach 2'!Q47</f>
        <v>8612.4116327613556</v>
      </c>
      <c r="F195" s="337">
        <f>+F169/100*'Attach 2'!R45</f>
        <v>32.992139999999999</v>
      </c>
      <c r="G195" s="337">
        <f>+G169/100*'Attach 2'!S45</f>
        <v>0.42732500000000001</v>
      </c>
      <c r="H195" s="337">
        <f>+H169/100*'Attach 2'!T45</f>
        <v>672.46425468587483</v>
      </c>
      <c r="I195" s="337">
        <f>+I169/100*'Attach 2'!U45</f>
        <v>7218.3539330000003</v>
      </c>
      <c r="J195" s="337">
        <f>+J169/100*'Attach 2'!V45</f>
        <v>16569.165220999999</v>
      </c>
      <c r="K195" s="338">
        <f>+C184/100*'Attach 2'!W45+'Attach 3'!I182*'Attach 2'!K147*8+'Attach 3'!I185*'Attach 2'!K149*8</f>
        <v>354058.18140272301</v>
      </c>
      <c r="L195" s="338">
        <f>+E185/100*'Attach 2'!X46+'Attach 3'!E186/100*'Attach 2'!X47+'Attach 3'!J182*'Attach 2'!L147*8+'Attach 3'!J185*'Attach 2'!L149*8</f>
        <v>286168.05305997829</v>
      </c>
    </row>
    <row r="196" spans="2:12" x14ac:dyDescent="0.3">
      <c r="B196" s="28" t="s">
        <v>19</v>
      </c>
      <c r="C196" s="63">
        <f t="shared" ref="C196:L196" si="6">+C195+C194</f>
        <v>1181289.9192799523</v>
      </c>
      <c r="D196" s="63">
        <f t="shared" si="6"/>
        <v>6746.6681449365215</v>
      </c>
      <c r="E196" s="63">
        <f t="shared" si="6"/>
        <v>15785.045756843785</v>
      </c>
      <c r="F196" s="63">
        <f t="shared" si="6"/>
        <v>45.370505999999999</v>
      </c>
      <c r="G196" s="63">
        <f t="shared" si="6"/>
        <v>0.67771399999999993</v>
      </c>
      <c r="H196" s="63">
        <f t="shared" si="6"/>
        <v>848.20938444839078</v>
      </c>
      <c r="I196" s="63">
        <f t="shared" si="6"/>
        <v>9712.6067399999993</v>
      </c>
      <c r="J196" s="63">
        <f t="shared" si="6"/>
        <v>22323.906013</v>
      </c>
      <c r="K196" s="63">
        <f t="shared" si="6"/>
        <v>558577.02208745573</v>
      </c>
      <c r="L196" s="63">
        <f t="shared" si="6"/>
        <v>444606.99217883643</v>
      </c>
    </row>
    <row r="197" spans="2:12" x14ac:dyDescent="0.3">
      <c r="B197" s="28"/>
      <c r="C197" s="63"/>
      <c r="D197" s="63"/>
      <c r="E197" s="63"/>
      <c r="F197" s="63"/>
      <c r="G197" s="63"/>
      <c r="H197" s="63"/>
      <c r="I197" s="63"/>
      <c r="J197" s="63"/>
      <c r="K197" s="63"/>
      <c r="L197" s="63"/>
    </row>
    <row r="198" spans="2:12" x14ac:dyDescent="0.3">
      <c r="B198" s="28" t="s">
        <v>169</v>
      </c>
      <c r="C198" s="63">
        <f>SUM(C194:L194)</f>
        <v>891466.6584913265</v>
      </c>
      <c r="D198" s="63"/>
      <c r="E198" s="63"/>
      <c r="F198" s="63"/>
      <c r="G198" s="63"/>
      <c r="H198" s="63"/>
      <c r="I198" s="63"/>
      <c r="J198" s="63"/>
      <c r="K198" s="63"/>
      <c r="L198" s="63"/>
    </row>
    <row r="199" spans="2:12" ht="15" x14ac:dyDescent="0.6">
      <c r="B199" s="28" t="s">
        <v>170</v>
      </c>
      <c r="C199" s="323">
        <f>SUM(C195:L195)</f>
        <v>1348469.7593141468</v>
      </c>
      <c r="E199" s="326"/>
    </row>
    <row r="200" spans="2:12" x14ac:dyDescent="0.3">
      <c r="B200" s="28" t="s">
        <v>171</v>
      </c>
      <c r="C200" s="63">
        <f>+C199+C198</f>
        <v>2239936.4178054733</v>
      </c>
      <c r="E200" s="326"/>
    </row>
    <row r="201" spans="2:12" x14ac:dyDescent="0.3">
      <c r="B201" s="28"/>
      <c r="C201" s="326"/>
      <c r="E201" s="326"/>
    </row>
    <row r="202" spans="2:12" x14ac:dyDescent="0.3">
      <c r="C202" s="5"/>
      <c r="D202" s="5"/>
      <c r="E202" s="5"/>
      <c r="F202" s="5"/>
      <c r="G202" s="5"/>
      <c r="H202" s="5"/>
      <c r="I202" s="5"/>
      <c r="J202" s="5"/>
      <c r="K202" s="5"/>
      <c r="L202" s="5"/>
    </row>
    <row r="203" spans="2:12" x14ac:dyDescent="0.3">
      <c r="B203" s="4" t="s">
        <v>124</v>
      </c>
    </row>
    <row r="204" spans="2:12" x14ac:dyDescent="0.3">
      <c r="B204" s="28" t="s">
        <v>53</v>
      </c>
      <c r="C204" s="63">
        <f>+C25+D25+E25</f>
        <v>891469.45001533022</v>
      </c>
    </row>
    <row r="205" spans="2:12" ht="15" x14ac:dyDescent="0.6">
      <c r="B205" s="28" t="s">
        <v>54</v>
      </c>
      <c r="C205" s="323">
        <f>+C26+D26+E26</f>
        <v>1348462.3719387364</v>
      </c>
    </row>
    <row r="206" spans="2:12" x14ac:dyDescent="0.3">
      <c r="B206" s="28" t="s">
        <v>19</v>
      </c>
      <c r="C206" s="63">
        <f>+C205+C204</f>
        <v>2239931.8219540669</v>
      </c>
      <c r="D206" s="63"/>
      <c r="G206" s="28"/>
    </row>
    <row r="207" spans="2:12" x14ac:dyDescent="0.3">
      <c r="C207" s="326"/>
      <c r="E207" s="326"/>
      <c r="G207" s="28"/>
    </row>
    <row r="208" spans="2:12" x14ac:dyDescent="0.3">
      <c r="B208" s="3" t="s">
        <v>223</v>
      </c>
      <c r="C208" s="63"/>
      <c r="E208" s="352" t="s">
        <v>227</v>
      </c>
      <c r="G208" s="352"/>
    </row>
    <row r="209" spans="2:5" x14ac:dyDescent="0.3">
      <c r="B209" s="28" t="s">
        <v>53</v>
      </c>
      <c r="C209" s="63">
        <f>+C198-C204</f>
        <v>-2.7915240037254989</v>
      </c>
      <c r="E209" s="296">
        <f>+C209/C198</f>
        <v>-3.1313835207810624E-6</v>
      </c>
    </row>
    <row r="210" spans="2:5" ht="15" x14ac:dyDescent="0.6">
      <c r="B210" s="28" t="s">
        <v>54</v>
      </c>
      <c r="C210" s="323">
        <f>+C199-C205</f>
        <v>7.3873754104133695</v>
      </c>
      <c r="E210" s="297">
        <f>+C210/C199</f>
        <v>5.478339695337852E-6</v>
      </c>
    </row>
    <row r="211" spans="2:5" x14ac:dyDescent="0.3">
      <c r="B211" s="28" t="s">
        <v>19</v>
      </c>
      <c r="C211" s="63">
        <f>+C200-C206</f>
        <v>4.59585140645504</v>
      </c>
      <c r="E211" s="296">
        <f>+C211/C200</f>
        <v>2.0517776174011764E-6</v>
      </c>
    </row>
    <row r="213" spans="2:5" x14ac:dyDescent="0.3">
      <c r="C213" s="57"/>
    </row>
  </sheetData>
  <customSheetViews>
    <customSheetView guid="{9BF7FAF1-D686-4A6B-A2BE-0DAD43841920}" fitToPage="1" hiddenRows="1" topLeftCell="A43">
      <selection activeCell="A7" sqref="A7"/>
      <rowBreaks count="7" manualBreakCount="7">
        <brk id="40" max="11" man="1"/>
        <brk id="79" max="11" man="1"/>
        <brk id="115" max="11" man="1"/>
        <brk id="151" max="11" man="1"/>
        <brk id="187" max="11" man="1"/>
        <brk id="212" max="11" man="1"/>
        <brk id="250" max="11" man="1"/>
      </rowBreaks>
      <pageMargins left="0.75" right="0.75" top="1" bottom="1" header="0.5" footer="0.5"/>
      <pageSetup scale="73" fitToHeight="0" orientation="landscape" r:id="rId1"/>
      <headerFooter alignWithMargins="0">
        <oddHeader>&amp;CPublic Service Electric and Gas Company Specific Addendum
Attachment 3</oddHeader>
        <oddFooter>&amp;CPage &amp;P of &amp;N</oddFooter>
      </headerFooter>
    </customSheetView>
    <customSheetView guid="{D5524E47-947F-4D9F-AE8B-3F0380261994}" fitToPage="1" hiddenRows="1" topLeftCell="A76">
      <selection activeCell="A7" sqref="A7"/>
      <rowBreaks count="7" manualBreakCount="7">
        <brk id="40" max="11" man="1"/>
        <brk id="79" max="11" man="1"/>
        <brk id="115" max="11" man="1"/>
        <brk id="151" max="11" man="1"/>
        <brk id="187" max="11" man="1"/>
        <brk id="212" max="11" man="1"/>
        <brk id="250" max="11" man="1"/>
      </rowBreaks>
      <pageMargins left="0.75" right="0.75" top="1" bottom="1" header="0.5" footer="0.5"/>
      <pageSetup scale="73" fitToHeight="0" orientation="landscape" r:id="rId2"/>
      <headerFooter alignWithMargins="0">
        <oddHeader>&amp;CPublic Service Electric and Gas Company Specific Addendum
Attachment 3</oddHeader>
        <oddFooter>&amp;CPage &amp;P of &amp;N</oddFooter>
      </headerFooter>
    </customSheetView>
    <customSheetView guid="{88B031DE-0423-45A5-B384-E560A52FDD07}" fitToPage="1" hiddenRows="1" topLeftCell="A43">
      <selection activeCell="A7" sqref="A7"/>
      <rowBreaks count="7" manualBreakCount="7">
        <brk id="40" max="11" man="1"/>
        <brk id="79" max="11" man="1"/>
        <brk id="115" max="11" man="1"/>
        <brk id="151" max="11" man="1"/>
        <brk id="187" max="11" man="1"/>
        <brk id="212" max="11" man="1"/>
        <brk id="250" max="11" man="1"/>
      </rowBreaks>
      <pageMargins left="0.75" right="0.75" top="1" bottom="1" header="0.5" footer="0.5"/>
      <pageSetup scale="73" fitToHeight="0" orientation="landscape" r:id="rId3"/>
      <headerFooter alignWithMargins="0">
        <oddHeader>&amp;CPublic Service Electric and Gas Company Specific Addendum
Attachment 3</oddHeader>
        <oddFooter>&amp;CPage &amp;P of &amp;N</oddFooter>
      </headerFooter>
    </customSheetView>
    <customSheetView guid="{782F5CFE-DE26-4D5A-B82E-30A424B0A39B}" fitToPage="1" hiddenRows="1" topLeftCell="A43">
      <selection activeCell="A7" sqref="A7"/>
      <rowBreaks count="7" manualBreakCount="7">
        <brk id="40" max="11" man="1"/>
        <brk id="79" max="11" man="1"/>
        <brk id="115" max="11" man="1"/>
        <brk id="151" max="11" man="1"/>
        <brk id="187" max="11" man="1"/>
        <brk id="212" max="11" man="1"/>
        <brk id="250" max="11" man="1"/>
      </rowBreaks>
      <pageMargins left="0.75" right="0.75" top="1" bottom="1" header="0.5" footer="0.5"/>
      <pageSetup scale="73" fitToHeight="0" orientation="landscape" r:id="rId4"/>
      <headerFooter alignWithMargins="0">
        <oddHeader>&amp;CPublic Service Electric and Gas Company Specific Addendum
Attachment 3</oddHeader>
        <oddFooter>&amp;CPage &amp;P of &amp;N</oddFooter>
      </headerFooter>
    </customSheetView>
  </customSheetViews>
  <mergeCells count="1">
    <mergeCell ref="N1:Q2"/>
  </mergeCells>
  <phoneticPr fontId="0" type="noConversion"/>
  <pageMargins left="0.75" right="0.75" top="1" bottom="1" header="0.5" footer="0.5"/>
  <pageSetup scale="67" fitToHeight="0" orientation="landscape" r:id="rId5"/>
  <headerFooter alignWithMargins="0">
    <oddHeader>&amp;CPublic Service Electric and Gas Company Specific Addendum
Attachment 3</oddHeader>
    <oddFooter>&amp;CPage &amp;P of &amp;N</oddFooter>
  </headerFooter>
  <rowBreaks count="7" manualBreakCount="7">
    <brk id="41" max="11" man="1"/>
    <brk id="80" max="11" man="1"/>
    <brk id="116" max="11" man="1"/>
    <brk id="152" max="11" man="1"/>
    <brk id="188" max="11" man="1"/>
    <brk id="213" max="11" man="1"/>
    <brk id="25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19D41-05CC-4676-BC23-ED3855F2455F}">
  <sheetPr>
    <tabColor rgb="FFFFEBF9"/>
    <pageSetUpPr fitToPage="1"/>
  </sheetPr>
  <dimension ref="A1:H31"/>
  <sheetViews>
    <sheetView view="pageBreakPreview" zoomScale="90" zoomScaleNormal="70" zoomScaleSheetLayoutView="90" workbookViewId="0"/>
  </sheetViews>
  <sheetFormatPr defaultColWidth="9.07421875" defaultRowHeight="12.45" x14ac:dyDescent="0.3"/>
  <cols>
    <col min="1" max="1" width="3.4609375" style="226" bestFit="1" customWidth="1"/>
    <col min="2" max="2" width="62.53515625" style="226" bestFit="1" customWidth="1"/>
    <col min="3" max="5" width="27.4609375" style="226" customWidth="1"/>
    <col min="6" max="6" width="5.07421875" style="226" customWidth="1"/>
    <col min="7" max="7" width="60.23046875" style="226" customWidth="1"/>
    <col min="8" max="8" width="4.07421875" style="226" customWidth="1"/>
    <col min="9" max="9" width="36" style="226" customWidth="1"/>
    <col min="10" max="16384" width="9.07421875" style="226"/>
  </cols>
  <sheetData>
    <row r="1" spans="1:8" ht="40.950000000000003" customHeight="1" x14ac:dyDescent="0.4">
      <c r="B1" s="227" t="s">
        <v>512</v>
      </c>
      <c r="F1" s="525"/>
      <c r="G1" s="525"/>
      <c r="H1" s="506"/>
    </row>
    <row r="2" spans="1:8" ht="88.2" customHeight="1" x14ac:dyDescent="0.4">
      <c r="B2" s="247" t="s">
        <v>550</v>
      </c>
      <c r="C2" s="438" t="s">
        <v>551</v>
      </c>
      <c r="D2" s="438" t="s">
        <v>596</v>
      </c>
      <c r="E2" s="438" t="s">
        <v>598</v>
      </c>
      <c r="F2" s="525"/>
      <c r="G2" s="525"/>
    </row>
    <row r="3" spans="1:8" ht="26.4" customHeight="1" x14ac:dyDescent="0.35">
      <c r="C3" s="234" t="s">
        <v>552</v>
      </c>
      <c r="D3" s="234" t="s">
        <v>552</v>
      </c>
      <c r="E3" s="234" t="s">
        <v>552</v>
      </c>
      <c r="G3" s="229" t="s">
        <v>203</v>
      </c>
    </row>
    <row r="4" spans="1:8" ht="21" customHeight="1" x14ac:dyDescent="0.3">
      <c r="A4" s="226">
        <v>1</v>
      </c>
      <c r="B4" s="230" t="s">
        <v>544</v>
      </c>
      <c r="C4" s="231">
        <v>50</v>
      </c>
      <c r="D4" s="231">
        <v>50</v>
      </c>
      <c r="E4" s="231">
        <v>50</v>
      </c>
      <c r="G4" s="233" t="s">
        <v>543</v>
      </c>
    </row>
    <row r="5" spans="1:8" ht="27.65" customHeight="1" x14ac:dyDescent="0.3">
      <c r="A5" s="226">
        <v>2</v>
      </c>
      <c r="B5" s="230" t="s">
        <v>513</v>
      </c>
      <c r="C5" s="232">
        <v>44.63</v>
      </c>
      <c r="D5" s="232">
        <v>47.46</v>
      </c>
      <c r="E5" s="487">
        <v>53.76</v>
      </c>
      <c r="G5" s="233" t="s">
        <v>594</v>
      </c>
      <c r="H5" s="233"/>
    </row>
    <row r="6" spans="1:8" ht="12.9" x14ac:dyDescent="0.35">
      <c r="C6" s="234"/>
      <c r="D6" s="234"/>
      <c r="E6" s="234"/>
      <c r="G6" s="248"/>
    </row>
    <row r="7" spans="1:8" x14ac:dyDescent="0.3">
      <c r="A7" s="226">
        <v>3</v>
      </c>
      <c r="B7" s="230" t="s">
        <v>514</v>
      </c>
      <c r="C7" s="235">
        <f>C4-C5</f>
        <v>5.3699999999999974</v>
      </c>
      <c r="D7" s="235">
        <f>D4-D5</f>
        <v>2.5399999999999991</v>
      </c>
      <c r="E7" s="235">
        <f>E4-E5</f>
        <v>-3.759999999999998</v>
      </c>
      <c r="G7" s="233" t="s">
        <v>515</v>
      </c>
    </row>
    <row r="8" spans="1:8" x14ac:dyDescent="0.3">
      <c r="A8" s="226">
        <v>4</v>
      </c>
      <c r="B8" s="230" t="s">
        <v>516</v>
      </c>
      <c r="C8" s="236">
        <f>SUM('Attach 2'!$C$147:$L$147)</f>
        <v>8884.2999999999993</v>
      </c>
      <c r="D8" s="236">
        <f>SUM('Attach 2'!$C$147:$L$147)</f>
        <v>8884.2999999999993</v>
      </c>
      <c r="E8" s="236">
        <f>SUM('Attach 2'!$C$147:$L$147)</f>
        <v>8884.2999999999993</v>
      </c>
    </row>
    <row r="9" spans="1:8" x14ac:dyDescent="0.3">
      <c r="A9" s="226">
        <v>5</v>
      </c>
      <c r="B9" s="230" t="s">
        <v>517</v>
      </c>
      <c r="C9" s="237">
        <v>365</v>
      </c>
      <c r="D9" s="237">
        <v>365</v>
      </c>
      <c r="E9" s="237">
        <v>365</v>
      </c>
    </row>
    <row r="10" spans="1:8" x14ac:dyDescent="0.3">
      <c r="A10" s="226">
        <v>6</v>
      </c>
      <c r="B10" s="230" t="s">
        <v>518</v>
      </c>
      <c r="C10" s="238">
        <f>C7*C8*C9</f>
        <v>17413672.214999989</v>
      </c>
      <c r="D10" s="238">
        <f>D7*D8*D9</f>
        <v>8236634.5299999975</v>
      </c>
      <c r="E10" s="238">
        <f>E7*E8*E9</f>
        <v>-12192813.319999993</v>
      </c>
      <c r="G10" s="233" t="s">
        <v>519</v>
      </c>
    </row>
    <row r="11" spans="1:8" x14ac:dyDescent="0.3">
      <c r="B11" s="230"/>
      <c r="C11" s="239"/>
      <c r="D11" s="239"/>
      <c r="E11" s="239"/>
      <c r="G11" s="233"/>
    </row>
    <row r="12" spans="1:8" x14ac:dyDescent="0.3">
      <c r="A12" s="226">
        <v>7</v>
      </c>
      <c r="B12" s="240" t="s">
        <v>508</v>
      </c>
      <c r="C12" s="241">
        <v>28</v>
      </c>
      <c r="D12" s="241">
        <v>29</v>
      </c>
      <c r="E12" s="241">
        <v>28</v>
      </c>
      <c r="G12" s="233" t="s">
        <v>520</v>
      </c>
    </row>
    <row r="13" spans="1:8" x14ac:dyDescent="0.3">
      <c r="A13" s="226">
        <v>8</v>
      </c>
      <c r="B13" s="230" t="s">
        <v>435</v>
      </c>
      <c r="C13" s="242">
        <v>85</v>
      </c>
      <c r="D13" s="242">
        <v>85</v>
      </c>
      <c r="E13" s="242">
        <v>85</v>
      </c>
      <c r="G13" s="233" t="s">
        <v>520</v>
      </c>
    </row>
    <row r="14" spans="1:8" x14ac:dyDescent="0.3">
      <c r="A14" s="226">
        <v>9</v>
      </c>
      <c r="B14" s="230" t="s">
        <v>521</v>
      </c>
      <c r="C14" s="243">
        <f>+C12/C13</f>
        <v>0.32941176470588235</v>
      </c>
      <c r="D14" s="243">
        <f>+D12/D13</f>
        <v>0.3411764705882353</v>
      </c>
      <c r="E14" s="243">
        <f>+E12/E13</f>
        <v>0.32941176470588235</v>
      </c>
      <c r="G14" s="233" t="s">
        <v>522</v>
      </c>
    </row>
    <row r="15" spans="1:8" x14ac:dyDescent="0.3">
      <c r="B15" s="230"/>
      <c r="C15" s="239"/>
      <c r="D15" s="239"/>
      <c r="E15" s="239"/>
      <c r="G15" s="233"/>
    </row>
    <row r="16" spans="1:8" x14ac:dyDescent="0.3">
      <c r="A16" s="226">
        <v>10</v>
      </c>
      <c r="B16" s="230" t="s">
        <v>523</v>
      </c>
      <c r="C16" s="239">
        <f>C10*C14</f>
        <v>5736268.4943529377</v>
      </c>
      <c r="D16" s="239">
        <f>D10*D14</f>
        <v>2810145.8984705876</v>
      </c>
      <c r="E16" s="239">
        <f>E10*E14</f>
        <v>-4016456.1524705859</v>
      </c>
      <c r="G16" s="233" t="s">
        <v>524</v>
      </c>
    </row>
    <row r="17" spans="1:7" x14ac:dyDescent="0.3">
      <c r="B17" s="230"/>
      <c r="C17" s="239"/>
      <c r="D17" s="239"/>
      <c r="E17" s="239"/>
      <c r="G17" s="233"/>
    </row>
    <row r="18" spans="1:7" x14ac:dyDescent="0.3">
      <c r="A18" s="226">
        <v>11</v>
      </c>
      <c r="B18" s="244" t="s">
        <v>525</v>
      </c>
      <c r="C18" s="245">
        <f>'Attach 2'!C354</f>
        <v>26295689.787887268</v>
      </c>
      <c r="D18" s="245">
        <f>'Attach 2'!$C$354</f>
        <v>26295689.787887268</v>
      </c>
      <c r="E18" s="245">
        <f>'Attach 2'!$C$354</f>
        <v>26295689.787887268</v>
      </c>
    </row>
    <row r="19" spans="1:7" x14ac:dyDescent="0.3">
      <c r="A19" s="226">
        <v>12</v>
      </c>
      <c r="B19" s="230" t="s">
        <v>526</v>
      </c>
      <c r="C19" s="237">
        <f>+C14*C18</f>
        <v>8662109.5771863945</v>
      </c>
      <c r="D19" s="237">
        <f>+D14*D18</f>
        <v>8971470.6335144807</v>
      </c>
      <c r="E19" s="237">
        <f>+E14*E18</f>
        <v>8662109.5771863945</v>
      </c>
      <c r="G19" s="233" t="s">
        <v>527</v>
      </c>
    </row>
    <row r="20" spans="1:7" x14ac:dyDescent="0.3">
      <c r="B20" s="230"/>
      <c r="C20" s="239"/>
      <c r="D20" s="239"/>
      <c r="E20" s="239"/>
      <c r="G20" s="233"/>
    </row>
    <row r="21" spans="1:7" ht="12.9" thickBot="1" x14ac:dyDescent="0.35">
      <c r="A21" s="226">
        <v>13</v>
      </c>
      <c r="B21" s="230" t="s">
        <v>528</v>
      </c>
      <c r="C21" s="246">
        <f>ROUND(+C16/C19,2)</f>
        <v>0.66</v>
      </c>
      <c r="D21" s="246">
        <f>ROUND(+D16/D19,2)</f>
        <v>0.31</v>
      </c>
      <c r="E21" s="246">
        <f>ROUND(+E16/E19,2)</f>
        <v>-0.46</v>
      </c>
      <c r="G21" s="249" t="s">
        <v>529</v>
      </c>
    </row>
    <row r="22" spans="1:7" ht="12.9" thickTop="1" x14ac:dyDescent="0.3">
      <c r="B22" s="230"/>
      <c r="C22" s="239"/>
      <c r="F22" s="233"/>
    </row>
    <row r="23" spans="1:7" x14ac:dyDescent="0.3">
      <c r="B23" s="230"/>
      <c r="C23" s="239"/>
      <c r="F23" s="233"/>
    </row>
    <row r="24" spans="1:7" x14ac:dyDescent="0.3">
      <c r="B24" s="230"/>
      <c r="C24" s="239"/>
      <c r="F24" s="233"/>
    </row>
    <row r="26" spans="1:7" x14ac:dyDescent="0.3">
      <c r="C26" s="245"/>
    </row>
    <row r="28" spans="1:7" x14ac:dyDescent="0.3">
      <c r="B28" s="230"/>
      <c r="C28" s="231"/>
      <c r="F28" s="233"/>
    </row>
    <row r="31" spans="1:7" x14ac:dyDescent="0.3">
      <c r="D31" s="231"/>
      <c r="E31" s="231"/>
    </row>
  </sheetData>
  <mergeCells count="2">
    <mergeCell ref="F1:G1"/>
    <mergeCell ref="F2:G2"/>
  </mergeCells>
  <pageMargins left="0.7" right="0.7" top="1" bottom="0.75" header="0.3" footer="0.3"/>
  <pageSetup scale="56" orientation="landscape" r:id="rId1"/>
  <headerFooter>
    <oddHeader>&amp;C&amp;"Arial,Bold"Public Service Electric and Gas Company Specific Addendum
Attachment 4 P2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0">
    <tabColor rgb="FFFFEBF9"/>
    <pageSetUpPr fitToPage="1"/>
  </sheetPr>
  <dimension ref="A1:V28"/>
  <sheetViews>
    <sheetView view="pageBreakPreview" zoomScaleNormal="100" zoomScaleSheetLayoutView="100" workbookViewId="0"/>
  </sheetViews>
  <sheetFormatPr defaultColWidth="9.07421875" defaultRowHeight="12.45" x14ac:dyDescent="0.3"/>
  <cols>
    <col min="1" max="1" width="3.4609375" style="226" bestFit="1" customWidth="1"/>
    <col min="2" max="2" width="62.53515625" style="226" bestFit="1" customWidth="1"/>
    <col min="3" max="3" width="26.69140625" style="226" customWidth="1"/>
    <col min="4" max="4" width="30.53515625" style="226" customWidth="1"/>
    <col min="5" max="5" width="2.69140625" style="226" customWidth="1"/>
    <col min="6" max="6" width="36.53515625" style="226" customWidth="1"/>
    <col min="7" max="7" width="4.69140625" style="226" customWidth="1"/>
    <col min="8" max="8" width="5.84375" style="226" customWidth="1"/>
    <col min="9" max="9" width="2.4609375" style="226" customWidth="1"/>
    <col min="10" max="10" width="3.765625" style="226" customWidth="1"/>
    <col min="11" max="11" width="2.765625" style="226" customWidth="1"/>
    <col min="12" max="16384" width="9.07421875" style="226"/>
  </cols>
  <sheetData>
    <row r="1" spans="1:22" ht="42.65" customHeight="1" x14ac:dyDescent="0.4">
      <c r="B1" s="227" t="s">
        <v>549</v>
      </c>
      <c r="D1" s="526"/>
      <c r="E1" s="526"/>
      <c r="F1" s="526"/>
      <c r="G1" s="526"/>
      <c r="H1" s="526"/>
      <c r="I1" s="526"/>
      <c r="J1" s="526"/>
      <c r="K1" s="526"/>
      <c r="L1" s="527"/>
      <c r="M1" s="527"/>
      <c r="N1" s="527"/>
      <c r="O1" s="527"/>
      <c r="P1" s="527"/>
      <c r="Q1" s="527"/>
      <c r="R1" s="527"/>
    </row>
    <row r="2" spans="1:22" ht="74.25" customHeight="1" x14ac:dyDescent="0.4">
      <c r="B2" s="247" t="s">
        <v>572</v>
      </c>
      <c r="C2" s="438" t="s">
        <v>596</v>
      </c>
      <c r="D2" s="438" t="s">
        <v>598</v>
      </c>
      <c r="E2" s="438"/>
      <c r="F2" s="459"/>
      <c r="G2" s="459"/>
      <c r="H2" s="459"/>
      <c r="I2" s="459"/>
      <c r="J2" s="459"/>
      <c r="K2" s="459"/>
      <c r="L2" s="527"/>
      <c r="M2" s="527"/>
      <c r="N2" s="527"/>
      <c r="O2" s="527"/>
      <c r="P2" s="527"/>
      <c r="Q2" s="527"/>
      <c r="R2" s="527"/>
      <c r="S2" s="527"/>
      <c r="T2" s="527"/>
      <c r="U2" s="527"/>
      <c r="V2" s="527"/>
    </row>
    <row r="3" spans="1:22" ht="25.3" x14ac:dyDescent="0.35">
      <c r="C3" s="234" t="s">
        <v>573</v>
      </c>
      <c r="D3" s="234" t="s">
        <v>573</v>
      </c>
      <c r="E3" s="234"/>
      <c r="F3" s="229" t="s">
        <v>203</v>
      </c>
    </row>
    <row r="4" spans="1:22" x14ac:dyDescent="0.3">
      <c r="A4" s="226">
        <v>1</v>
      </c>
      <c r="B4" s="230" t="s">
        <v>544</v>
      </c>
      <c r="C4" s="231">
        <v>50</v>
      </c>
      <c r="D4" s="231">
        <v>50</v>
      </c>
      <c r="E4" s="231"/>
      <c r="F4" s="233" t="s">
        <v>543</v>
      </c>
    </row>
    <row r="5" spans="1:22" x14ac:dyDescent="0.3">
      <c r="A5" s="226">
        <v>2</v>
      </c>
      <c r="B5" s="230" t="s">
        <v>513</v>
      </c>
      <c r="C5" s="232">
        <v>49.05</v>
      </c>
      <c r="D5" s="487">
        <v>50.9</v>
      </c>
      <c r="E5" s="462"/>
      <c r="F5" s="233" t="s">
        <v>597</v>
      </c>
      <c r="G5" s="233"/>
      <c r="H5" s="233"/>
      <c r="I5" s="233"/>
      <c r="J5" s="228"/>
    </row>
    <row r="6" spans="1:22" ht="12.9" x14ac:dyDescent="0.35">
      <c r="C6" s="234"/>
      <c r="D6" s="234"/>
      <c r="E6" s="234"/>
      <c r="F6" s="248"/>
    </row>
    <row r="7" spans="1:22" x14ac:dyDescent="0.3">
      <c r="A7" s="226">
        <v>3</v>
      </c>
      <c r="B7" s="230" t="s">
        <v>514</v>
      </c>
      <c r="C7" s="235">
        <f>C4-C5</f>
        <v>0.95000000000000284</v>
      </c>
      <c r="D7" s="235">
        <f>D4-D5</f>
        <v>-0.89999999999999858</v>
      </c>
      <c r="E7" s="235"/>
      <c r="F7" s="233" t="s">
        <v>515</v>
      </c>
    </row>
    <row r="8" spans="1:22" x14ac:dyDescent="0.3">
      <c r="A8" s="226">
        <v>4</v>
      </c>
      <c r="B8" s="230" t="s">
        <v>516</v>
      </c>
      <c r="C8" s="236">
        <f>'Attach 4 P1'!C8</f>
        <v>8884.2999999999993</v>
      </c>
      <c r="D8" s="236">
        <f>'Attach 4 P1'!D8</f>
        <v>8884.2999999999993</v>
      </c>
      <c r="E8" s="236"/>
    </row>
    <row r="9" spans="1:22" x14ac:dyDescent="0.3">
      <c r="A9" s="226">
        <v>5</v>
      </c>
      <c r="B9" s="230" t="s">
        <v>517</v>
      </c>
      <c r="C9" s="237">
        <v>365</v>
      </c>
      <c r="D9" s="237">
        <v>365</v>
      </c>
      <c r="E9" s="245"/>
    </row>
    <row r="10" spans="1:22" x14ac:dyDescent="0.3">
      <c r="A10" s="226">
        <v>6</v>
      </c>
      <c r="B10" s="230" t="s">
        <v>518</v>
      </c>
      <c r="C10" s="238">
        <f>C7*C8*C9</f>
        <v>3080631.0250000088</v>
      </c>
      <c r="D10" s="238">
        <f>D7*D8*D9</f>
        <v>-2918492.5499999952</v>
      </c>
      <c r="E10" s="238"/>
      <c r="F10" s="233" t="s">
        <v>519</v>
      </c>
    </row>
    <row r="11" spans="1:22" x14ac:dyDescent="0.3">
      <c r="B11" s="230"/>
      <c r="C11" s="239"/>
      <c r="D11" s="239"/>
      <c r="E11" s="239"/>
      <c r="F11" s="233"/>
    </row>
    <row r="12" spans="1:22" x14ac:dyDescent="0.3">
      <c r="A12" s="226">
        <v>7</v>
      </c>
      <c r="B12" s="240" t="s">
        <v>508</v>
      </c>
      <c r="C12" s="241">
        <v>29</v>
      </c>
      <c r="D12" s="241">
        <v>28</v>
      </c>
      <c r="E12" s="241"/>
      <c r="F12" s="233" t="s">
        <v>520</v>
      </c>
    </row>
    <row r="13" spans="1:22" x14ac:dyDescent="0.3">
      <c r="A13" s="226">
        <v>8</v>
      </c>
      <c r="B13" s="230" t="s">
        <v>435</v>
      </c>
      <c r="C13" s="242">
        <f>'Attach 3'!E15</f>
        <v>85</v>
      </c>
      <c r="D13" s="242">
        <v>85</v>
      </c>
      <c r="E13" s="460"/>
      <c r="F13" s="233" t="s">
        <v>520</v>
      </c>
    </row>
    <row r="14" spans="1:22" x14ac:dyDescent="0.3">
      <c r="A14" s="226">
        <v>9</v>
      </c>
      <c r="B14" s="230" t="s">
        <v>521</v>
      </c>
      <c r="C14" s="243">
        <f>+C12/C13</f>
        <v>0.3411764705882353</v>
      </c>
      <c r="D14" s="243">
        <f>+D12/D13</f>
        <v>0.32941176470588235</v>
      </c>
      <c r="E14" s="243"/>
      <c r="F14" s="233" t="s">
        <v>522</v>
      </c>
    </row>
    <row r="15" spans="1:22" x14ac:dyDescent="0.3">
      <c r="B15" s="230"/>
      <c r="C15" s="239"/>
      <c r="D15" s="239"/>
      <c r="E15" s="239"/>
      <c r="F15" s="233"/>
    </row>
    <row r="16" spans="1:22" x14ac:dyDescent="0.3">
      <c r="A16" s="226">
        <v>10</v>
      </c>
      <c r="B16" s="230" t="s">
        <v>523</v>
      </c>
      <c r="C16" s="239">
        <f>C10*C14</f>
        <v>1051038.8202941206</v>
      </c>
      <c r="D16" s="239">
        <f>D10*D14</f>
        <v>-961385.78117646894</v>
      </c>
      <c r="E16" s="239"/>
      <c r="F16" s="233" t="s">
        <v>524</v>
      </c>
    </row>
    <row r="17" spans="1:6" x14ac:dyDescent="0.3">
      <c r="B17" s="230"/>
      <c r="C17" s="239"/>
      <c r="D17" s="239"/>
      <c r="E17" s="239"/>
      <c r="F17" s="233"/>
    </row>
    <row r="18" spans="1:6" x14ac:dyDescent="0.3">
      <c r="A18" s="226">
        <v>11</v>
      </c>
      <c r="B18" s="244" t="s">
        <v>525</v>
      </c>
      <c r="C18" s="245">
        <f>'Attach 2'!C354</f>
        <v>26295689.787887268</v>
      </c>
      <c r="D18" s="245">
        <f>'Attach 2'!C354</f>
        <v>26295689.787887268</v>
      </c>
      <c r="E18" s="245"/>
    </row>
    <row r="19" spans="1:6" x14ac:dyDescent="0.3">
      <c r="A19" s="226">
        <v>12</v>
      </c>
      <c r="B19" s="230" t="s">
        <v>526</v>
      </c>
      <c r="C19" s="237">
        <f>+C14*C18</f>
        <v>8971470.6335144807</v>
      </c>
      <c r="D19" s="237">
        <f>+D14*D18</f>
        <v>8662109.5771863945</v>
      </c>
      <c r="E19" s="245"/>
      <c r="F19" s="233" t="s">
        <v>527</v>
      </c>
    </row>
    <row r="20" spans="1:6" x14ac:dyDescent="0.3">
      <c r="B20" s="230"/>
      <c r="C20" s="239"/>
      <c r="D20" s="239"/>
      <c r="E20" s="239"/>
      <c r="F20" s="233"/>
    </row>
    <row r="21" spans="1:6" ht="12.9" thickBot="1" x14ac:dyDescent="0.35">
      <c r="A21" s="226">
        <v>13</v>
      </c>
      <c r="B21" s="230" t="s">
        <v>528</v>
      </c>
      <c r="C21" s="246">
        <f>ROUND(+C16/C19,2)</f>
        <v>0.12</v>
      </c>
      <c r="D21" s="246">
        <f>ROUND(+D16/D19,2)</f>
        <v>-0.11</v>
      </c>
      <c r="E21" s="461"/>
      <c r="F21" s="249" t="s">
        <v>529</v>
      </c>
    </row>
    <row r="22" spans="1:6" ht="12.9" thickTop="1" x14ac:dyDescent="0.3">
      <c r="B22" s="230"/>
      <c r="C22" s="239"/>
      <c r="D22" s="239"/>
      <c r="E22" s="239"/>
      <c r="F22" s="233"/>
    </row>
    <row r="23" spans="1:6" x14ac:dyDescent="0.3">
      <c r="B23" s="230"/>
      <c r="C23" s="239"/>
      <c r="D23" s="239"/>
      <c r="E23" s="239"/>
      <c r="F23" s="233"/>
    </row>
    <row r="24" spans="1:6" x14ac:dyDescent="0.3">
      <c r="B24" s="230"/>
      <c r="C24" s="239"/>
      <c r="D24" s="239"/>
      <c r="E24" s="239"/>
      <c r="F24" s="233"/>
    </row>
    <row r="26" spans="1:6" x14ac:dyDescent="0.3">
      <c r="C26" s="245"/>
      <c r="D26" s="245"/>
      <c r="E26" s="245"/>
    </row>
    <row r="28" spans="1:6" x14ac:dyDescent="0.3">
      <c r="B28" s="230"/>
      <c r="C28" s="231"/>
      <c r="D28" s="231"/>
      <c r="E28" s="231"/>
      <c r="F28" s="233"/>
    </row>
  </sheetData>
  <mergeCells count="3">
    <mergeCell ref="D1:K1"/>
    <mergeCell ref="L1:R1"/>
    <mergeCell ref="L2:V2"/>
  </mergeCells>
  <pageMargins left="0.7" right="0.7" top="1" bottom="0.75" header="0.3" footer="0.3"/>
  <pageSetup scale="67" orientation="landscape" r:id="rId1"/>
  <headerFooter>
    <oddHeader>&amp;C&amp;"Arial,Bold"Public Service Electric and Gas Company Specific Addendum
Attachment 4 P3</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21815-485C-42DA-9BE6-BF0D57E845A4}">
  <sheetPr>
    <tabColor rgb="FFFFEBF9"/>
    <pageSetUpPr fitToPage="1"/>
  </sheetPr>
  <dimension ref="A1:V28"/>
  <sheetViews>
    <sheetView view="pageBreakPreview" zoomScaleNormal="70" zoomScaleSheetLayoutView="100" workbookViewId="0"/>
  </sheetViews>
  <sheetFormatPr defaultColWidth="9.07421875" defaultRowHeight="12.45" x14ac:dyDescent="0.3"/>
  <cols>
    <col min="1" max="1" width="3.4609375" style="226" bestFit="1" customWidth="1"/>
    <col min="2" max="2" width="62.53515625" style="226" bestFit="1" customWidth="1"/>
    <col min="3" max="3" width="26.69140625" style="226" customWidth="1"/>
    <col min="4" max="4" width="3.84375" style="226" customWidth="1"/>
    <col min="5" max="5" width="39.53515625" style="226" customWidth="1"/>
    <col min="6" max="6" width="2.84375" style="226" customWidth="1"/>
    <col min="7" max="7" width="3.53515625" style="226" customWidth="1"/>
    <col min="8" max="8" width="2.84375" style="226" customWidth="1"/>
    <col min="9" max="9" width="3.4609375" style="226" customWidth="1"/>
    <col min="10" max="10" width="16.07421875" style="226" customWidth="1"/>
    <col min="11" max="13" width="9.07421875" style="226"/>
    <col min="14" max="14" width="9.4609375" style="226" customWidth="1"/>
    <col min="15" max="15" width="21.69140625" style="226" customWidth="1"/>
    <col min="16" max="16384" width="9.07421875" style="226"/>
  </cols>
  <sheetData>
    <row r="1" spans="1:22" ht="63.65" customHeight="1" x14ac:dyDescent="0.4">
      <c r="B1" s="227" t="s">
        <v>549</v>
      </c>
      <c r="D1" s="525"/>
      <c r="E1" s="525"/>
      <c r="F1" s="525"/>
      <c r="G1" s="525"/>
      <c r="H1" s="525"/>
      <c r="I1" s="525"/>
      <c r="J1" s="525"/>
      <c r="N1" s="528"/>
      <c r="O1" s="528"/>
      <c r="P1" s="528"/>
      <c r="Q1" s="528"/>
      <c r="R1" s="528"/>
      <c r="S1" s="528"/>
      <c r="T1" s="528"/>
    </row>
    <row r="2" spans="1:22" ht="74.25" customHeight="1" x14ac:dyDescent="0.4">
      <c r="B2" s="247" t="s">
        <v>599</v>
      </c>
      <c r="C2" s="438" t="s">
        <v>595</v>
      </c>
      <c r="D2" s="525"/>
      <c r="E2" s="525"/>
      <c r="F2" s="525"/>
      <c r="G2" s="525"/>
      <c r="H2" s="525"/>
      <c r="I2" s="525"/>
      <c r="J2" s="525"/>
      <c r="N2" s="528"/>
      <c r="O2" s="528"/>
      <c r="P2" s="528"/>
      <c r="Q2" s="528"/>
      <c r="R2" s="528"/>
      <c r="S2" s="528"/>
      <c r="T2" s="528"/>
    </row>
    <row r="3" spans="1:22" ht="25.3" x14ac:dyDescent="0.35">
      <c r="C3" s="234" t="s">
        <v>600</v>
      </c>
      <c r="E3" s="229" t="s">
        <v>203</v>
      </c>
    </row>
    <row r="4" spans="1:22" x14ac:dyDescent="0.3">
      <c r="A4" s="226">
        <v>1</v>
      </c>
      <c r="B4" s="230" t="s">
        <v>544</v>
      </c>
      <c r="C4" s="231">
        <v>50</v>
      </c>
      <c r="D4" s="463"/>
      <c r="E4" s="233" t="s">
        <v>543</v>
      </c>
    </row>
    <row r="5" spans="1:22" x14ac:dyDescent="0.3">
      <c r="A5" s="226">
        <v>2</v>
      </c>
      <c r="B5" s="230" t="s">
        <v>513</v>
      </c>
      <c r="C5" s="487">
        <v>50.9</v>
      </c>
      <c r="E5" s="233" t="s">
        <v>601</v>
      </c>
      <c r="F5" s="233"/>
      <c r="G5" s="233"/>
      <c r="H5" s="233"/>
      <c r="I5" s="228"/>
    </row>
    <row r="6" spans="1:22" ht="12.9" x14ac:dyDescent="0.35">
      <c r="C6" s="234"/>
      <c r="E6" s="248"/>
    </row>
    <row r="7" spans="1:22" x14ac:dyDescent="0.3">
      <c r="A7" s="226">
        <v>3</v>
      </c>
      <c r="B7" s="230" t="s">
        <v>514</v>
      </c>
      <c r="C7" s="235">
        <f>C4-C5</f>
        <v>-0.89999999999999858</v>
      </c>
      <c r="E7" s="233" t="s">
        <v>515</v>
      </c>
    </row>
    <row r="8" spans="1:22" x14ac:dyDescent="0.3">
      <c r="A8" s="226">
        <v>4</v>
      </c>
      <c r="B8" s="230" t="s">
        <v>516</v>
      </c>
      <c r="C8" s="236">
        <f>'Attach 4 P1'!E8</f>
        <v>8884.2999999999993</v>
      </c>
    </row>
    <row r="9" spans="1:22" x14ac:dyDescent="0.3">
      <c r="A9" s="226">
        <v>5</v>
      </c>
      <c r="B9" s="230" t="s">
        <v>517</v>
      </c>
      <c r="C9" s="237">
        <v>366</v>
      </c>
      <c r="N9" s="488"/>
      <c r="O9" s="489"/>
      <c r="P9" s="488"/>
      <c r="Q9" s="488"/>
      <c r="R9" s="488"/>
      <c r="S9" s="488"/>
      <c r="T9" s="488"/>
      <c r="U9" s="488"/>
      <c r="V9" s="465"/>
    </row>
    <row r="10" spans="1:22" x14ac:dyDescent="0.3">
      <c r="A10" s="226">
        <v>6</v>
      </c>
      <c r="B10" s="230" t="s">
        <v>518</v>
      </c>
      <c r="C10" s="238">
        <f>C7*C8*C9</f>
        <v>-2926488.4199999953</v>
      </c>
      <c r="E10" s="233" t="s">
        <v>519</v>
      </c>
      <c r="N10" s="488"/>
      <c r="O10" s="490"/>
      <c r="P10" s="488"/>
      <c r="Q10" s="488"/>
      <c r="R10" s="488"/>
      <c r="S10" s="488"/>
      <c r="T10" s="488"/>
      <c r="U10" s="488"/>
      <c r="V10" s="465"/>
    </row>
    <row r="11" spans="1:22" ht="13.2" customHeight="1" x14ac:dyDescent="0.3">
      <c r="B11" s="230"/>
      <c r="C11" s="239"/>
      <c r="E11" s="233"/>
      <c r="N11" s="529"/>
      <c r="O11" s="529"/>
      <c r="P11" s="488"/>
      <c r="Q11" s="488"/>
      <c r="R11" s="488"/>
      <c r="S11" s="488"/>
      <c r="T11" s="488"/>
      <c r="U11" s="488"/>
      <c r="V11" s="465"/>
    </row>
    <row r="12" spans="1:22" x14ac:dyDescent="0.3">
      <c r="A12" s="226">
        <v>7</v>
      </c>
      <c r="B12" s="240" t="s">
        <v>508</v>
      </c>
      <c r="C12" s="241">
        <v>28</v>
      </c>
      <c r="E12" s="233" t="s">
        <v>520</v>
      </c>
      <c r="N12" s="529"/>
      <c r="O12" s="529"/>
      <c r="P12" s="488"/>
      <c r="Q12" s="488"/>
      <c r="R12" s="488"/>
      <c r="S12" s="488"/>
      <c r="T12" s="488"/>
      <c r="U12" s="488"/>
      <c r="V12" s="465"/>
    </row>
    <row r="13" spans="1:22" x14ac:dyDescent="0.3">
      <c r="A13" s="226">
        <v>8</v>
      </c>
      <c r="B13" s="230" t="s">
        <v>435</v>
      </c>
      <c r="C13" s="242">
        <v>85</v>
      </c>
      <c r="E13" s="233" t="s">
        <v>520</v>
      </c>
      <c r="N13" s="491"/>
      <c r="O13" s="489"/>
      <c r="P13" s="488"/>
      <c r="Q13" s="488"/>
      <c r="R13" s="488"/>
      <c r="S13" s="488"/>
      <c r="T13" s="488"/>
      <c r="U13" s="488"/>
      <c r="V13" s="465"/>
    </row>
    <row r="14" spans="1:22" x14ac:dyDescent="0.3">
      <c r="A14" s="226">
        <v>9</v>
      </c>
      <c r="B14" s="230" t="s">
        <v>521</v>
      </c>
      <c r="C14" s="243">
        <f>+C12/C13</f>
        <v>0.32941176470588235</v>
      </c>
      <c r="E14" s="233" t="s">
        <v>522</v>
      </c>
      <c r="N14" s="492"/>
      <c r="O14" s="489"/>
      <c r="P14" s="493"/>
      <c r="Q14" s="493"/>
      <c r="R14" s="493"/>
      <c r="S14" s="488"/>
      <c r="T14" s="493"/>
      <c r="U14" s="488"/>
      <c r="V14" s="465"/>
    </row>
    <row r="15" spans="1:22" x14ac:dyDescent="0.3">
      <c r="B15" s="230"/>
      <c r="C15" s="239"/>
      <c r="E15" s="233"/>
      <c r="N15" s="488"/>
      <c r="O15" s="488"/>
      <c r="P15" s="494"/>
      <c r="Q15" s="494"/>
      <c r="R15" s="494"/>
      <c r="S15" s="495"/>
      <c r="T15" s="488"/>
      <c r="U15" s="488"/>
      <c r="V15" s="465"/>
    </row>
    <row r="16" spans="1:22" x14ac:dyDescent="0.3">
      <c r="A16" s="226">
        <v>10</v>
      </c>
      <c r="B16" s="230" t="s">
        <v>523</v>
      </c>
      <c r="C16" s="239">
        <f>C10*C14</f>
        <v>-964019.71482352784</v>
      </c>
      <c r="E16" s="233" t="s">
        <v>524</v>
      </c>
      <c r="N16" s="492"/>
      <c r="O16" s="489"/>
      <c r="P16" s="496"/>
      <c r="Q16" s="496"/>
      <c r="R16" s="497"/>
      <c r="S16" s="488"/>
      <c r="T16" s="498"/>
      <c r="U16" s="488"/>
      <c r="V16" s="465"/>
    </row>
    <row r="17" spans="1:22" x14ac:dyDescent="0.3">
      <c r="B17" s="230"/>
      <c r="C17" s="239"/>
      <c r="E17" s="233"/>
      <c r="N17" s="492"/>
      <c r="O17" s="488"/>
      <c r="P17" s="499"/>
      <c r="Q17" s="499"/>
      <c r="R17" s="496"/>
      <c r="S17" s="488"/>
      <c r="T17" s="500"/>
      <c r="U17" s="501"/>
      <c r="V17" s="465"/>
    </row>
    <row r="18" spans="1:22" x14ac:dyDescent="0.3">
      <c r="A18" s="226">
        <v>11</v>
      </c>
      <c r="B18" s="244" t="s">
        <v>525</v>
      </c>
      <c r="C18" s="245">
        <f>'Attach 2'!C354</f>
        <v>26295689.787887268</v>
      </c>
      <c r="N18" s="492"/>
      <c r="O18" s="502"/>
      <c r="P18" s="503"/>
      <c r="Q18" s="503"/>
      <c r="R18" s="503"/>
      <c r="S18" s="489"/>
      <c r="T18" s="488"/>
      <c r="U18" s="488"/>
      <c r="V18" s="465"/>
    </row>
    <row r="19" spans="1:22" x14ac:dyDescent="0.3">
      <c r="A19" s="226">
        <v>12</v>
      </c>
      <c r="B19" s="230" t="s">
        <v>526</v>
      </c>
      <c r="C19" s="237">
        <f>+C14*C18</f>
        <v>8662109.5771863945</v>
      </c>
      <c r="E19" s="233" t="s">
        <v>527</v>
      </c>
      <c r="N19" s="492"/>
      <c r="O19" s="489"/>
      <c r="P19" s="504"/>
      <c r="Q19" s="504"/>
      <c r="R19" s="504"/>
      <c r="S19" s="488"/>
      <c r="T19" s="505"/>
      <c r="U19" s="488"/>
      <c r="V19" s="465"/>
    </row>
    <row r="20" spans="1:22" x14ac:dyDescent="0.3">
      <c r="B20" s="230"/>
      <c r="C20" s="239"/>
      <c r="E20" s="233"/>
      <c r="N20" s="492"/>
      <c r="O20" s="489"/>
      <c r="P20" s="504"/>
      <c r="Q20" s="504"/>
      <c r="R20" s="504"/>
      <c r="S20" s="488"/>
      <c r="T20" s="505"/>
      <c r="U20" s="488"/>
      <c r="V20" s="465"/>
    </row>
    <row r="21" spans="1:22" ht="12.9" thickBot="1" x14ac:dyDescent="0.35">
      <c r="A21" s="226">
        <v>13</v>
      </c>
      <c r="B21" s="230" t="s">
        <v>528</v>
      </c>
      <c r="C21" s="246">
        <f>ROUND(+C16/C19,2)</f>
        <v>-0.11</v>
      </c>
      <c r="E21" s="249" t="s">
        <v>529</v>
      </c>
      <c r="N21" s="488"/>
      <c r="O21" s="466"/>
      <c r="P21" s="488"/>
      <c r="Q21" s="488"/>
      <c r="R21" s="488"/>
      <c r="S21" s="488"/>
      <c r="T21" s="488"/>
      <c r="U21" s="488"/>
      <c r="V21" s="465"/>
    </row>
    <row r="22" spans="1:22" ht="12.9" thickTop="1" x14ac:dyDescent="0.3">
      <c r="B22" s="230"/>
      <c r="C22" s="239"/>
      <c r="E22" s="233"/>
      <c r="N22" s="492"/>
      <c r="O22" s="489"/>
      <c r="P22" s="488"/>
      <c r="Q22" s="488"/>
      <c r="R22" s="488"/>
      <c r="S22" s="488"/>
      <c r="T22" s="488"/>
      <c r="U22" s="488"/>
      <c r="V22" s="465"/>
    </row>
    <row r="23" spans="1:22" x14ac:dyDescent="0.3">
      <c r="B23" s="230"/>
      <c r="C23" s="239"/>
      <c r="E23" s="233"/>
      <c r="N23" s="492"/>
      <c r="O23" s="489"/>
      <c r="P23" s="488"/>
      <c r="Q23" s="488"/>
      <c r="R23" s="488"/>
      <c r="S23" s="488"/>
      <c r="T23" s="488"/>
      <c r="U23" s="488"/>
      <c r="V23" s="465"/>
    </row>
    <row r="24" spans="1:22" x14ac:dyDescent="0.3">
      <c r="B24" s="230"/>
      <c r="C24" s="239"/>
      <c r="E24" s="233"/>
      <c r="N24" s="492"/>
      <c r="O24" s="489"/>
      <c r="P24" s="488"/>
      <c r="Q24" s="488"/>
      <c r="R24" s="488"/>
      <c r="S24" s="488"/>
      <c r="T24" s="488"/>
      <c r="U24" s="488"/>
      <c r="V24" s="465"/>
    </row>
    <row r="25" spans="1:22" x14ac:dyDescent="0.3">
      <c r="N25" s="465"/>
      <c r="O25" s="465"/>
      <c r="P25" s="465"/>
      <c r="Q25" s="465"/>
      <c r="R25" s="465"/>
      <c r="S25" s="465"/>
      <c r="T25" s="465"/>
      <c r="U25" s="465"/>
      <c r="V25" s="465"/>
    </row>
    <row r="26" spans="1:22" x14ac:dyDescent="0.3">
      <c r="C26" s="245"/>
      <c r="N26" s="465"/>
      <c r="O26" s="465"/>
      <c r="P26" s="465"/>
      <c r="Q26" s="465"/>
      <c r="R26" s="465"/>
      <c r="S26" s="465"/>
      <c r="T26" s="465"/>
      <c r="U26" s="465"/>
      <c r="V26" s="465"/>
    </row>
    <row r="28" spans="1:22" x14ac:dyDescent="0.3">
      <c r="B28" s="230"/>
      <c r="C28" s="231"/>
      <c r="E28" s="233"/>
    </row>
  </sheetData>
  <mergeCells count="5">
    <mergeCell ref="D1:J1"/>
    <mergeCell ref="N1:T1"/>
    <mergeCell ref="D2:J2"/>
    <mergeCell ref="N2:T2"/>
    <mergeCell ref="N11:O12"/>
  </mergeCells>
  <pageMargins left="0.7" right="0.7" top="1" bottom="0.75" header="0.3" footer="0.3"/>
  <pageSetup scale="74" orientation="landscape" r:id="rId1"/>
  <headerFooter>
    <oddHeader>&amp;C&amp;"Arial,Bold"Public Service Electric and Gas Company Specific Addendum
Attachment 4 P3</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1">
    <tabColor rgb="FFFFEBF9"/>
    <pageSetUpPr fitToPage="1"/>
  </sheetPr>
  <dimension ref="A1:M274"/>
  <sheetViews>
    <sheetView showGridLines="0" view="pageBreakPreview" zoomScaleNormal="85" zoomScaleSheetLayoutView="100" workbookViewId="0"/>
  </sheetViews>
  <sheetFormatPr defaultColWidth="9.07421875" defaultRowHeight="12.45" outlineLevelRow="1" x14ac:dyDescent="0.3"/>
  <cols>
    <col min="1" max="1" width="12.4609375" style="226" bestFit="1" customWidth="1"/>
    <col min="2" max="2" width="46" style="226" customWidth="1"/>
    <col min="3" max="5" width="16.53515625" style="226" customWidth="1"/>
    <col min="6" max="6" width="4.53515625" style="226" customWidth="1"/>
    <col min="7" max="7" width="41.53515625" style="226" bestFit="1" customWidth="1"/>
    <col min="8" max="8" width="3.53515625" style="226" customWidth="1"/>
    <col min="9" max="9" width="11" style="226" customWidth="1"/>
    <col min="10" max="10" width="23.4609375" style="226" customWidth="1"/>
    <col min="11" max="11" width="12.53515625" style="226" customWidth="1"/>
    <col min="12" max="12" width="21" style="226" customWidth="1"/>
    <col min="13" max="13" width="14.4609375" style="226" bestFit="1" customWidth="1"/>
    <col min="14" max="14" width="24.07421875" style="226" bestFit="1" customWidth="1"/>
    <col min="15" max="16" width="10.84375" style="226" bestFit="1" customWidth="1"/>
    <col min="17" max="17" width="14.4609375" style="226" bestFit="1" customWidth="1"/>
    <col min="18" max="16384" width="9.07421875" style="226"/>
  </cols>
  <sheetData>
    <row r="1" spans="1:13" ht="20.149999999999999" x14ac:dyDescent="0.5">
      <c r="A1" s="250" t="s">
        <v>530</v>
      </c>
      <c r="D1" s="439"/>
      <c r="I1" s="508"/>
      <c r="J1" s="509"/>
      <c r="K1" s="509"/>
      <c r="L1" s="509"/>
      <c r="M1" s="509"/>
    </row>
    <row r="2" spans="1:13" ht="15" customHeight="1" x14ac:dyDescent="0.4">
      <c r="A2" s="252" t="s">
        <v>574</v>
      </c>
      <c r="D2" s="434"/>
      <c r="E2" s="92"/>
      <c r="F2" s="92"/>
      <c r="G2" s="92"/>
      <c r="I2" s="528"/>
      <c r="J2" s="528"/>
      <c r="K2" s="528"/>
      <c r="L2" s="528"/>
      <c r="M2" s="528"/>
    </row>
    <row r="3" spans="1:13" ht="12.75" customHeight="1" x14ac:dyDescent="0.3">
      <c r="A3" s="253" t="s">
        <v>563</v>
      </c>
      <c r="D3" s="435"/>
      <c r="E3" s="435"/>
      <c r="F3" s="435"/>
      <c r="G3" s="198"/>
      <c r="H3" s="435"/>
      <c r="I3" s="528"/>
      <c r="J3" s="528"/>
      <c r="K3" s="528"/>
      <c r="L3" s="528"/>
      <c r="M3" s="528"/>
    </row>
    <row r="5" spans="1:13" x14ac:dyDescent="0.3">
      <c r="A5" s="254" t="s">
        <v>241</v>
      </c>
      <c r="B5" s="230" t="s">
        <v>263</v>
      </c>
    </row>
    <row r="6" spans="1:13" ht="38.6" x14ac:dyDescent="0.35">
      <c r="A6" s="255" t="s">
        <v>202</v>
      </c>
      <c r="B6" s="230" t="s">
        <v>531</v>
      </c>
      <c r="C6" s="248" t="s">
        <v>564</v>
      </c>
      <c r="D6" s="248" t="s">
        <v>575</v>
      </c>
      <c r="E6" s="248" t="s">
        <v>576</v>
      </c>
      <c r="G6" s="229" t="s">
        <v>203</v>
      </c>
    </row>
    <row r="8" spans="1:13" x14ac:dyDescent="0.3">
      <c r="A8" s="255">
        <v>1</v>
      </c>
      <c r="B8" s="230" t="s">
        <v>204</v>
      </c>
      <c r="C8" s="256">
        <f>'Attach 3'!D8</f>
        <v>80.88</v>
      </c>
      <c r="D8" s="256">
        <f>'Attach 3'!E8</f>
        <v>81.19</v>
      </c>
      <c r="E8" s="256">
        <f>D10</f>
        <v>81.08</v>
      </c>
      <c r="G8" s="257" t="s">
        <v>545</v>
      </c>
    </row>
    <row r="9" spans="1:13" x14ac:dyDescent="0.3">
      <c r="A9" s="255" t="s">
        <v>503</v>
      </c>
      <c r="B9" s="230" t="s">
        <v>578</v>
      </c>
      <c r="C9" s="256">
        <f>'Attach 4 P2'!C21</f>
        <v>0.12</v>
      </c>
      <c r="D9" s="256">
        <f>'Attach 4 P2'!D21</f>
        <v>-0.11</v>
      </c>
      <c r="E9" s="433"/>
      <c r="G9" s="257" t="s">
        <v>577</v>
      </c>
    </row>
    <row r="10" spans="1:13" x14ac:dyDescent="0.3">
      <c r="A10" s="255" t="s">
        <v>505</v>
      </c>
      <c r="B10" s="230" t="s">
        <v>354</v>
      </c>
      <c r="C10" s="259">
        <f>C8+C9</f>
        <v>81</v>
      </c>
      <c r="D10" s="259">
        <f t="shared" ref="D10:E10" si="0">D8+D9</f>
        <v>81.08</v>
      </c>
      <c r="E10" s="259">
        <f t="shared" si="0"/>
        <v>81.08</v>
      </c>
      <c r="G10" s="260" t="s">
        <v>558</v>
      </c>
    </row>
    <row r="11" spans="1:13" x14ac:dyDescent="0.3">
      <c r="A11" s="255"/>
      <c r="B11" s="230"/>
      <c r="C11" s="259"/>
      <c r="D11" s="259"/>
      <c r="E11" s="259"/>
      <c r="G11" s="233"/>
    </row>
    <row r="12" spans="1:13" x14ac:dyDescent="0.3">
      <c r="A12" s="255">
        <v>2</v>
      </c>
      <c r="B12" s="240" t="s">
        <v>305</v>
      </c>
      <c r="C12" s="226">
        <v>29</v>
      </c>
      <c r="D12" s="226">
        <v>28</v>
      </c>
      <c r="E12" s="226">
        <v>28</v>
      </c>
      <c r="G12" s="257" t="s">
        <v>205</v>
      </c>
    </row>
    <row r="13" spans="1:13" x14ac:dyDescent="0.3">
      <c r="A13" s="255">
        <v>3</v>
      </c>
      <c r="B13" s="230" t="s">
        <v>306</v>
      </c>
      <c r="C13" s="226">
        <v>85</v>
      </c>
      <c r="D13" s="226">
        <v>85</v>
      </c>
      <c r="E13" s="226">
        <v>85</v>
      </c>
      <c r="G13" s="257" t="s">
        <v>205</v>
      </c>
    </row>
    <row r="14" spans="1:13" x14ac:dyDescent="0.3">
      <c r="A14" s="255"/>
      <c r="B14" s="230"/>
      <c r="G14" s="257"/>
    </row>
    <row r="15" spans="1:13" x14ac:dyDescent="0.3">
      <c r="A15" s="255"/>
      <c r="B15" s="230" t="s">
        <v>206</v>
      </c>
    </row>
    <row r="16" spans="1:13" x14ac:dyDescent="0.3">
      <c r="A16" s="255">
        <v>4</v>
      </c>
      <c r="B16" s="261" t="s">
        <v>207</v>
      </c>
      <c r="C16" s="262">
        <v>1</v>
      </c>
      <c r="D16" s="262">
        <v>1</v>
      </c>
      <c r="E16" s="262">
        <v>1</v>
      </c>
      <c r="G16" s="257" t="s">
        <v>534</v>
      </c>
      <c r="K16" s="263"/>
    </row>
    <row r="17" spans="1:12" x14ac:dyDescent="0.3">
      <c r="A17" s="255">
        <v>5</v>
      </c>
      <c r="B17" s="261" t="s">
        <v>208</v>
      </c>
      <c r="C17" s="262">
        <v>1</v>
      </c>
      <c r="D17" s="262">
        <v>1</v>
      </c>
      <c r="E17" s="262">
        <v>1</v>
      </c>
      <c r="G17" s="257" t="s">
        <v>534</v>
      </c>
      <c r="K17" s="263"/>
    </row>
    <row r="18" spans="1:12" x14ac:dyDescent="0.3">
      <c r="A18" s="255"/>
    </row>
    <row r="19" spans="1:12" x14ac:dyDescent="0.3">
      <c r="A19" s="255"/>
      <c r="B19" s="244" t="s">
        <v>535</v>
      </c>
    </row>
    <row r="20" spans="1:12" x14ac:dyDescent="0.3">
      <c r="A20" s="255">
        <v>6</v>
      </c>
      <c r="B20" s="226" t="s">
        <v>209</v>
      </c>
      <c r="C20" s="245">
        <f>'Attach 3'!C21</f>
        <v>10465409.653643606</v>
      </c>
      <c r="D20" s="245"/>
      <c r="E20" s="245"/>
      <c r="G20" s="257" t="s">
        <v>536</v>
      </c>
    </row>
    <row r="21" spans="1:12" x14ac:dyDescent="0.3">
      <c r="A21" s="255">
        <v>7</v>
      </c>
      <c r="B21" s="226" t="s">
        <v>210</v>
      </c>
      <c r="C21" s="245">
        <f>'Attach 3'!C22</f>
        <v>15830280.134243663</v>
      </c>
      <c r="D21" s="245"/>
      <c r="E21" s="245"/>
    </row>
    <row r="22" spans="1:12" x14ac:dyDescent="0.3">
      <c r="A22" s="255"/>
    </row>
    <row r="23" spans="1:12" ht="12.9" x14ac:dyDescent="0.35">
      <c r="A23" s="255"/>
      <c r="B23" s="230" t="s">
        <v>271</v>
      </c>
    </row>
    <row r="24" spans="1:12" x14ac:dyDescent="0.3">
      <c r="A24" s="255">
        <v>8</v>
      </c>
      <c r="B24" s="261" t="s">
        <v>207</v>
      </c>
      <c r="C24" s="264">
        <f>((+C$10)*C$12/C$13*C16*$C20/1000)</f>
        <v>289214.6738401039</v>
      </c>
      <c r="D24" s="264">
        <f t="shared" ref="D24:E25" si="1">((+D$10)*D$12/D$13*D16*$C20/1000)</f>
        <v>279517.54837750422</v>
      </c>
      <c r="E24" s="264">
        <f t="shared" si="1"/>
        <v>279517.54837750422</v>
      </c>
      <c r="F24" s="304"/>
      <c r="G24" s="260" t="s">
        <v>559</v>
      </c>
      <c r="J24" s="265"/>
      <c r="L24" s="265"/>
    </row>
    <row r="25" spans="1:12" ht="15" x14ac:dyDescent="0.6">
      <c r="A25" s="255">
        <v>9</v>
      </c>
      <c r="B25" s="261" t="s">
        <v>208</v>
      </c>
      <c r="C25" s="266">
        <f>((+C$10)*C$12/C$13*C17*$C21/1000)</f>
        <v>437474.44747456902</v>
      </c>
      <c r="D25" s="266">
        <f t="shared" si="1"/>
        <v>422806.29614076857</v>
      </c>
      <c r="E25" s="266">
        <f t="shared" si="1"/>
        <v>422806.29614076857</v>
      </c>
      <c r="F25" s="304"/>
      <c r="G25" s="260" t="s">
        <v>560</v>
      </c>
    </row>
    <row r="26" spans="1:12" x14ac:dyDescent="0.3">
      <c r="A26" s="255">
        <v>10</v>
      </c>
      <c r="B26" s="226" t="s">
        <v>211</v>
      </c>
      <c r="C26" s="265">
        <f>+C25+C24</f>
        <v>726689.12131467299</v>
      </c>
      <c r="D26" s="265">
        <f>+D25+D24</f>
        <v>702323.84451827279</v>
      </c>
      <c r="E26" s="265">
        <f>+E25+E24</f>
        <v>702323.84451827279</v>
      </c>
      <c r="J26" s="265"/>
      <c r="L26" s="265"/>
    </row>
    <row r="27" spans="1:12" x14ac:dyDescent="0.3">
      <c r="A27" s="255"/>
    </row>
    <row r="28" spans="1:12" ht="12.9" x14ac:dyDescent="0.35">
      <c r="A28" s="255"/>
      <c r="B28" s="230" t="s">
        <v>272</v>
      </c>
    </row>
    <row r="29" spans="1:12" x14ac:dyDescent="0.3">
      <c r="A29" s="255">
        <v>11</v>
      </c>
      <c r="B29" s="261" t="s">
        <v>207</v>
      </c>
      <c r="C29" s="305">
        <f>ROUND(+SUM(C24:E24)/C20*1000,3)</f>
        <v>81.052999999999997</v>
      </c>
      <c r="D29" s="267"/>
      <c r="G29" s="260" t="s">
        <v>537</v>
      </c>
    </row>
    <row r="30" spans="1:12" x14ac:dyDescent="0.3">
      <c r="A30" s="255">
        <v>12</v>
      </c>
      <c r="B30" s="261" t="s">
        <v>208</v>
      </c>
      <c r="C30" s="259">
        <f>ROUND(+SUM(C25:E25)/C21*1000,3)</f>
        <v>81.052999999999997</v>
      </c>
      <c r="G30" s="260" t="s">
        <v>538</v>
      </c>
    </row>
    <row r="31" spans="1:12" x14ac:dyDescent="0.3">
      <c r="A31" s="255"/>
      <c r="B31" s="261"/>
      <c r="C31" s="268"/>
      <c r="G31" s="233"/>
    </row>
    <row r="32" spans="1:12" x14ac:dyDescent="0.3">
      <c r="A32" s="255">
        <v>13</v>
      </c>
      <c r="B32" s="226" t="s">
        <v>215</v>
      </c>
      <c r="C32" s="269">
        <f>ROUND(+SUM(C26:E26)/(C20+C21)*1000,3)</f>
        <v>81.052999999999997</v>
      </c>
      <c r="D32" s="226" t="s">
        <v>213</v>
      </c>
      <c r="G32" s="260" t="s">
        <v>212</v>
      </c>
    </row>
    <row r="33" spans="1:13" x14ac:dyDescent="0.3">
      <c r="D33" s="226" t="s">
        <v>214</v>
      </c>
      <c r="G33" s="257" t="s">
        <v>539</v>
      </c>
    </row>
    <row r="34" spans="1:13" x14ac:dyDescent="0.3">
      <c r="C34" s="267"/>
    </row>
    <row r="35" spans="1:13" x14ac:dyDescent="0.3">
      <c r="B35" s="270"/>
      <c r="D35" s="267"/>
    </row>
    <row r="36" spans="1:13" x14ac:dyDescent="0.3">
      <c r="A36" s="255"/>
      <c r="B36" s="271"/>
      <c r="C36" s="265"/>
      <c r="D36" s="267"/>
      <c r="G36" s="233"/>
    </row>
    <row r="37" spans="1:13" ht="15" x14ac:dyDescent="0.6">
      <c r="A37" s="255"/>
      <c r="B37" s="271"/>
      <c r="C37" s="272"/>
      <c r="D37" s="267"/>
      <c r="G37" s="233"/>
    </row>
    <row r="38" spans="1:13" x14ac:dyDescent="0.3">
      <c r="A38" s="255"/>
      <c r="B38" s="271"/>
      <c r="C38" s="290"/>
      <c r="D38" s="267"/>
      <c r="G38" s="233"/>
    </row>
    <row r="39" spans="1:13" x14ac:dyDescent="0.3">
      <c r="B39" s="271"/>
      <c r="D39" s="267"/>
    </row>
    <row r="41" spans="1:13" ht="12.9" x14ac:dyDescent="0.35">
      <c r="A41" s="273"/>
      <c r="B41" s="230"/>
      <c r="G41" s="229"/>
    </row>
    <row r="42" spans="1:13" ht="12.9" x14ac:dyDescent="0.35">
      <c r="A42" s="273"/>
      <c r="B42" s="230"/>
      <c r="G42" s="229"/>
    </row>
    <row r="43" spans="1:13" x14ac:dyDescent="0.3">
      <c r="B43" s="230"/>
    </row>
    <row r="44" spans="1:13" ht="12.9" x14ac:dyDescent="0.35">
      <c r="B44" s="229"/>
    </row>
    <row r="45" spans="1:13" x14ac:dyDescent="0.3">
      <c r="B45" s="230"/>
    </row>
    <row r="46" spans="1:13" x14ac:dyDescent="0.3">
      <c r="C46" s="274"/>
      <c r="D46" s="274"/>
      <c r="E46" s="274"/>
      <c r="F46" s="274"/>
      <c r="G46" s="274"/>
      <c r="H46" s="274"/>
      <c r="I46" s="274"/>
      <c r="J46" s="274"/>
    </row>
    <row r="47" spans="1:13" x14ac:dyDescent="0.3">
      <c r="C47" s="274"/>
      <c r="D47" s="274"/>
      <c r="E47" s="274"/>
      <c r="F47" s="274"/>
      <c r="G47" s="274"/>
    </row>
    <row r="48" spans="1:13" x14ac:dyDescent="0.3">
      <c r="B48" s="275"/>
      <c r="E48" s="122"/>
      <c r="F48" s="64"/>
      <c r="G48" s="64"/>
      <c r="H48" s="64"/>
      <c r="I48" s="122"/>
      <c r="J48" s="122"/>
      <c r="K48" s="123"/>
      <c r="L48" s="123"/>
      <c r="M48" s="123"/>
    </row>
    <row r="49" spans="2:13" x14ac:dyDescent="0.3">
      <c r="B49" s="277"/>
      <c r="C49" s="65"/>
      <c r="D49" s="123"/>
      <c r="E49" s="64"/>
      <c r="F49" s="122"/>
      <c r="G49" s="122"/>
      <c r="H49" s="122"/>
      <c r="J49" s="124"/>
      <c r="K49" s="123"/>
      <c r="L49" s="123"/>
      <c r="M49" s="123"/>
    </row>
    <row r="50" spans="2:13" x14ac:dyDescent="0.3">
      <c r="B50" s="277"/>
      <c r="C50" s="65"/>
      <c r="D50" s="123"/>
      <c r="E50" s="64"/>
      <c r="F50" s="122"/>
      <c r="G50" s="122"/>
      <c r="H50" s="278"/>
      <c r="J50" s="124"/>
      <c r="K50" s="279"/>
      <c r="L50" s="123"/>
      <c r="M50" s="123"/>
    </row>
    <row r="51" spans="2:13" x14ac:dyDescent="0.3">
      <c r="E51" s="65"/>
      <c r="F51" s="123"/>
      <c r="G51" s="123"/>
      <c r="L51" s="123"/>
      <c r="M51" s="123"/>
    </row>
    <row r="52" spans="2:13" x14ac:dyDescent="0.3">
      <c r="B52" s="280"/>
      <c r="C52" s="64"/>
      <c r="D52" s="64"/>
      <c r="E52" s="65"/>
      <c r="F52" s="123"/>
      <c r="G52" s="123"/>
      <c r="H52" s="123"/>
      <c r="I52" s="123"/>
      <c r="J52" s="123"/>
      <c r="K52" s="123"/>
      <c r="L52" s="123"/>
      <c r="M52" s="123"/>
    </row>
    <row r="53" spans="2:13" x14ac:dyDescent="0.3">
      <c r="B53" s="280"/>
      <c r="C53" s="281"/>
      <c r="D53" s="281"/>
      <c r="E53" s="282"/>
      <c r="F53" s="123"/>
      <c r="G53" s="123"/>
      <c r="H53" s="123"/>
      <c r="I53" s="123"/>
      <c r="J53" s="123"/>
      <c r="K53" s="123"/>
      <c r="L53" s="123"/>
      <c r="M53" s="123"/>
    </row>
    <row r="54" spans="2:13" x14ac:dyDescent="0.3">
      <c r="B54" s="280"/>
      <c r="C54" s="281"/>
      <c r="D54" s="281"/>
      <c r="E54" s="282"/>
      <c r="F54" s="123"/>
      <c r="G54" s="123"/>
      <c r="H54" s="123"/>
      <c r="I54" s="123"/>
      <c r="J54" s="123"/>
      <c r="K54" s="123"/>
      <c r="L54" s="123"/>
      <c r="M54" s="123"/>
    </row>
    <row r="55" spans="2:13" x14ac:dyDescent="0.3">
      <c r="G55" s="123"/>
      <c r="H55" s="123"/>
      <c r="I55" s="123"/>
      <c r="J55" s="123"/>
      <c r="K55" s="123"/>
      <c r="L55" s="123"/>
      <c r="M55" s="123"/>
    </row>
    <row r="56" spans="2:13" x14ac:dyDescent="0.3">
      <c r="H56" s="123"/>
      <c r="I56" s="123"/>
      <c r="J56" s="123"/>
      <c r="K56" s="123"/>
      <c r="L56" s="123"/>
      <c r="M56" s="123"/>
    </row>
    <row r="57" spans="2:13" x14ac:dyDescent="0.3">
      <c r="C57" s="123"/>
      <c r="D57" s="123"/>
      <c r="E57" s="123"/>
      <c r="F57" s="123"/>
      <c r="G57" s="123"/>
      <c r="H57" s="123"/>
      <c r="I57" s="123"/>
      <c r="J57" s="123"/>
      <c r="K57" s="123"/>
      <c r="L57" s="123"/>
      <c r="M57" s="123"/>
    </row>
    <row r="58" spans="2:13" x14ac:dyDescent="0.3">
      <c r="B58" s="275"/>
      <c r="C58" s="64"/>
      <c r="D58" s="64"/>
      <c r="E58" s="122"/>
      <c r="F58" s="64"/>
      <c r="G58" s="64"/>
      <c r="H58" s="64"/>
      <c r="I58" s="122"/>
      <c r="J58" s="122"/>
      <c r="K58" s="123"/>
      <c r="L58" s="123"/>
      <c r="M58" s="123"/>
    </row>
    <row r="59" spans="2:13" x14ac:dyDescent="0.3">
      <c r="B59" s="277"/>
      <c r="C59" s="123"/>
      <c r="D59" s="123"/>
      <c r="E59" s="64"/>
      <c r="F59" s="123"/>
      <c r="G59" s="123"/>
      <c r="H59" s="123"/>
      <c r="J59" s="124"/>
      <c r="K59" s="123"/>
      <c r="L59" s="123"/>
      <c r="M59" s="123"/>
    </row>
    <row r="60" spans="2:13" x14ac:dyDescent="0.3">
      <c r="B60" s="277"/>
      <c r="C60" s="123"/>
      <c r="D60" s="123"/>
      <c r="E60" s="64"/>
      <c r="F60" s="123"/>
      <c r="G60" s="123"/>
      <c r="J60" s="124"/>
      <c r="K60" s="279"/>
      <c r="L60" s="123"/>
      <c r="M60" s="123"/>
    </row>
    <row r="61" spans="2:13" x14ac:dyDescent="0.3">
      <c r="C61" s="276"/>
      <c r="D61" s="276"/>
      <c r="E61" s="276"/>
      <c r="F61" s="276"/>
      <c r="G61" s="276"/>
      <c r="K61" s="123"/>
      <c r="L61" s="123"/>
      <c r="M61" s="123"/>
    </row>
    <row r="62" spans="2:13" x14ac:dyDescent="0.3">
      <c r="C62" s="283"/>
      <c r="D62" s="283"/>
      <c r="E62" s="283"/>
      <c r="F62" s="283"/>
      <c r="G62" s="283"/>
      <c r="H62" s="122"/>
      <c r="I62" s="122"/>
      <c r="J62" s="122"/>
      <c r="K62" s="123"/>
      <c r="L62" s="123"/>
      <c r="M62" s="123"/>
    </row>
    <row r="65" spans="2:11" x14ac:dyDescent="0.3">
      <c r="B65" s="230"/>
    </row>
    <row r="66" spans="2:11" ht="12.9" x14ac:dyDescent="0.35">
      <c r="B66" s="229"/>
    </row>
    <row r="68" spans="2:11" x14ac:dyDescent="0.3">
      <c r="C68" s="274"/>
      <c r="D68" s="274"/>
      <c r="E68" s="274"/>
      <c r="F68" s="274"/>
      <c r="H68" s="230"/>
      <c r="I68" s="274"/>
      <c r="J68" s="274"/>
    </row>
    <row r="69" spans="2:11" x14ac:dyDescent="0.3">
      <c r="C69" s="274"/>
      <c r="D69" s="284"/>
      <c r="E69" s="274"/>
      <c r="F69" s="284"/>
    </row>
    <row r="70" spans="2:11" x14ac:dyDescent="0.3">
      <c r="B70" s="275"/>
      <c r="C70" s="64"/>
      <c r="D70" s="279"/>
      <c r="E70" s="278"/>
      <c r="F70" s="278"/>
      <c r="H70" s="285"/>
    </row>
    <row r="71" spans="2:11" x14ac:dyDescent="0.3">
      <c r="B71" s="277"/>
      <c r="C71" s="122"/>
      <c r="D71" s="279"/>
      <c r="E71" s="64"/>
      <c r="F71" s="279"/>
      <c r="H71" s="271"/>
      <c r="I71" s="510"/>
      <c r="J71" s="510"/>
      <c r="K71" s="233"/>
    </row>
    <row r="72" spans="2:11" x14ac:dyDescent="0.3">
      <c r="B72" s="277"/>
      <c r="C72" s="122"/>
      <c r="D72" s="279"/>
      <c r="E72" s="64"/>
      <c r="F72" s="279"/>
      <c r="H72" s="271"/>
      <c r="I72" s="510"/>
      <c r="J72" s="510"/>
      <c r="K72" s="233"/>
    </row>
    <row r="73" spans="2:11" x14ac:dyDescent="0.3">
      <c r="C73" s="122"/>
      <c r="D73" s="279"/>
      <c r="E73" s="122"/>
      <c r="F73" s="279"/>
      <c r="H73" s="271"/>
      <c r="I73" s="510"/>
      <c r="J73" s="510"/>
      <c r="K73" s="233"/>
    </row>
    <row r="74" spans="2:11" x14ac:dyDescent="0.3">
      <c r="B74" s="275"/>
      <c r="C74" s="64"/>
      <c r="D74" s="279"/>
      <c r="E74" s="64"/>
      <c r="F74" s="279"/>
      <c r="H74" s="285"/>
      <c r="I74" s="267"/>
      <c r="J74" s="267"/>
    </row>
    <row r="75" spans="2:11" x14ac:dyDescent="0.3">
      <c r="B75" s="277"/>
      <c r="C75" s="122"/>
      <c r="D75" s="278"/>
      <c r="E75" s="64"/>
      <c r="F75" s="279"/>
      <c r="H75" s="271"/>
      <c r="I75" s="510"/>
      <c r="J75" s="510"/>
      <c r="K75" s="233"/>
    </row>
    <row r="76" spans="2:11" x14ac:dyDescent="0.3">
      <c r="B76" s="277"/>
      <c r="C76" s="122"/>
      <c r="D76" s="278"/>
      <c r="E76" s="64"/>
      <c r="F76" s="279"/>
    </row>
    <row r="77" spans="2:11" x14ac:dyDescent="0.3">
      <c r="C77" s="283"/>
      <c r="D77" s="278"/>
      <c r="E77" s="283"/>
      <c r="F77" s="278"/>
    </row>
    <row r="78" spans="2:11" x14ac:dyDescent="0.3">
      <c r="C78" s="283"/>
      <c r="D78" s="278"/>
      <c r="E78" s="283"/>
      <c r="F78" s="278"/>
    </row>
    <row r="79" spans="2:11" x14ac:dyDescent="0.3">
      <c r="C79" s="283"/>
      <c r="D79" s="278"/>
      <c r="E79" s="283"/>
      <c r="F79" s="278"/>
    </row>
    <row r="80" spans="2:11" x14ac:dyDescent="0.3">
      <c r="C80" s="276"/>
      <c r="E80" s="276"/>
    </row>
    <row r="81" spans="1:13" x14ac:dyDescent="0.3">
      <c r="A81" s="287"/>
      <c r="B81" s="270"/>
      <c r="C81" s="276"/>
      <c r="E81" s="276"/>
    </row>
    <row r="82" spans="1:13" ht="12.9" x14ac:dyDescent="0.35">
      <c r="A82" s="287"/>
      <c r="B82" s="229"/>
    </row>
    <row r="84" spans="1:13" x14ac:dyDescent="0.3">
      <c r="B84" s="230"/>
    </row>
    <row r="85" spans="1:13" ht="12.9" x14ac:dyDescent="0.35">
      <c r="B85" s="229"/>
    </row>
    <row r="86" spans="1:13" x14ac:dyDescent="0.3">
      <c r="B86" s="230"/>
    </row>
    <row r="87" spans="1:13" x14ac:dyDescent="0.3">
      <c r="C87" s="274"/>
      <c r="D87" s="274"/>
      <c r="E87" s="274"/>
      <c r="F87" s="274"/>
      <c r="G87" s="274"/>
      <c r="H87" s="274"/>
      <c r="I87" s="274"/>
      <c r="J87" s="274"/>
    </row>
    <row r="88" spans="1:13" x14ac:dyDescent="0.3">
      <c r="C88" s="287"/>
      <c r="D88" s="287"/>
      <c r="E88" s="287"/>
      <c r="F88" s="288"/>
      <c r="G88" s="288"/>
      <c r="H88" s="288"/>
      <c r="I88" s="288"/>
      <c r="J88" s="288"/>
    </row>
    <row r="89" spans="1:13" x14ac:dyDescent="0.3">
      <c r="B89" s="275"/>
      <c r="C89" s="287"/>
      <c r="D89" s="287"/>
      <c r="E89" s="287"/>
      <c r="F89" s="288"/>
      <c r="G89" s="288"/>
      <c r="H89" s="288"/>
      <c r="I89" s="288"/>
      <c r="J89" s="288"/>
      <c r="L89" s="123"/>
      <c r="M89" s="123"/>
    </row>
    <row r="90" spans="1:13" x14ac:dyDescent="0.3">
      <c r="B90" s="277"/>
      <c r="C90" s="287"/>
      <c r="D90" s="287"/>
      <c r="E90" s="288"/>
      <c r="F90" s="287"/>
      <c r="G90" s="288"/>
      <c r="H90" s="288"/>
      <c r="I90" s="288"/>
      <c r="J90" s="287"/>
      <c r="L90" s="123"/>
      <c r="M90" s="123"/>
    </row>
    <row r="91" spans="1:13" x14ac:dyDescent="0.3">
      <c r="B91" s="277"/>
      <c r="C91" s="287"/>
      <c r="D91" s="287"/>
      <c r="E91" s="288"/>
      <c r="F91" s="287"/>
      <c r="G91" s="287"/>
      <c r="H91" s="287"/>
      <c r="I91" s="287"/>
      <c r="J91" s="287"/>
      <c r="L91" s="123"/>
      <c r="M91" s="123"/>
    </row>
    <row r="92" spans="1:13" x14ac:dyDescent="0.3">
      <c r="B92" s="280"/>
      <c r="C92" s="287"/>
      <c r="D92" s="287"/>
      <c r="E92" s="287"/>
      <c r="F92" s="287"/>
      <c r="G92" s="287"/>
      <c r="H92" s="287"/>
      <c r="I92" s="287"/>
      <c r="J92" s="287"/>
      <c r="L92" s="123"/>
      <c r="M92" s="123"/>
    </row>
    <row r="93" spans="1:13" x14ac:dyDescent="0.3">
      <c r="B93" s="282"/>
      <c r="C93" s="288"/>
      <c r="D93" s="288"/>
      <c r="E93" s="287"/>
      <c r="F93" s="287"/>
      <c r="G93" s="287"/>
      <c r="H93" s="287"/>
      <c r="I93" s="287"/>
      <c r="J93" s="287"/>
      <c r="L93" s="123"/>
      <c r="M93" s="123"/>
    </row>
    <row r="94" spans="1:13" x14ac:dyDescent="0.3">
      <c r="B94" s="282"/>
      <c r="C94" s="288"/>
      <c r="D94" s="288"/>
      <c r="E94" s="287"/>
      <c r="F94" s="287"/>
      <c r="G94" s="287"/>
      <c r="H94" s="287"/>
      <c r="I94" s="287"/>
      <c r="J94" s="287"/>
      <c r="L94" s="123"/>
      <c r="M94" s="123"/>
    </row>
    <row r="95" spans="1:13" x14ac:dyDescent="0.3">
      <c r="C95" s="288"/>
      <c r="D95" s="288"/>
      <c r="E95" s="287"/>
      <c r="F95" s="287"/>
      <c r="G95" s="287"/>
      <c r="H95" s="287"/>
      <c r="I95" s="287"/>
      <c r="J95" s="287"/>
      <c r="L95" s="123"/>
      <c r="M95" s="123"/>
    </row>
    <row r="96" spans="1:13" x14ac:dyDescent="0.3">
      <c r="B96" s="275"/>
      <c r="C96" s="288"/>
      <c r="D96" s="288"/>
      <c r="E96" s="287"/>
      <c r="F96" s="288"/>
      <c r="G96" s="288"/>
      <c r="H96" s="288"/>
      <c r="I96" s="288"/>
      <c r="J96" s="288"/>
      <c r="L96" s="123"/>
      <c r="M96" s="123"/>
    </row>
    <row r="97" spans="2:13" x14ac:dyDescent="0.3">
      <c r="B97" s="277"/>
      <c r="C97" s="287"/>
      <c r="D97" s="287"/>
      <c r="E97" s="288"/>
      <c r="F97" s="287"/>
      <c r="G97" s="287"/>
      <c r="H97" s="287"/>
      <c r="I97" s="287"/>
      <c r="J97" s="287"/>
      <c r="L97" s="123"/>
      <c r="M97" s="123"/>
    </row>
    <row r="98" spans="2:13" x14ac:dyDescent="0.3">
      <c r="B98" s="277"/>
      <c r="C98" s="287"/>
      <c r="D98" s="287"/>
      <c r="E98" s="288"/>
      <c r="F98" s="287"/>
      <c r="G98" s="287"/>
      <c r="H98" s="287"/>
      <c r="I98" s="287"/>
      <c r="J98" s="287"/>
      <c r="L98" s="123"/>
      <c r="M98" s="123"/>
    </row>
    <row r="99" spans="2:13" x14ac:dyDescent="0.3">
      <c r="C99" s="287"/>
      <c r="D99" s="287"/>
      <c r="E99" s="288"/>
      <c r="F99" s="287"/>
      <c r="G99" s="287"/>
      <c r="H99" s="287"/>
      <c r="I99" s="287"/>
      <c r="J99" s="287"/>
      <c r="L99" s="123"/>
      <c r="M99" s="123"/>
    </row>
    <row r="102" spans="2:13" x14ac:dyDescent="0.3">
      <c r="B102" s="230"/>
    </row>
    <row r="103" spans="2:13" ht="12.9" x14ac:dyDescent="0.35">
      <c r="B103" s="229"/>
    </row>
    <row r="105" spans="2:13" x14ac:dyDescent="0.3">
      <c r="C105" s="274"/>
      <c r="D105" s="274"/>
      <c r="E105" s="274"/>
      <c r="F105" s="274"/>
      <c r="H105" s="230"/>
      <c r="I105" s="274"/>
      <c r="J105" s="274"/>
    </row>
    <row r="106" spans="2:13" x14ac:dyDescent="0.3">
      <c r="F106" s="284"/>
    </row>
    <row r="107" spans="2:13" x14ac:dyDescent="0.3">
      <c r="B107" s="275"/>
      <c r="C107" s="288"/>
      <c r="D107" s="288"/>
      <c r="E107" s="288"/>
      <c r="F107" s="278"/>
      <c r="H107" s="285"/>
    </row>
    <row r="108" spans="2:13" x14ac:dyDescent="0.3">
      <c r="B108" s="277"/>
      <c r="C108" s="288"/>
      <c r="D108" s="288"/>
      <c r="E108" s="288"/>
      <c r="F108" s="279"/>
      <c r="H108" s="271"/>
      <c r="I108" s="511"/>
      <c r="J108" s="511"/>
      <c r="K108" s="233"/>
    </row>
    <row r="109" spans="2:13" x14ac:dyDescent="0.3">
      <c r="B109" s="277"/>
      <c r="C109" s="288"/>
      <c r="D109" s="288"/>
      <c r="E109" s="288"/>
      <c r="F109" s="279"/>
      <c r="H109" s="271"/>
      <c r="I109" s="511"/>
      <c r="J109" s="511"/>
      <c r="K109" s="233"/>
    </row>
    <row r="110" spans="2:13" x14ac:dyDescent="0.3">
      <c r="C110" s="288"/>
      <c r="D110" s="288"/>
      <c r="E110" s="288"/>
      <c r="F110" s="279"/>
      <c r="H110" s="271"/>
      <c r="I110" s="510"/>
      <c r="J110" s="510"/>
      <c r="K110" s="233"/>
    </row>
    <row r="111" spans="2:13" x14ac:dyDescent="0.3">
      <c r="B111" s="275"/>
      <c r="C111" s="288"/>
      <c r="D111" s="288"/>
      <c r="E111" s="288"/>
      <c r="F111" s="279"/>
      <c r="H111" s="285"/>
      <c r="I111" s="267"/>
      <c r="J111" s="267"/>
    </row>
    <row r="112" spans="2:13" x14ac:dyDescent="0.3">
      <c r="B112" s="277"/>
      <c r="C112" s="288"/>
      <c r="D112" s="288"/>
      <c r="E112" s="288"/>
      <c r="F112" s="279"/>
      <c r="H112" s="271"/>
      <c r="I112" s="511"/>
      <c r="J112" s="511"/>
      <c r="K112" s="233"/>
    </row>
    <row r="113" spans="1:12" x14ac:dyDescent="0.3">
      <c r="B113" s="277"/>
      <c r="C113" s="288"/>
      <c r="D113" s="288"/>
      <c r="E113" s="288"/>
      <c r="F113" s="279"/>
    </row>
    <row r="114" spans="1:12" x14ac:dyDescent="0.3">
      <c r="C114" s="283"/>
      <c r="D114" s="278"/>
      <c r="E114" s="283"/>
      <c r="F114" s="278"/>
    </row>
    <row r="115" spans="1:12" x14ac:dyDescent="0.3">
      <c r="C115" s="283"/>
      <c r="D115" s="278"/>
      <c r="E115" s="283"/>
      <c r="F115" s="278"/>
    </row>
    <row r="117" spans="1:12" x14ac:dyDescent="0.3">
      <c r="A117" s="287"/>
      <c r="B117" s="230"/>
      <c r="C117" s="276"/>
      <c r="E117" s="276"/>
    </row>
    <row r="118" spans="1:12" x14ac:dyDescent="0.3">
      <c r="C118" s="276"/>
      <c r="E118" s="276"/>
    </row>
    <row r="119" spans="1:12" x14ac:dyDescent="0.3">
      <c r="C119" s="274"/>
      <c r="D119" s="274"/>
      <c r="E119" s="274"/>
      <c r="F119" s="274"/>
      <c r="G119" s="274"/>
      <c r="H119" s="274"/>
      <c r="I119" s="274"/>
      <c r="J119" s="274"/>
    </row>
    <row r="121" spans="1:12" x14ac:dyDescent="0.3">
      <c r="B121" s="255"/>
      <c r="C121" s="290"/>
      <c r="D121" s="290"/>
      <c r="E121" s="291"/>
      <c r="F121" s="290"/>
      <c r="G121" s="264"/>
      <c r="H121" s="507"/>
      <c r="I121" s="507"/>
      <c r="J121" s="507"/>
    </row>
    <row r="122" spans="1:12" ht="15" x14ac:dyDescent="0.6">
      <c r="B122" s="255"/>
      <c r="C122" s="266"/>
      <c r="D122" s="266"/>
      <c r="E122" s="266"/>
      <c r="F122" s="266"/>
      <c r="G122" s="266"/>
      <c r="H122" s="299"/>
      <c r="I122" s="299"/>
      <c r="J122" s="299"/>
    </row>
    <row r="123" spans="1:12" x14ac:dyDescent="0.3">
      <c r="B123" s="255"/>
      <c r="C123" s="265"/>
      <c r="D123" s="265"/>
      <c r="E123" s="265"/>
      <c r="F123" s="265"/>
      <c r="G123" s="265"/>
      <c r="H123" s="265"/>
      <c r="I123" s="265"/>
      <c r="J123" s="265"/>
    </row>
    <row r="124" spans="1:12" x14ac:dyDescent="0.3">
      <c r="B124" s="255"/>
      <c r="C124" s="265"/>
      <c r="D124" s="265"/>
      <c r="E124" s="265"/>
      <c r="F124" s="265"/>
      <c r="G124" s="265"/>
      <c r="H124" s="265"/>
      <c r="I124" s="265"/>
      <c r="J124" s="265"/>
      <c r="K124" s="265"/>
      <c r="L124" s="265"/>
    </row>
    <row r="125" spans="1:12" x14ac:dyDescent="0.3">
      <c r="B125" s="255"/>
      <c r="C125" s="265"/>
      <c r="D125" s="265"/>
      <c r="E125" s="265"/>
      <c r="F125" s="265"/>
      <c r="G125" s="265"/>
      <c r="H125" s="265"/>
      <c r="I125" s="265"/>
      <c r="J125" s="265"/>
      <c r="K125" s="265"/>
      <c r="L125" s="265"/>
    </row>
    <row r="126" spans="1:12" x14ac:dyDescent="0.3">
      <c r="B126" s="255"/>
      <c r="C126" s="274"/>
      <c r="D126" s="274"/>
      <c r="F126" s="274"/>
      <c r="G126" s="274"/>
      <c r="H126" s="265"/>
      <c r="I126" s="265"/>
      <c r="J126" s="265"/>
      <c r="K126" s="265"/>
      <c r="L126" s="265"/>
    </row>
    <row r="127" spans="1:12" x14ac:dyDescent="0.3">
      <c r="B127" s="255"/>
      <c r="C127" s="274"/>
      <c r="D127" s="274"/>
      <c r="F127" s="274"/>
      <c r="G127" s="274"/>
      <c r="H127" s="265"/>
      <c r="I127" s="265"/>
      <c r="J127" s="265"/>
      <c r="K127" s="265"/>
      <c r="L127" s="265"/>
    </row>
    <row r="128" spans="1:12" x14ac:dyDescent="0.3">
      <c r="B128" s="255"/>
      <c r="G128" s="265"/>
      <c r="H128" s="265"/>
      <c r="I128" s="265"/>
      <c r="J128" s="265"/>
      <c r="K128" s="265"/>
      <c r="L128" s="265"/>
    </row>
    <row r="129" spans="2:12" x14ac:dyDescent="0.3">
      <c r="B129" s="255"/>
      <c r="C129" s="291"/>
      <c r="D129" s="291"/>
      <c r="F129" s="291"/>
      <c r="G129" s="441"/>
      <c r="H129" s="265"/>
      <c r="I129" s="265"/>
      <c r="J129" s="265"/>
      <c r="K129" s="265"/>
      <c r="L129" s="265"/>
    </row>
    <row r="130" spans="2:12" ht="15" x14ac:dyDescent="0.6">
      <c r="B130" s="255"/>
      <c r="C130" s="292"/>
      <c r="D130" s="292"/>
      <c r="F130" s="292"/>
      <c r="G130" s="292"/>
      <c r="H130" s="265"/>
      <c r="I130" s="265"/>
      <c r="J130" s="265"/>
      <c r="K130" s="265"/>
      <c r="L130" s="265"/>
    </row>
    <row r="131" spans="2:12" x14ac:dyDescent="0.3">
      <c r="B131" s="255"/>
      <c r="C131" s="265"/>
      <c r="D131" s="265"/>
      <c r="F131" s="265"/>
      <c r="G131" s="265"/>
      <c r="H131" s="265"/>
      <c r="I131" s="265"/>
      <c r="J131" s="265"/>
      <c r="K131" s="265"/>
      <c r="L131" s="265"/>
    </row>
    <row r="132" spans="2:12" x14ac:dyDescent="0.3">
      <c r="B132" s="255"/>
      <c r="C132" s="265"/>
      <c r="F132" s="265"/>
      <c r="G132" s="265"/>
      <c r="H132" s="265"/>
      <c r="I132" s="265"/>
      <c r="J132" s="265"/>
      <c r="K132" s="265"/>
      <c r="L132" s="265"/>
    </row>
    <row r="133" spans="2:12" x14ac:dyDescent="0.3">
      <c r="B133" s="255"/>
      <c r="C133" s="265"/>
      <c r="D133" s="265"/>
      <c r="E133" s="265"/>
      <c r="F133" s="265"/>
      <c r="G133" s="265"/>
      <c r="H133" s="265"/>
      <c r="I133" s="265"/>
      <c r="J133" s="265"/>
      <c r="K133" s="265"/>
      <c r="L133" s="265"/>
    </row>
    <row r="134" spans="2:12" x14ac:dyDescent="0.3">
      <c r="B134" s="255"/>
      <c r="C134" s="274"/>
      <c r="D134" s="274"/>
      <c r="E134" s="274"/>
      <c r="F134" s="265"/>
      <c r="G134" s="265"/>
      <c r="H134" s="265"/>
      <c r="I134" s="265"/>
      <c r="J134" s="265"/>
      <c r="K134" s="265"/>
      <c r="L134" s="265"/>
    </row>
    <row r="135" spans="2:12" x14ac:dyDescent="0.3">
      <c r="B135" s="255"/>
      <c r="C135" s="265"/>
      <c r="D135" s="265"/>
      <c r="E135" s="265"/>
      <c r="F135" s="265"/>
      <c r="G135" s="265"/>
      <c r="H135" s="265"/>
      <c r="I135" s="265"/>
      <c r="J135" s="265"/>
      <c r="K135" s="265"/>
      <c r="L135" s="265"/>
    </row>
    <row r="136" spans="2:12" ht="15" x14ac:dyDescent="0.6">
      <c r="B136" s="255"/>
      <c r="C136" s="272"/>
      <c r="D136" s="272"/>
      <c r="E136" s="272"/>
    </row>
    <row r="137" spans="2:12" x14ac:dyDescent="0.3">
      <c r="B137" s="255"/>
      <c r="C137" s="265"/>
      <c r="D137" s="265"/>
      <c r="E137" s="293"/>
    </row>
    <row r="138" spans="2:12" x14ac:dyDescent="0.3">
      <c r="B138" s="255"/>
      <c r="C138" s="276"/>
      <c r="E138" s="276"/>
    </row>
    <row r="139" spans="2:12" x14ac:dyDescent="0.3">
      <c r="C139" s="274"/>
      <c r="D139" s="274"/>
      <c r="E139" s="274"/>
      <c r="F139" s="274"/>
      <c r="G139" s="274"/>
      <c r="H139" s="274"/>
      <c r="I139" s="274"/>
      <c r="J139" s="274"/>
      <c r="K139" s="274"/>
      <c r="L139" s="274"/>
    </row>
    <row r="141" spans="2:12" x14ac:dyDescent="0.3">
      <c r="B141" s="255"/>
      <c r="C141" s="265"/>
    </row>
    <row r="142" spans="2:12" ht="15" x14ac:dyDescent="0.6">
      <c r="B142" s="255"/>
      <c r="C142" s="272"/>
    </row>
    <row r="143" spans="2:12" x14ac:dyDescent="0.3">
      <c r="B143" s="255"/>
      <c r="C143" s="265"/>
    </row>
    <row r="144" spans="2:12" x14ac:dyDescent="0.3">
      <c r="C144" s="276"/>
    </row>
    <row r="145" spans="1:10" x14ac:dyDescent="0.3">
      <c r="B145" s="282"/>
      <c r="C145" s="255"/>
    </row>
    <row r="146" spans="1:10" x14ac:dyDescent="0.3">
      <c r="B146" s="255"/>
      <c r="C146" s="265"/>
    </row>
    <row r="147" spans="1:10" ht="15" x14ac:dyDescent="0.6">
      <c r="B147" s="255"/>
      <c r="C147" s="272"/>
    </row>
    <row r="148" spans="1:10" x14ac:dyDescent="0.3">
      <c r="B148" s="255"/>
      <c r="C148" s="265"/>
    </row>
    <row r="153" spans="1:10" x14ac:dyDescent="0.3">
      <c r="A153" s="287"/>
      <c r="B153" s="270"/>
      <c r="C153" s="276"/>
      <c r="E153" s="276"/>
    </row>
    <row r="154" spans="1:10" ht="12.9" x14ac:dyDescent="0.35">
      <c r="B154" s="229"/>
    </row>
    <row r="156" spans="1:10" x14ac:dyDescent="0.3">
      <c r="B156" s="230"/>
    </row>
    <row r="157" spans="1:10" ht="12.9" x14ac:dyDescent="0.35">
      <c r="B157" s="229"/>
    </row>
    <row r="158" spans="1:10" x14ac:dyDescent="0.3">
      <c r="B158" s="230"/>
    </row>
    <row r="159" spans="1:10" x14ac:dyDescent="0.3">
      <c r="C159" s="274"/>
      <c r="D159" s="274"/>
      <c r="E159" s="274"/>
      <c r="F159" s="274"/>
      <c r="G159" s="274"/>
      <c r="H159" s="274"/>
      <c r="I159" s="274"/>
      <c r="J159" s="274"/>
    </row>
    <row r="160" spans="1:10" x14ac:dyDescent="0.3">
      <c r="C160" s="287"/>
      <c r="D160" s="287"/>
      <c r="E160" s="287"/>
      <c r="F160" s="288"/>
      <c r="G160" s="288"/>
      <c r="H160" s="288"/>
      <c r="I160" s="288"/>
      <c r="J160" s="288"/>
    </row>
    <row r="161" spans="2:10" x14ac:dyDescent="0.3">
      <c r="B161" s="275"/>
      <c r="C161" s="287"/>
      <c r="D161" s="287"/>
      <c r="E161" s="287"/>
      <c r="F161" s="288"/>
      <c r="G161" s="288"/>
      <c r="H161" s="288"/>
      <c r="I161" s="288"/>
      <c r="J161" s="288"/>
    </row>
    <row r="162" spans="2:10" x14ac:dyDescent="0.3">
      <c r="B162" s="277"/>
      <c r="C162" s="287"/>
      <c r="D162" s="287"/>
      <c r="E162" s="288"/>
      <c r="G162" s="288"/>
      <c r="H162" s="288"/>
      <c r="I162" s="288"/>
      <c r="J162" s="287"/>
    </row>
    <row r="163" spans="2:10" x14ac:dyDescent="0.3">
      <c r="B163" s="277"/>
      <c r="C163" s="287"/>
      <c r="D163" s="287"/>
      <c r="E163" s="288"/>
      <c r="F163" s="287"/>
      <c r="G163" s="287"/>
      <c r="H163" s="287"/>
      <c r="I163" s="287"/>
      <c r="J163" s="287"/>
    </row>
    <row r="164" spans="2:10" x14ac:dyDescent="0.3">
      <c r="B164" s="280"/>
      <c r="C164" s="287"/>
      <c r="D164" s="287"/>
      <c r="E164" s="287"/>
      <c r="F164" s="287"/>
      <c r="G164" s="287"/>
      <c r="H164" s="287"/>
      <c r="I164" s="287"/>
      <c r="J164" s="287"/>
    </row>
    <row r="165" spans="2:10" x14ac:dyDescent="0.3">
      <c r="B165" s="282"/>
      <c r="C165" s="288"/>
      <c r="D165" s="288"/>
      <c r="E165" s="287"/>
      <c r="F165" s="287"/>
      <c r="G165" s="287"/>
      <c r="H165" s="287"/>
      <c r="I165" s="287"/>
      <c r="J165" s="287"/>
    </row>
    <row r="166" spans="2:10" x14ac:dyDescent="0.3">
      <c r="B166" s="282"/>
      <c r="C166" s="288"/>
      <c r="D166" s="288"/>
      <c r="E166" s="287"/>
      <c r="F166" s="287"/>
      <c r="G166" s="287"/>
      <c r="H166" s="287"/>
      <c r="I166" s="287"/>
      <c r="J166" s="287"/>
    </row>
    <row r="167" spans="2:10" x14ac:dyDescent="0.3">
      <c r="C167" s="288"/>
      <c r="D167" s="288"/>
      <c r="E167" s="287"/>
      <c r="F167" s="287"/>
      <c r="G167" s="287"/>
      <c r="H167" s="287"/>
      <c r="I167" s="287"/>
      <c r="J167" s="287"/>
    </row>
    <row r="168" spans="2:10" x14ac:dyDescent="0.3">
      <c r="B168" s="275"/>
      <c r="C168" s="288"/>
      <c r="D168" s="288"/>
      <c r="E168" s="287"/>
      <c r="F168" s="288"/>
      <c r="G168" s="288"/>
      <c r="H168" s="288"/>
      <c r="I168" s="288"/>
      <c r="J168" s="288"/>
    </row>
    <row r="169" spans="2:10" x14ac:dyDescent="0.3">
      <c r="B169" s="277"/>
      <c r="C169" s="287"/>
      <c r="D169" s="287"/>
      <c r="E169" s="288"/>
      <c r="F169" s="287"/>
      <c r="G169" s="287"/>
      <c r="H169" s="287"/>
      <c r="I169" s="287"/>
      <c r="J169" s="287"/>
    </row>
    <row r="170" spans="2:10" x14ac:dyDescent="0.3">
      <c r="B170" s="277"/>
      <c r="C170" s="287"/>
      <c r="D170" s="287"/>
      <c r="E170" s="288"/>
      <c r="F170" s="287"/>
      <c r="G170" s="287"/>
      <c r="H170" s="287"/>
      <c r="I170" s="287"/>
      <c r="J170" s="287"/>
    </row>
    <row r="171" spans="2:10" x14ac:dyDescent="0.3">
      <c r="C171" s="287"/>
      <c r="D171" s="287"/>
      <c r="E171" s="288"/>
      <c r="F171" s="287"/>
      <c r="G171" s="287"/>
      <c r="H171" s="287"/>
      <c r="I171" s="287"/>
      <c r="J171" s="287"/>
    </row>
    <row r="174" spans="2:10" x14ac:dyDescent="0.3">
      <c r="B174" s="230"/>
    </row>
    <row r="175" spans="2:10" ht="12.9" x14ac:dyDescent="0.35">
      <c r="B175" s="229"/>
    </row>
    <row r="177" spans="1:12" x14ac:dyDescent="0.3">
      <c r="C177" s="274"/>
      <c r="D177" s="274"/>
      <c r="E177" s="274"/>
      <c r="F177" s="274"/>
      <c r="H177" s="230"/>
      <c r="I177" s="274"/>
      <c r="J177" s="274"/>
    </row>
    <row r="178" spans="1:12" x14ac:dyDescent="0.3">
      <c r="F178" s="284"/>
    </row>
    <row r="179" spans="1:12" x14ac:dyDescent="0.3">
      <c r="B179" s="275"/>
      <c r="C179" s="288"/>
      <c r="D179" s="288"/>
      <c r="E179" s="288"/>
      <c r="F179" s="278"/>
      <c r="H179" s="285"/>
    </row>
    <row r="180" spans="1:12" x14ac:dyDescent="0.3">
      <c r="B180" s="277"/>
      <c r="C180" s="288"/>
      <c r="D180" s="288"/>
      <c r="E180" s="288"/>
      <c r="F180" s="279"/>
      <c r="H180" s="271"/>
      <c r="I180" s="512"/>
      <c r="J180" s="512"/>
    </row>
    <row r="181" spans="1:12" x14ac:dyDescent="0.3">
      <c r="B181" s="277"/>
      <c r="C181" s="288"/>
      <c r="D181" s="288"/>
      <c r="E181" s="288"/>
      <c r="F181" s="279"/>
      <c r="H181" s="271"/>
      <c r="I181" s="512"/>
      <c r="J181" s="512"/>
    </row>
    <row r="182" spans="1:12" x14ac:dyDescent="0.3">
      <c r="C182" s="288"/>
      <c r="D182" s="288"/>
      <c r="E182" s="288"/>
      <c r="F182" s="279"/>
      <c r="H182" s="271"/>
      <c r="I182" s="510"/>
      <c r="J182" s="510"/>
    </row>
    <row r="183" spans="1:12" x14ac:dyDescent="0.3">
      <c r="B183" s="275"/>
      <c r="C183" s="288"/>
      <c r="D183" s="288"/>
      <c r="E183" s="288"/>
      <c r="F183" s="279"/>
      <c r="H183" s="285"/>
      <c r="I183" s="267"/>
      <c r="J183" s="267"/>
    </row>
    <row r="184" spans="1:12" x14ac:dyDescent="0.3">
      <c r="B184" s="277"/>
      <c r="C184" s="288"/>
      <c r="D184" s="288"/>
      <c r="E184" s="288"/>
      <c r="F184" s="279"/>
      <c r="H184" s="271"/>
      <c r="I184" s="512"/>
      <c r="J184" s="512"/>
    </row>
    <row r="185" spans="1:12" x14ac:dyDescent="0.3">
      <c r="B185" s="277"/>
      <c r="C185" s="288"/>
      <c r="D185" s="288"/>
      <c r="E185" s="288"/>
      <c r="F185" s="279"/>
    </row>
    <row r="189" spans="1:12" x14ac:dyDescent="0.3">
      <c r="A189" s="287"/>
      <c r="B189" s="230"/>
      <c r="C189" s="276"/>
      <c r="E189" s="276"/>
    </row>
    <row r="190" spans="1:12" x14ac:dyDescent="0.3">
      <c r="C190" s="276"/>
      <c r="E190" s="276"/>
    </row>
    <row r="191" spans="1:12" x14ac:dyDescent="0.3">
      <c r="C191" s="274"/>
      <c r="D191" s="274"/>
      <c r="E191" s="274"/>
      <c r="F191" s="274"/>
      <c r="G191" s="274"/>
      <c r="H191" s="274"/>
      <c r="I191" s="274"/>
      <c r="J191" s="274"/>
      <c r="K191" s="274"/>
      <c r="L191" s="274"/>
    </row>
    <row r="193" spans="2:12" x14ac:dyDescent="0.3">
      <c r="B193" s="255"/>
      <c r="C193" s="290"/>
      <c r="D193" s="290"/>
      <c r="E193" s="291"/>
      <c r="F193" s="290"/>
      <c r="G193" s="264"/>
      <c r="H193" s="507"/>
      <c r="I193" s="507"/>
      <c r="J193" s="507"/>
      <c r="K193" s="513"/>
      <c r="L193" s="513"/>
    </row>
    <row r="194" spans="2:12" ht="15" x14ac:dyDescent="0.6">
      <c r="B194" s="255"/>
      <c r="C194" s="266"/>
      <c r="D194" s="266"/>
      <c r="E194" s="266"/>
      <c r="F194" s="266"/>
      <c r="G194" s="266"/>
      <c r="H194" s="299"/>
      <c r="I194" s="299"/>
      <c r="J194" s="299"/>
      <c r="K194" s="514"/>
      <c r="L194" s="514"/>
    </row>
    <row r="195" spans="2:12" x14ac:dyDescent="0.3">
      <c r="B195" s="255"/>
      <c r="C195" s="265"/>
      <c r="D195" s="265"/>
      <c r="E195" s="265"/>
      <c r="F195" s="265"/>
      <c r="G195" s="265"/>
      <c r="H195" s="265"/>
      <c r="I195" s="265"/>
      <c r="J195" s="265"/>
      <c r="K195" s="265"/>
      <c r="L195" s="265"/>
    </row>
    <row r="196" spans="2:12" x14ac:dyDescent="0.3">
      <c r="B196" s="255"/>
      <c r="C196" s="265"/>
      <c r="D196" s="265"/>
      <c r="E196" s="265"/>
      <c r="F196" s="265"/>
      <c r="G196" s="265"/>
      <c r="H196" s="265"/>
      <c r="I196" s="265"/>
      <c r="J196" s="265"/>
      <c r="K196" s="265"/>
      <c r="L196" s="265"/>
    </row>
    <row r="197" spans="2:12" x14ac:dyDescent="0.3">
      <c r="B197" s="255"/>
      <c r="C197" s="265"/>
      <c r="D197" s="265"/>
      <c r="E197" s="265"/>
      <c r="F197" s="265"/>
      <c r="G197" s="265"/>
      <c r="H197" s="265"/>
      <c r="I197" s="265"/>
      <c r="J197" s="265"/>
      <c r="K197" s="265"/>
      <c r="L197" s="265"/>
    </row>
    <row r="198" spans="2:12" ht="15" x14ac:dyDescent="0.6">
      <c r="B198" s="255"/>
      <c r="C198" s="272"/>
      <c r="E198" s="276"/>
    </row>
    <row r="199" spans="2:12" x14ac:dyDescent="0.3">
      <c r="B199" s="255"/>
      <c r="C199" s="265"/>
      <c r="E199" s="276"/>
    </row>
    <row r="200" spans="2:12" x14ac:dyDescent="0.3">
      <c r="B200" s="255"/>
      <c r="C200" s="276"/>
      <c r="E200" s="276"/>
    </row>
    <row r="201" spans="2:12" x14ac:dyDescent="0.3">
      <c r="C201" s="274"/>
      <c r="D201" s="274"/>
      <c r="E201" s="274"/>
      <c r="F201" s="274"/>
      <c r="G201" s="274"/>
      <c r="H201" s="274"/>
      <c r="I201" s="274"/>
      <c r="J201" s="274"/>
      <c r="K201" s="274"/>
      <c r="L201" s="274"/>
    </row>
    <row r="203" spans="2:12" x14ac:dyDescent="0.3">
      <c r="B203" s="255"/>
      <c r="C203" s="265"/>
    </row>
    <row r="204" spans="2:12" ht="15" x14ac:dyDescent="0.6">
      <c r="B204" s="255"/>
      <c r="C204" s="272"/>
    </row>
    <row r="205" spans="2:12" x14ac:dyDescent="0.3">
      <c r="B205" s="255"/>
      <c r="C205" s="265"/>
      <c r="D205" s="265"/>
      <c r="G205" s="255"/>
    </row>
    <row r="206" spans="2:12" x14ac:dyDescent="0.3">
      <c r="C206" s="276"/>
      <c r="E206" s="276"/>
      <c r="G206" s="255"/>
    </row>
    <row r="207" spans="2:12" x14ac:dyDescent="0.3">
      <c r="B207" s="282"/>
      <c r="C207" s="265"/>
      <c r="E207" s="295"/>
      <c r="G207" s="295"/>
    </row>
    <row r="208" spans="2:12" x14ac:dyDescent="0.3">
      <c r="B208" s="255"/>
      <c r="C208" s="265"/>
      <c r="E208" s="296"/>
    </row>
    <row r="209" spans="1:10" ht="15" x14ac:dyDescent="0.6">
      <c r="B209" s="255"/>
      <c r="C209" s="272"/>
      <c r="E209" s="297"/>
    </row>
    <row r="210" spans="1:10" x14ac:dyDescent="0.3">
      <c r="B210" s="255"/>
      <c r="C210" s="265"/>
      <c r="E210" s="296"/>
    </row>
    <row r="212" spans="1:10" x14ac:dyDescent="0.3">
      <c r="C212" s="298"/>
    </row>
    <row r="213" spans="1:10" outlineLevel="1" x14ac:dyDescent="0.3">
      <c r="A213" s="230"/>
    </row>
    <row r="214" spans="1:10" outlineLevel="1" x14ac:dyDescent="0.3">
      <c r="A214" s="287"/>
      <c r="B214" s="270"/>
      <c r="C214" s="276"/>
      <c r="E214" s="276"/>
    </row>
    <row r="215" spans="1:10" ht="12.9" outlineLevel="1" x14ac:dyDescent="0.35">
      <c r="B215" s="229"/>
    </row>
    <row r="216" spans="1:10" outlineLevel="1" x14ac:dyDescent="0.3">
      <c r="A216" s="287"/>
    </row>
    <row r="217" spans="1:10" outlineLevel="1" x14ac:dyDescent="0.3">
      <c r="B217" s="230"/>
    </row>
    <row r="218" spans="1:10" ht="12.9" outlineLevel="1" x14ac:dyDescent="0.35">
      <c r="B218" s="229"/>
    </row>
    <row r="219" spans="1:10" outlineLevel="1" x14ac:dyDescent="0.3">
      <c r="B219" s="230"/>
    </row>
    <row r="220" spans="1:10" outlineLevel="1" x14ac:dyDescent="0.3">
      <c r="C220" s="274"/>
      <c r="D220" s="274"/>
      <c r="E220" s="274"/>
      <c r="F220" s="274"/>
      <c r="G220" s="274"/>
      <c r="H220" s="274"/>
      <c r="I220" s="274"/>
      <c r="J220" s="274"/>
    </row>
    <row r="221" spans="1:10" outlineLevel="1" x14ac:dyDescent="0.3">
      <c r="C221" s="287"/>
      <c r="D221" s="287"/>
      <c r="E221" s="287"/>
      <c r="F221" s="288"/>
      <c r="G221" s="288"/>
      <c r="H221" s="288"/>
      <c r="I221" s="288"/>
      <c r="J221" s="288"/>
    </row>
    <row r="222" spans="1:10" outlineLevel="1" x14ac:dyDescent="0.3">
      <c r="B222" s="275"/>
      <c r="C222" s="287"/>
      <c r="D222" s="287"/>
      <c r="E222" s="287"/>
      <c r="F222" s="288"/>
      <c r="G222" s="288"/>
      <c r="H222" s="288"/>
      <c r="I222" s="288"/>
      <c r="J222" s="288"/>
    </row>
    <row r="223" spans="1:10" outlineLevel="1" x14ac:dyDescent="0.3">
      <c r="B223" s="277"/>
      <c r="C223" s="287"/>
      <c r="D223" s="287"/>
      <c r="E223" s="288"/>
    </row>
    <row r="224" spans="1:10" outlineLevel="1" x14ac:dyDescent="0.3">
      <c r="B224" s="277"/>
      <c r="C224" s="287"/>
      <c r="D224" s="287"/>
      <c r="E224" s="288"/>
      <c r="F224" s="287"/>
      <c r="G224" s="287"/>
      <c r="H224" s="287"/>
      <c r="I224" s="287"/>
      <c r="J224" s="287"/>
    </row>
    <row r="225" spans="2:10" outlineLevel="1" x14ac:dyDescent="0.3">
      <c r="B225" s="280"/>
      <c r="C225" s="287"/>
      <c r="D225" s="287"/>
      <c r="E225" s="287"/>
      <c r="F225" s="287"/>
      <c r="G225" s="287"/>
      <c r="H225" s="287"/>
      <c r="I225" s="287"/>
      <c r="J225" s="287"/>
    </row>
    <row r="226" spans="2:10" outlineLevel="1" x14ac:dyDescent="0.3">
      <c r="B226" s="282"/>
      <c r="C226" s="288"/>
      <c r="D226" s="288"/>
      <c r="E226" s="287"/>
      <c r="F226" s="287"/>
      <c r="G226" s="287"/>
      <c r="H226" s="287"/>
      <c r="I226" s="287"/>
      <c r="J226" s="287"/>
    </row>
    <row r="227" spans="2:10" outlineLevel="1" x14ac:dyDescent="0.3">
      <c r="B227" s="282"/>
      <c r="C227" s="288"/>
      <c r="D227" s="288"/>
      <c r="E227" s="287"/>
      <c r="F227" s="287"/>
      <c r="G227" s="287"/>
      <c r="H227" s="287"/>
      <c r="I227" s="287"/>
      <c r="J227" s="287"/>
    </row>
    <row r="228" spans="2:10" outlineLevel="1" x14ac:dyDescent="0.3">
      <c r="C228" s="288"/>
      <c r="D228" s="288"/>
      <c r="E228" s="287"/>
      <c r="F228" s="287"/>
      <c r="G228" s="287"/>
      <c r="H228" s="287"/>
      <c r="I228" s="287"/>
      <c r="J228" s="287"/>
    </row>
    <row r="229" spans="2:10" outlineLevel="1" x14ac:dyDescent="0.3">
      <c r="B229" s="275"/>
      <c r="C229" s="288"/>
      <c r="D229" s="288"/>
      <c r="E229" s="287"/>
      <c r="F229" s="288"/>
      <c r="G229" s="288"/>
      <c r="H229" s="288"/>
      <c r="I229" s="288"/>
      <c r="J229" s="288"/>
    </row>
    <row r="230" spans="2:10" outlineLevel="1" x14ac:dyDescent="0.3">
      <c r="B230" s="277"/>
      <c r="C230" s="287"/>
      <c r="D230" s="287"/>
      <c r="E230" s="288"/>
      <c r="F230" s="287"/>
      <c r="G230" s="287"/>
      <c r="H230" s="287"/>
      <c r="I230" s="287"/>
      <c r="J230" s="287"/>
    </row>
    <row r="231" spans="2:10" outlineLevel="1" x14ac:dyDescent="0.3">
      <c r="B231" s="277"/>
      <c r="C231" s="287"/>
      <c r="D231" s="287"/>
      <c r="E231" s="288"/>
      <c r="F231" s="287"/>
      <c r="G231" s="287"/>
      <c r="H231" s="287"/>
      <c r="I231" s="287"/>
      <c r="J231" s="287"/>
    </row>
    <row r="232" spans="2:10" outlineLevel="1" x14ac:dyDescent="0.3">
      <c r="C232" s="287"/>
      <c r="D232" s="287"/>
      <c r="E232" s="288"/>
      <c r="F232" s="287"/>
      <c r="G232" s="287"/>
      <c r="H232" s="287"/>
      <c r="I232" s="287"/>
      <c r="J232" s="287"/>
    </row>
    <row r="233" spans="2:10" outlineLevel="1" x14ac:dyDescent="0.3"/>
    <row r="234" spans="2:10" outlineLevel="1" x14ac:dyDescent="0.3"/>
    <row r="235" spans="2:10" outlineLevel="1" x14ac:dyDescent="0.3">
      <c r="B235" s="230"/>
    </row>
    <row r="236" spans="2:10" ht="12.9" outlineLevel="1" x14ac:dyDescent="0.35">
      <c r="B236" s="229"/>
    </row>
    <row r="237" spans="2:10" outlineLevel="1" x14ac:dyDescent="0.3"/>
    <row r="238" spans="2:10" outlineLevel="1" x14ac:dyDescent="0.3">
      <c r="C238" s="274"/>
      <c r="D238" s="274"/>
      <c r="E238" s="274"/>
      <c r="F238" s="274"/>
      <c r="H238" s="230"/>
      <c r="I238" s="274"/>
      <c r="J238" s="274"/>
    </row>
    <row r="239" spans="2:10" outlineLevel="1" x14ac:dyDescent="0.3">
      <c r="F239" s="284"/>
    </row>
    <row r="240" spans="2:10" outlineLevel="1" x14ac:dyDescent="0.3">
      <c r="B240" s="275"/>
      <c r="C240" s="288"/>
      <c r="D240" s="288"/>
      <c r="E240" s="288"/>
      <c r="F240" s="278"/>
      <c r="H240" s="285"/>
    </row>
    <row r="241" spans="1:12" outlineLevel="1" x14ac:dyDescent="0.3">
      <c r="B241" s="277"/>
      <c r="C241" s="288"/>
      <c r="D241" s="288"/>
      <c r="E241" s="288"/>
      <c r="F241" s="279"/>
      <c r="H241" s="271"/>
      <c r="I241" s="512"/>
      <c r="J241" s="512"/>
    </row>
    <row r="242" spans="1:12" outlineLevel="1" x14ac:dyDescent="0.3">
      <c r="B242" s="277"/>
      <c r="C242" s="288"/>
      <c r="D242" s="288"/>
      <c r="E242" s="288"/>
      <c r="F242" s="279"/>
      <c r="H242" s="271"/>
      <c r="I242" s="512"/>
      <c r="J242" s="512"/>
    </row>
    <row r="243" spans="1:12" outlineLevel="1" x14ac:dyDescent="0.3">
      <c r="C243" s="288"/>
      <c r="D243" s="288"/>
      <c r="E243" s="288"/>
      <c r="F243" s="279"/>
      <c r="H243" s="271"/>
      <c r="I243" s="510"/>
      <c r="J243" s="510"/>
    </row>
    <row r="244" spans="1:12" outlineLevel="1" x14ac:dyDescent="0.3">
      <c r="B244" s="275"/>
      <c r="C244" s="288"/>
      <c r="D244" s="288"/>
      <c r="E244" s="288"/>
      <c r="F244" s="279"/>
      <c r="H244" s="285"/>
      <c r="I244" s="267"/>
      <c r="J244" s="267"/>
    </row>
    <row r="245" spans="1:12" outlineLevel="1" x14ac:dyDescent="0.3">
      <c r="B245" s="277"/>
      <c r="C245" s="288"/>
      <c r="D245" s="288"/>
      <c r="E245" s="288"/>
      <c r="F245" s="279"/>
      <c r="H245" s="271"/>
      <c r="I245" s="512"/>
      <c r="J245" s="512"/>
    </row>
    <row r="246" spans="1:12" outlineLevel="1" x14ac:dyDescent="0.3">
      <c r="B246" s="277"/>
      <c r="C246" s="288"/>
      <c r="D246" s="288"/>
      <c r="E246" s="288"/>
      <c r="F246" s="279"/>
    </row>
    <row r="247" spans="1:12" outlineLevel="1" x14ac:dyDescent="0.3"/>
    <row r="248" spans="1:12" outlineLevel="1" x14ac:dyDescent="0.3"/>
    <row r="249" spans="1:12" outlineLevel="1" x14ac:dyDescent="0.3"/>
    <row r="250" spans="1:12" outlineLevel="1" x14ac:dyDescent="0.3"/>
    <row r="251" spans="1:12" outlineLevel="1" x14ac:dyDescent="0.3">
      <c r="A251" s="287"/>
      <c r="B251" s="230"/>
      <c r="C251" s="276"/>
      <c r="E251" s="276"/>
    </row>
    <row r="252" spans="1:12" outlineLevel="1" x14ac:dyDescent="0.3">
      <c r="C252" s="276"/>
      <c r="E252" s="276"/>
    </row>
    <row r="253" spans="1:12" outlineLevel="1" x14ac:dyDescent="0.3">
      <c r="C253" s="274"/>
      <c r="D253" s="274"/>
      <c r="E253" s="274"/>
      <c r="F253" s="274"/>
      <c r="G253" s="274"/>
      <c r="H253" s="274"/>
      <c r="I253" s="274"/>
      <c r="J253" s="274"/>
      <c r="K253" s="274"/>
      <c r="L253" s="274"/>
    </row>
    <row r="254" spans="1:12" outlineLevel="1" x14ac:dyDescent="0.3"/>
    <row r="255" spans="1:12" outlineLevel="1" x14ac:dyDescent="0.3">
      <c r="B255" s="255"/>
      <c r="C255" s="290"/>
      <c r="D255" s="290"/>
      <c r="E255" s="291"/>
      <c r="F255" s="290"/>
      <c r="G255" s="264"/>
      <c r="H255" s="507"/>
      <c r="I255" s="507"/>
      <c r="J255" s="507"/>
      <c r="K255" s="513"/>
      <c r="L255" s="513"/>
    </row>
    <row r="256" spans="1:12" ht="15" outlineLevel="1" x14ac:dyDescent="0.6">
      <c r="B256" s="255"/>
      <c r="C256" s="266"/>
      <c r="D256" s="266"/>
      <c r="E256" s="266"/>
      <c r="F256" s="299"/>
      <c r="G256" s="299"/>
      <c r="H256" s="299"/>
      <c r="I256" s="299"/>
      <c r="J256" s="299"/>
      <c r="K256" s="514"/>
      <c r="L256" s="514"/>
    </row>
    <row r="257" spans="2:12" outlineLevel="1" x14ac:dyDescent="0.3">
      <c r="B257" s="255"/>
      <c r="C257" s="265"/>
      <c r="D257" s="265"/>
      <c r="E257" s="265"/>
      <c r="F257" s="265"/>
      <c r="G257" s="265"/>
      <c r="H257" s="265"/>
      <c r="I257" s="265"/>
      <c r="J257" s="265"/>
      <c r="K257" s="265"/>
      <c r="L257" s="265"/>
    </row>
    <row r="258" spans="2:12" outlineLevel="1" x14ac:dyDescent="0.3">
      <c r="B258" s="255"/>
      <c r="C258" s="265"/>
      <c r="D258" s="265"/>
      <c r="E258" s="265"/>
      <c r="F258" s="265"/>
      <c r="G258" s="265"/>
      <c r="H258" s="265"/>
      <c r="I258" s="265"/>
      <c r="J258" s="265"/>
      <c r="K258" s="265"/>
      <c r="L258" s="265"/>
    </row>
    <row r="259" spans="2:12" outlineLevel="1" x14ac:dyDescent="0.3">
      <c r="B259" s="255"/>
      <c r="C259" s="265"/>
      <c r="D259" s="265"/>
      <c r="E259" s="265"/>
      <c r="F259" s="265"/>
      <c r="G259" s="265"/>
      <c r="H259" s="265"/>
      <c r="I259" s="265"/>
      <c r="J259" s="265"/>
      <c r="K259" s="265"/>
      <c r="L259" s="265"/>
    </row>
    <row r="260" spans="2:12" ht="15" outlineLevel="1" x14ac:dyDescent="0.6">
      <c r="B260" s="255"/>
      <c r="C260" s="272"/>
      <c r="E260" s="276"/>
    </row>
    <row r="261" spans="2:12" outlineLevel="1" x14ac:dyDescent="0.3">
      <c r="B261" s="255"/>
      <c r="C261" s="265"/>
      <c r="E261" s="276"/>
    </row>
    <row r="262" spans="2:12" outlineLevel="1" x14ac:dyDescent="0.3">
      <c r="B262" s="255"/>
      <c r="C262" s="276"/>
      <c r="E262" s="276"/>
    </row>
    <row r="263" spans="2:12" outlineLevel="1" x14ac:dyDescent="0.3">
      <c r="C263" s="274"/>
      <c r="D263" s="274"/>
      <c r="E263" s="274"/>
      <c r="F263" s="274"/>
      <c r="G263" s="274"/>
      <c r="H263" s="274"/>
      <c r="I263" s="274"/>
      <c r="J263" s="274"/>
      <c r="K263" s="274"/>
      <c r="L263" s="274"/>
    </row>
    <row r="264" spans="2:12" outlineLevel="1" x14ac:dyDescent="0.3"/>
    <row r="265" spans="2:12" outlineLevel="1" x14ac:dyDescent="0.3">
      <c r="C265" s="234"/>
      <c r="D265" s="234"/>
      <c r="E265" s="234"/>
    </row>
    <row r="266" spans="2:12" outlineLevel="1" x14ac:dyDescent="0.3">
      <c r="B266" s="255"/>
      <c r="C266" s="265"/>
      <c r="D266" s="298"/>
      <c r="E266" s="265"/>
    </row>
    <row r="267" spans="2:12" outlineLevel="1" x14ac:dyDescent="0.3">
      <c r="B267" s="255"/>
      <c r="C267" s="300"/>
      <c r="D267" s="301"/>
      <c r="E267" s="300"/>
    </row>
    <row r="268" spans="2:12" outlineLevel="1" x14ac:dyDescent="0.3">
      <c r="B268" s="255"/>
      <c r="C268" s="265"/>
      <c r="D268" s="265"/>
      <c r="E268" s="265"/>
      <c r="G268" s="255"/>
    </row>
    <row r="269" spans="2:12" outlineLevel="1" x14ac:dyDescent="0.3">
      <c r="C269" s="276"/>
      <c r="E269" s="276"/>
      <c r="G269" s="255"/>
    </row>
    <row r="270" spans="2:12" outlineLevel="1" x14ac:dyDescent="0.3">
      <c r="B270" s="282"/>
      <c r="C270" s="265"/>
      <c r="E270" s="295"/>
      <c r="G270" s="295"/>
    </row>
    <row r="271" spans="2:12" outlineLevel="1" x14ac:dyDescent="0.3">
      <c r="B271" s="255"/>
      <c r="C271" s="265"/>
      <c r="E271" s="296"/>
    </row>
    <row r="272" spans="2:12" outlineLevel="1" x14ac:dyDescent="0.3">
      <c r="B272" s="255"/>
      <c r="C272" s="300"/>
      <c r="E272" s="297"/>
    </row>
    <row r="273" spans="2:5" outlineLevel="1" x14ac:dyDescent="0.3">
      <c r="B273" s="255"/>
      <c r="C273" s="265"/>
      <c r="E273" s="296"/>
    </row>
    <row r="274" spans="2:5" outlineLevel="1" x14ac:dyDescent="0.3"/>
  </sheetData>
  <mergeCells count="1">
    <mergeCell ref="I2:M3"/>
  </mergeCells>
  <pageMargins left="0.75" right="0.75" top="1" bottom="1" header="0.5" footer="0.5"/>
  <pageSetup scale="78" orientation="landscape" r:id="rId1"/>
  <headerFooter alignWithMargins="0">
    <oddHeader>&amp;C&amp;"Arial,Bold"Public Service Electric and Gas Company Specific Addendum
Attachment 4 P5</oddHeader>
  </headerFooter>
  <rowBreaks count="7" manualBreakCount="7">
    <brk id="33" max="6" man="1"/>
    <brk id="79" max="9" man="1"/>
    <brk id="115" max="9" man="1"/>
    <brk id="151" max="9" man="1"/>
    <brk id="187" max="9" man="1"/>
    <brk id="212" max="11" man="1"/>
    <brk id="250"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6FE07-477F-45EC-9A4C-1D431DB92D8E}">
  <sheetPr>
    <tabColor rgb="FFFFEBF9"/>
    <pageSetUpPr fitToPage="1"/>
  </sheetPr>
  <dimension ref="A1:M274"/>
  <sheetViews>
    <sheetView showGridLines="0" view="pageBreakPreview" zoomScaleNormal="70" zoomScaleSheetLayoutView="100" workbookViewId="0"/>
  </sheetViews>
  <sheetFormatPr defaultColWidth="9.07421875" defaultRowHeight="12.45" outlineLevelRow="1" x14ac:dyDescent="0.3"/>
  <cols>
    <col min="1" max="1" width="12.4609375" style="226" bestFit="1" customWidth="1"/>
    <col min="2" max="2" width="46" style="226" customWidth="1"/>
    <col min="3" max="5" width="16.53515625" style="226" customWidth="1"/>
    <col min="6" max="6" width="4.53515625" style="226" customWidth="1"/>
    <col min="7" max="7" width="41.53515625" style="226" bestFit="1" customWidth="1"/>
    <col min="8" max="8" width="3.53515625" style="226" customWidth="1"/>
    <col min="9" max="9" width="11" style="226" customWidth="1"/>
    <col min="10" max="10" width="23.4609375" style="226" customWidth="1"/>
    <col min="11" max="11" width="12.53515625" style="226" customWidth="1"/>
    <col min="12" max="12" width="21" style="226" customWidth="1"/>
    <col min="13" max="13" width="14.4609375" style="226" bestFit="1" customWidth="1"/>
    <col min="14" max="14" width="24.07421875" style="226" bestFit="1" customWidth="1"/>
    <col min="15" max="16" width="10.84375" style="226" bestFit="1" customWidth="1"/>
    <col min="17" max="17" width="14.4609375" style="226" bestFit="1" customWidth="1"/>
    <col min="18" max="16384" width="9.07421875" style="226"/>
  </cols>
  <sheetData>
    <row r="1" spans="1:11" ht="20.149999999999999" x14ac:dyDescent="0.5">
      <c r="A1" s="250" t="s">
        <v>530</v>
      </c>
      <c r="D1" s="228"/>
      <c r="H1" s="442"/>
      <c r="I1" s="436"/>
      <c r="J1" s="464"/>
    </row>
    <row r="2" spans="1:11" ht="15" customHeight="1" x14ac:dyDescent="0.4">
      <c r="A2" s="252" t="s">
        <v>602</v>
      </c>
      <c r="D2" s="530"/>
      <c r="E2" s="530"/>
      <c r="F2" s="530"/>
      <c r="G2" s="530"/>
      <c r="H2" s="531"/>
    </row>
    <row r="3" spans="1:11" ht="12.75" customHeight="1" x14ac:dyDescent="0.3">
      <c r="A3" s="253" t="s">
        <v>563</v>
      </c>
      <c r="D3" s="530"/>
      <c r="E3" s="530"/>
      <c r="F3" s="530"/>
      <c r="G3" s="530"/>
      <c r="H3" s="531"/>
      <c r="I3" s="435"/>
      <c r="J3" s="435"/>
    </row>
    <row r="4" spans="1:11" x14ac:dyDescent="0.3">
      <c r="H4" s="442"/>
    </row>
    <row r="5" spans="1:11" x14ac:dyDescent="0.3">
      <c r="A5" s="254" t="s">
        <v>241</v>
      </c>
      <c r="B5" s="230" t="s">
        <v>263</v>
      </c>
      <c r="H5" s="442"/>
    </row>
    <row r="6" spans="1:11" ht="38.6" x14ac:dyDescent="0.35">
      <c r="A6" s="255" t="s">
        <v>202</v>
      </c>
      <c r="B6" s="230" t="s">
        <v>531</v>
      </c>
      <c r="C6" s="248" t="s">
        <v>575</v>
      </c>
      <c r="D6" s="248" t="s">
        <v>603</v>
      </c>
      <c r="E6" s="248" t="s">
        <v>604</v>
      </c>
      <c r="G6" s="229" t="s">
        <v>203</v>
      </c>
      <c r="H6" s="442"/>
    </row>
    <row r="7" spans="1:11" x14ac:dyDescent="0.3">
      <c r="H7" s="442"/>
    </row>
    <row r="8" spans="1:11" x14ac:dyDescent="0.3">
      <c r="A8" s="255">
        <v>1</v>
      </c>
      <c r="B8" s="230" t="s">
        <v>204</v>
      </c>
      <c r="C8" s="256">
        <f>'Attach 3'!E8</f>
        <v>81.19</v>
      </c>
      <c r="D8" s="467">
        <f>'Attach 4 P4'!E8</f>
        <v>81.08</v>
      </c>
      <c r="E8" s="256">
        <f>D10</f>
        <v>81.08</v>
      </c>
      <c r="G8" s="257" t="s">
        <v>533</v>
      </c>
      <c r="H8" s="442"/>
    </row>
    <row r="9" spans="1:11" x14ac:dyDescent="0.3">
      <c r="A9" s="255" t="s">
        <v>503</v>
      </c>
      <c r="B9" s="230" t="s">
        <v>605</v>
      </c>
      <c r="C9" s="256">
        <f>'Attach 4 P3'!C21</f>
        <v>-0.11</v>
      </c>
      <c r="D9" s="433"/>
      <c r="E9" s="433"/>
      <c r="G9" s="257" t="s">
        <v>606</v>
      </c>
      <c r="H9" s="442"/>
    </row>
    <row r="10" spans="1:11" x14ac:dyDescent="0.3">
      <c r="A10" s="255" t="s">
        <v>505</v>
      </c>
      <c r="B10" s="230" t="s">
        <v>354</v>
      </c>
      <c r="C10" s="259">
        <f>C8+C9</f>
        <v>81.08</v>
      </c>
      <c r="D10" s="259">
        <f t="shared" ref="D10:E10" si="0">D8+D9</f>
        <v>81.08</v>
      </c>
      <c r="E10" s="259">
        <f t="shared" si="0"/>
        <v>81.08</v>
      </c>
      <c r="G10" s="260" t="s">
        <v>558</v>
      </c>
      <c r="H10" s="442"/>
    </row>
    <row r="11" spans="1:11" x14ac:dyDescent="0.3">
      <c r="A11" s="255"/>
      <c r="B11" s="230"/>
      <c r="C11" s="259"/>
      <c r="D11" s="259"/>
      <c r="E11" s="259"/>
      <c r="G11" s="233"/>
      <c r="H11" s="442"/>
    </row>
    <row r="12" spans="1:11" x14ac:dyDescent="0.3">
      <c r="A12" s="255">
        <v>2</v>
      </c>
      <c r="B12" s="240" t="s">
        <v>305</v>
      </c>
      <c r="C12" s="226">
        <v>28</v>
      </c>
      <c r="D12" s="226">
        <v>28</v>
      </c>
      <c r="E12" s="226">
        <v>29</v>
      </c>
      <c r="G12" s="257" t="s">
        <v>205</v>
      </c>
      <c r="H12" s="442"/>
    </row>
    <row r="13" spans="1:11" x14ac:dyDescent="0.3">
      <c r="A13" s="255">
        <v>3</v>
      </c>
      <c r="B13" s="230" t="s">
        <v>306</v>
      </c>
      <c r="C13" s="226">
        <v>85</v>
      </c>
      <c r="D13" s="226">
        <v>85</v>
      </c>
      <c r="E13" s="226">
        <v>85</v>
      </c>
      <c r="G13" s="257" t="s">
        <v>205</v>
      </c>
      <c r="H13" s="442"/>
    </row>
    <row r="14" spans="1:11" x14ac:dyDescent="0.3">
      <c r="A14" s="255"/>
      <c r="B14" s="230"/>
      <c r="G14" s="257"/>
      <c r="H14" s="442"/>
    </row>
    <row r="15" spans="1:11" x14ac:dyDescent="0.3">
      <c r="A15" s="255"/>
      <c r="B15" s="230" t="s">
        <v>206</v>
      </c>
      <c r="H15" s="442"/>
    </row>
    <row r="16" spans="1:11" x14ac:dyDescent="0.3">
      <c r="A16" s="255">
        <v>4</v>
      </c>
      <c r="B16" s="261" t="s">
        <v>207</v>
      </c>
      <c r="C16" s="262">
        <v>1</v>
      </c>
      <c r="D16" s="262">
        <v>1</v>
      </c>
      <c r="E16" s="262">
        <v>1</v>
      </c>
      <c r="G16" s="257" t="s">
        <v>534</v>
      </c>
      <c r="H16" s="442"/>
      <c r="K16" s="263"/>
    </row>
    <row r="17" spans="1:12" x14ac:dyDescent="0.3">
      <c r="A17" s="255">
        <v>5</v>
      </c>
      <c r="B17" s="261" t="s">
        <v>208</v>
      </c>
      <c r="C17" s="262">
        <v>1</v>
      </c>
      <c r="D17" s="262">
        <v>1</v>
      </c>
      <c r="E17" s="262">
        <v>1</v>
      </c>
      <c r="G17" s="257" t="s">
        <v>534</v>
      </c>
      <c r="H17" s="442"/>
      <c r="K17" s="263"/>
    </row>
    <row r="18" spans="1:12" x14ac:dyDescent="0.3">
      <c r="A18" s="255"/>
      <c r="H18" s="442"/>
    </row>
    <row r="19" spans="1:12" x14ac:dyDescent="0.3">
      <c r="A19" s="255"/>
      <c r="B19" s="244" t="s">
        <v>535</v>
      </c>
      <c r="H19" s="442"/>
    </row>
    <row r="20" spans="1:12" x14ac:dyDescent="0.3">
      <c r="A20" s="255">
        <v>6</v>
      </c>
      <c r="B20" s="226" t="s">
        <v>209</v>
      </c>
      <c r="C20" s="245">
        <f>'Attach 3'!C21</f>
        <v>10465409.653643606</v>
      </c>
      <c r="D20" s="245"/>
      <c r="E20" s="245"/>
      <c r="G20" s="257" t="s">
        <v>536</v>
      </c>
      <c r="H20" s="442"/>
    </row>
    <row r="21" spans="1:12" x14ac:dyDescent="0.3">
      <c r="A21" s="255">
        <v>7</v>
      </c>
      <c r="B21" s="226" t="s">
        <v>210</v>
      </c>
      <c r="C21" s="245">
        <f>'Attach 3'!C22</f>
        <v>15830280.134243663</v>
      </c>
      <c r="D21" s="245"/>
      <c r="E21" s="245"/>
      <c r="H21" s="442"/>
    </row>
    <row r="22" spans="1:12" x14ac:dyDescent="0.3">
      <c r="A22" s="255"/>
      <c r="H22" s="442"/>
    </row>
    <row r="23" spans="1:12" ht="12.9" x14ac:dyDescent="0.35">
      <c r="A23" s="255"/>
      <c r="B23" s="230" t="s">
        <v>271</v>
      </c>
      <c r="H23" s="442"/>
    </row>
    <row r="24" spans="1:12" x14ac:dyDescent="0.3">
      <c r="A24" s="255">
        <v>8</v>
      </c>
      <c r="B24" s="261" t="s">
        <v>207</v>
      </c>
      <c r="C24" s="264">
        <f>((+C$10)*C$12/C$13*C16*$C20/1000)</f>
        <v>279517.54837750422</v>
      </c>
      <c r="D24" s="264">
        <f t="shared" ref="D24:E25" si="1">((+D$10)*D$12/D$13*D16*$C20/1000)</f>
        <v>279517.54837750422</v>
      </c>
      <c r="E24" s="264">
        <f t="shared" si="1"/>
        <v>289500.31796241517</v>
      </c>
      <c r="F24" s="304"/>
      <c r="G24" s="260" t="s">
        <v>559</v>
      </c>
      <c r="H24" s="442"/>
      <c r="J24" s="265"/>
      <c r="L24" s="265"/>
    </row>
    <row r="25" spans="1:12" ht="15" x14ac:dyDescent="0.6">
      <c r="A25" s="255">
        <v>9</v>
      </c>
      <c r="B25" s="261" t="s">
        <v>208</v>
      </c>
      <c r="C25" s="266">
        <f>((+C$10)*C$12/C$13*C17*$C21/1000)</f>
        <v>422806.29614076857</v>
      </c>
      <c r="D25" s="266">
        <f t="shared" si="1"/>
        <v>422806.29614076857</v>
      </c>
      <c r="E25" s="266">
        <f t="shared" si="1"/>
        <v>437906.52100293897</v>
      </c>
      <c r="F25" s="304"/>
      <c r="G25" s="260" t="s">
        <v>560</v>
      </c>
      <c r="H25" s="442"/>
    </row>
    <row r="26" spans="1:12" x14ac:dyDescent="0.3">
      <c r="A26" s="255">
        <v>10</v>
      </c>
      <c r="B26" s="226" t="s">
        <v>211</v>
      </c>
      <c r="C26" s="265">
        <f>+C25+C24</f>
        <v>702323.84451827279</v>
      </c>
      <c r="D26" s="265">
        <f>+D25+D24</f>
        <v>702323.84451827279</v>
      </c>
      <c r="E26" s="265">
        <f>+E25+E24</f>
        <v>727406.83896535414</v>
      </c>
      <c r="H26" s="442"/>
      <c r="J26" s="265"/>
      <c r="L26" s="265"/>
    </row>
    <row r="27" spans="1:12" x14ac:dyDescent="0.3">
      <c r="A27" s="255"/>
      <c r="H27" s="442"/>
    </row>
    <row r="28" spans="1:12" ht="12.9" x14ac:dyDescent="0.35">
      <c r="A28" s="255"/>
      <c r="B28" s="230" t="s">
        <v>272</v>
      </c>
      <c r="H28" s="442"/>
    </row>
    <row r="29" spans="1:12" x14ac:dyDescent="0.3">
      <c r="A29" s="255">
        <v>11</v>
      </c>
      <c r="B29" s="261" t="s">
        <v>207</v>
      </c>
      <c r="C29" s="305">
        <f>ROUND(+SUM(C24:E24)/C20*1000,3)</f>
        <v>81.08</v>
      </c>
      <c r="D29" s="267"/>
      <c r="G29" s="260" t="s">
        <v>537</v>
      </c>
      <c r="H29" s="442"/>
    </row>
    <row r="30" spans="1:12" x14ac:dyDescent="0.3">
      <c r="A30" s="255">
        <v>12</v>
      </c>
      <c r="B30" s="261" t="s">
        <v>208</v>
      </c>
      <c r="C30" s="259">
        <f>ROUND(+SUM(C25:E25)/C21*1000,3)</f>
        <v>81.08</v>
      </c>
      <c r="G30" s="260" t="s">
        <v>538</v>
      </c>
      <c r="H30" s="442"/>
    </row>
    <row r="31" spans="1:12" x14ac:dyDescent="0.3">
      <c r="A31" s="255"/>
      <c r="B31" s="261"/>
      <c r="C31" s="268"/>
      <c r="G31" s="233"/>
      <c r="H31" s="442"/>
    </row>
    <row r="32" spans="1:12" x14ac:dyDescent="0.3">
      <c r="A32" s="255">
        <v>13</v>
      </c>
      <c r="B32" s="226" t="s">
        <v>215</v>
      </c>
      <c r="C32" s="269">
        <f>ROUND(+SUM(C26:E26)/(C20+C21)*1000,3)</f>
        <v>81.08</v>
      </c>
      <c r="D32" s="226" t="s">
        <v>213</v>
      </c>
      <c r="G32" s="260" t="s">
        <v>212</v>
      </c>
      <c r="H32" s="442"/>
    </row>
    <row r="33" spans="1:13" x14ac:dyDescent="0.3">
      <c r="D33" s="226" t="s">
        <v>214</v>
      </c>
      <c r="G33" s="257" t="s">
        <v>539</v>
      </c>
      <c r="H33" s="442"/>
    </row>
    <row r="34" spans="1:13" x14ac:dyDescent="0.3">
      <c r="C34" s="267"/>
    </row>
    <row r="35" spans="1:13" x14ac:dyDescent="0.3">
      <c r="B35" s="270"/>
      <c r="D35" s="267"/>
    </row>
    <row r="36" spans="1:13" x14ac:dyDescent="0.3">
      <c r="A36" s="255"/>
      <c r="B36" s="271"/>
      <c r="C36" s="265"/>
      <c r="D36" s="267"/>
      <c r="G36" s="233"/>
    </row>
    <row r="37" spans="1:13" ht="15" x14ac:dyDescent="0.6">
      <c r="A37" s="255"/>
      <c r="B37" s="271"/>
      <c r="C37" s="272"/>
      <c r="D37" s="267"/>
      <c r="G37" s="233"/>
    </row>
    <row r="38" spans="1:13" x14ac:dyDescent="0.3">
      <c r="A38" s="255"/>
      <c r="B38" s="271"/>
      <c r="C38" s="290"/>
      <c r="D38" s="267"/>
      <c r="G38" s="233"/>
    </row>
    <row r="39" spans="1:13" x14ac:dyDescent="0.3">
      <c r="B39" s="271"/>
      <c r="D39" s="267"/>
    </row>
    <row r="41" spans="1:13" ht="12.9" x14ac:dyDescent="0.35">
      <c r="A41" s="273"/>
      <c r="B41" s="230"/>
      <c r="G41" s="229"/>
    </row>
    <row r="42" spans="1:13" ht="12.9" x14ac:dyDescent="0.35">
      <c r="A42" s="273"/>
      <c r="B42" s="230"/>
      <c r="G42" s="229"/>
    </row>
    <row r="43" spans="1:13" x14ac:dyDescent="0.3">
      <c r="B43" s="230"/>
    </row>
    <row r="44" spans="1:13" ht="12.9" x14ac:dyDescent="0.35">
      <c r="B44" s="229"/>
    </row>
    <row r="45" spans="1:13" x14ac:dyDescent="0.3">
      <c r="B45" s="230"/>
    </row>
    <row r="46" spans="1:13" x14ac:dyDescent="0.3">
      <c r="C46" s="274"/>
      <c r="D46" s="274"/>
      <c r="E46" s="274"/>
      <c r="F46" s="274"/>
      <c r="G46" s="274"/>
      <c r="H46" s="274"/>
      <c r="I46" s="274"/>
      <c r="J46" s="274"/>
    </row>
    <row r="47" spans="1:13" x14ac:dyDescent="0.3">
      <c r="C47" s="274"/>
      <c r="D47" s="274"/>
      <c r="E47" s="274"/>
      <c r="F47" s="274"/>
      <c r="G47" s="274"/>
    </row>
    <row r="48" spans="1:13" x14ac:dyDescent="0.3">
      <c r="B48" s="275"/>
      <c r="E48" s="122"/>
      <c r="F48" s="64"/>
      <c r="G48" s="64"/>
      <c r="H48" s="64"/>
      <c r="I48" s="122"/>
      <c r="J48" s="122"/>
      <c r="K48" s="276"/>
      <c r="L48" s="276"/>
      <c r="M48" s="276"/>
    </row>
    <row r="49" spans="2:13" x14ac:dyDescent="0.3">
      <c r="B49" s="277"/>
      <c r="C49" s="65"/>
      <c r="D49" s="123"/>
      <c r="E49" s="64"/>
      <c r="F49" s="122"/>
      <c r="G49" s="122"/>
      <c r="H49" s="122"/>
      <c r="J49" s="124"/>
      <c r="K49" s="276"/>
      <c r="L49" s="276"/>
      <c r="M49" s="276"/>
    </row>
    <row r="50" spans="2:13" x14ac:dyDescent="0.3">
      <c r="B50" s="277"/>
      <c r="C50" s="65"/>
      <c r="D50" s="123"/>
      <c r="E50" s="64"/>
      <c r="F50" s="122"/>
      <c r="G50" s="122"/>
      <c r="H50" s="278"/>
      <c r="J50" s="124"/>
      <c r="K50" s="279"/>
      <c r="L50" s="276"/>
      <c r="M50" s="276"/>
    </row>
    <row r="51" spans="2:13" x14ac:dyDescent="0.3">
      <c r="E51" s="65"/>
      <c r="F51" s="123"/>
      <c r="G51" s="123"/>
      <c r="L51" s="276"/>
      <c r="M51" s="276"/>
    </row>
    <row r="52" spans="2:13" x14ac:dyDescent="0.3">
      <c r="B52" s="280"/>
      <c r="C52" s="64"/>
      <c r="D52" s="64"/>
      <c r="E52" s="65"/>
      <c r="F52" s="123"/>
      <c r="G52" s="123"/>
      <c r="H52" s="123"/>
      <c r="I52" s="123"/>
      <c r="J52" s="123"/>
      <c r="K52" s="276"/>
      <c r="L52" s="276"/>
      <c r="M52" s="276"/>
    </row>
    <row r="53" spans="2:13" x14ac:dyDescent="0.3">
      <c r="B53" s="280"/>
      <c r="C53" s="281"/>
      <c r="D53" s="281"/>
      <c r="E53" s="282"/>
      <c r="F53" s="123"/>
      <c r="G53" s="123"/>
      <c r="H53" s="123"/>
      <c r="I53" s="123"/>
      <c r="J53" s="123"/>
      <c r="K53" s="276"/>
      <c r="L53" s="276"/>
      <c r="M53" s="276"/>
    </row>
    <row r="54" spans="2:13" x14ac:dyDescent="0.3">
      <c r="B54" s="280"/>
      <c r="C54" s="281"/>
      <c r="D54" s="281"/>
      <c r="E54" s="282"/>
      <c r="F54" s="123"/>
      <c r="G54" s="123"/>
      <c r="H54" s="123"/>
      <c r="I54" s="123"/>
      <c r="J54" s="123"/>
      <c r="K54" s="276"/>
      <c r="L54" s="276"/>
      <c r="M54" s="276"/>
    </row>
    <row r="55" spans="2:13" x14ac:dyDescent="0.3">
      <c r="G55" s="123"/>
      <c r="H55" s="123"/>
      <c r="I55" s="123"/>
      <c r="J55" s="123"/>
      <c r="K55" s="276"/>
      <c r="L55" s="276"/>
      <c r="M55" s="276"/>
    </row>
    <row r="56" spans="2:13" x14ac:dyDescent="0.3">
      <c r="H56" s="123"/>
      <c r="I56" s="123"/>
      <c r="J56" s="123"/>
      <c r="K56" s="276"/>
      <c r="L56" s="276"/>
      <c r="M56" s="276"/>
    </row>
    <row r="57" spans="2:13" x14ac:dyDescent="0.3">
      <c r="C57" s="123"/>
      <c r="D57" s="123"/>
      <c r="E57" s="123"/>
      <c r="F57" s="123"/>
      <c r="G57" s="123"/>
      <c r="H57" s="123"/>
      <c r="I57" s="123"/>
      <c r="J57" s="123"/>
      <c r="K57" s="276"/>
      <c r="L57" s="276"/>
      <c r="M57" s="276"/>
    </row>
    <row r="58" spans="2:13" x14ac:dyDescent="0.3">
      <c r="B58" s="275"/>
      <c r="C58" s="64"/>
      <c r="D58" s="64"/>
      <c r="E58" s="122"/>
      <c r="F58" s="64"/>
      <c r="G58" s="64"/>
      <c r="H58" s="64"/>
      <c r="I58" s="122"/>
      <c r="J58" s="122"/>
      <c r="K58" s="276"/>
      <c r="L58" s="276"/>
      <c r="M58" s="276"/>
    </row>
    <row r="59" spans="2:13" x14ac:dyDescent="0.3">
      <c r="B59" s="277"/>
      <c r="C59" s="123"/>
      <c r="D59" s="123"/>
      <c r="E59" s="64"/>
      <c r="F59" s="123"/>
      <c r="G59" s="123"/>
      <c r="H59" s="123"/>
      <c r="J59" s="124"/>
      <c r="K59" s="276"/>
      <c r="L59" s="276"/>
      <c r="M59" s="276"/>
    </row>
    <row r="60" spans="2:13" x14ac:dyDescent="0.3">
      <c r="B60" s="277"/>
      <c r="C60" s="123"/>
      <c r="D60" s="123"/>
      <c r="E60" s="64"/>
      <c r="F60" s="123"/>
      <c r="G60" s="123"/>
      <c r="J60" s="124"/>
      <c r="K60" s="279"/>
      <c r="L60" s="276"/>
      <c r="M60" s="276"/>
    </row>
    <row r="61" spans="2:13" x14ac:dyDescent="0.3">
      <c r="C61" s="276"/>
      <c r="D61" s="276"/>
      <c r="E61" s="276"/>
      <c r="F61" s="276"/>
      <c r="G61" s="276"/>
      <c r="K61" s="276"/>
      <c r="L61" s="276"/>
      <c r="M61" s="276"/>
    </row>
    <row r="62" spans="2:13" x14ac:dyDescent="0.3">
      <c r="C62" s="283"/>
      <c r="D62" s="283"/>
      <c r="E62" s="283"/>
      <c r="F62" s="283"/>
      <c r="G62" s="283"/>
      <c r="H62" s="122"/>
      <c r="I62" s="122"/>
      <c r="J62" s="122"/>
      <c r="K62" s="276"/>
      <c r="L62" s="276"/>
      <c r="M62" s="276"/>
    </row>
    <row r="65" spans="2:11" x14ac:dyDescent="0.3">
      <c r="B65" s="230"/>
    </row>
    <row r="66" spans="2:11" ht="12.9" x14ac:dyDescent="0.35">
      <c r="B66" s="229"/>
    </row>
    <row r="68" spans="2:11" x14ac:dyDescent="0.3">
      <c r="C68" s="274"/>
      <c r="D68" s="274"/>
      <c r="E68" s="274"/>
      <c r="F68" s="274"/>
      <c r="H68" s="230"/>
      <c r="I68" s="274"/>
      <c r="J68" s="274"/>
    </row>
    <row r="69" spans="2:11" x14ac:dyDescent="0.3">
      <c r="C69" s="274"/>
      <c r="D69" s="284"/>
      <c r="E69" s="274"/>
      <c r="F69" s="284"/>
    </row>
    <row r="70" spans="2:11" x14ac:dyDescent="0.3">
      <c r="B70" s="275"/>
      <c r="C70" s="64"/>
      <c r="D70" s="279"/>
      <c r="E70" s="278"/>
      <c r="F70" s="278"/>
      <c r="H70" s="285"/>
    </row>
    <row r="71" spans="2:11" x14ac:dyDescent="0.3">
      <c r="B71" s="277"/>
      <c r="C71" s="122"/>
      <c r="D71" s="279"/>
      <c r="E71" s="64"/>
      <c r="F71" s="279"/>
      <c r="H71" s="271"/>
      <c r="I71" s="510"/>
      <c r="J71" s="510"/>
      <c r="K71" s="233"/>
    </row>
    <row r="72" spans="2:11" x14ac:dyDescent="0.3">
      <c r="B72" s="277"/>
      <c r="C72" s="122"/>
      <c r="D72" s="279"/>
      <c r="E72" s="64"/>
      <c r="F72" s="279"/>
      <c r="H72" s="271"/>
      <c r="I72" s="510"/>
      <c r="J72" s="510"/>
      <c r="K72" s="233"/>
    </row>
    <row r="73" spans="2:11" x14ac:dyDescent="0.3">
      <c r="C73" s="122"/>
      <c r="D73" s="279"/>
      <c r="E73" s="122"/>
      <c r="F73" s="279"/>
      <c r="H73" s="271"/>
      <c r="I73" s="510"/>
      <c r="J73" s="510"/>
      <c r="K73" s="233"/>
    </row>
    <row r="74" spans="2:11" x14ac:dyDescent="0.3">
      <c r="B74" s="275"/>
      <c r="C74" s="64"/>
      <c r="D74" s="279"/>
      <c r="E74" s="64"/>
      <c r="F74" s="279"/>
      <c r="H74" s="285"/>
      <c r="I74" s="267"/>
      <c r="J74" s="267"/>
    </row>
    <row r="75" spans="2:11" x14ac:dyDescent="0.3">
      <c r="B75" s="277"/>
      <c r="C75" s="122"/>
      <c r="D75" s="278"/>
      <c r="E75" s="64"/>
      <c r="F75" s="279"/>
      <c r="H75" s="271"/>
      <c r="I75" s="510"/>
      <c r="J75" s="510"/>
      <c r="K75" s="233"/>
    </row>
    <row r="76" spans="2:11" x14ac:dyDescent="0.3">
      <c r="B76" s="277"/>
      <c r="C76" s="122"/>
      <c r="D76" s="278"/>
      <c r="E76" s="64"/>
      <c r="F76" s="279"/>
    </row>
    <row r="77" spans="2:11" x14ac:dyDescent="0.3">
      <c r="C77" s="283"/>
      <c r="D77" s="278"/>
      <c r="E77" s="283"/>
      <c r="F77" s="278"/>
    </row>
    <row r="78" spans="2:11" x14ac:dyDescent="0.3">
      <c r="C78" s="283"/>
      <c r="D78" s="278"/>
      <c r="E78" s="283"/>
      <c r="F78" s="278"/>
    </row>
    <row r="79" spans="2:11" x14ac:dyDescent="0.3">
      <c r="C79" s="283"/>
      <c r="D79" s="278"/>
      <c r="E79" s="283"/>
      <c r="F79" s="278"/>
    </row>
    <row r="80" spans="2:11" x14ac:dyDescent="0.3">
      <c r="C80" s="276"/>
      <c r="E80" s="276"/>
    </row>
    <row r="81" spans="1:13" x14ac:dyDescent="0.3">
      <c r="A81" s="287"/>
      <c r="B81" s="270"/>
      <c r="C81" s="276"/>
      <c r="E81" s="276"/>
    </row>
    <row r="82" spans="1:13" ht="12.9" x14ac:dyDescent="0.35">
      <c r="A82" s="287"/>
      <c r="B82" s="229"/>
    </row>
    <row r="84" spans="1:13" x14ac:dyDescent="0.3">
      <c r="B84" s="230"/>
    </row>
    <row r="85" spans="1:13" ht="12.9" x14ac:dyDescent="0.35">
      <c r="B85" s="229"/>
    </row>
    <row r="86" spans="1:13" x14ac:dyDescent="0.3">
      <c r="B86" s="230"/>
    </row>
    <row r="87" spans="1:13" x14ac:dyDescent="0.3">
      <c r="C87" s="274"/>
      <c r="D87" s="274"/>
      <c r="E87" s="274"/>
      <c r="F87" s="274"/>
      <c r="G87" s="274"/>
      <c r="H87" s="274"/>
      <c r="I87" s="274"/>
      <c r="J87" s="274"/>
    </row>
    <row r="88" spans="1:13" x14ac:dyDescent="0.3">
      <c r="C88" s="287"/>
      <c r="D88" s="287"/>
      <c r="E88" s="287"/>
      <c r="F88" s="288"/>
      <c r="G88" s="288"/>
      <c r="H88" s="288"/>
      <c r="I88" s="288"/>
      <c r="J88" s="288"/>
    </row>
    <row r="89" spans="1:13" x14ac:dyDescent="0.3">
      <c r="B89" s="275"/>
      <c r="C89" s="287"/>
      <c r="D89" s="287"/>
      <c r="E89" s="287"/>
      <c r="F89" s="288"/>
      <c r="G89" s="288"/>
      <c r="H89" s="288"/>
      <c r="I89" s="288"/>
      <c r="J89" s="288"/>
      <c r="L89" s="276"/>
      <c r="M89" s="276"/>
    </row>
    <row r="90" spans="1:13" x14ac:dyDescent="0.3">
      <c r="B90" s="277"/>
      <c r="C90" s="287"/>
      <c r="D90" s="287"/>
      <c r="E90" s="288"/>
      <c r="F90" s="287"/>
      <c r="G90" s="288"/>
      <c r="H90" s="288"/>
      <c r="I90" s="288"/>
      <c r="J90" s="287"/>
      <c r="L90" s="276"/>
      <c r="M90" s="276"/>
    </row>
    <row r="91" spans="1:13" x14ac:dyDescent="0.3">
      <c r="B91" s="277"/>
      <c r="C91" s="287"/>
      <c r="D91" s="287"/>
      <c r="E91" s="288"/>
      <c r="F91" s="287"/>
      <c r="G91" s="287"/>
      <c r="H91" s="287"/>
      <c r="I91" s="287"/>
      <c r="J91" s="287"/>
      <c r="L91" s="276"/>
      <c r="M91" s="276"/>
    </row>
    <row r="92" spans="1:13" x14ac:dyDescent="0.3">
      <c r="B92" s="280"/>
      <c r="C92" s="287"/>
      <c r="D92" s="287"/>
      <c r="E92" s="287"/>
      <c r="F92" s="287"/>
      <c r="G92" s="287"/>
      <c r="H92" s="287"/>
      <c r="I92" s="287"/>
      <c r="J92" s="287"/>
      <c r="L92" s="276"/>
      <c r="M92" s="276"/>
    </row>
    <row r="93" spans="1:13" x14ac:dyDescent="0.3">
      <c r="B93" s="282"/>
      <c r="C93" s="288"/>
      <c r="D93" s="288"/>
      <c r="E93" s="287"/>
      <c r="F93" s="287"/>
      <c r="G93" s="287"/>
      <c r="H93" s="287"/>
      <c r="I93" s="287"/>
      <c r="J93" s="287"/>
      <c r="L93" s="276"/>
      <c r="M93" s="276"/>
    </row>
    <row r="94" spans="1:13" x14ac:dyDescent="0.3">
      <c r="B94" s="282"/>
      <c r="C94" s="288"/>
      <c r="D94" s="288"/>
      <c r="E94" s="287"/>
      <c r="F94" s="287"/>
      <c r="G94" s="287"/>
      <c r="H94" s="287"/>
      <c r="I94" s="287"/>
      <c r="J94" s="287"/>
      <c r="L94" s="276"/>
      <c r="M94" s="276"/>
    </row>
    <row r="95" spans="1:13" x14ac:dyDescent="0.3">
      <c r="C95" s="288"/>
      <c r="D95" s="288"/>
      <c r="E95" s="287"/>
      <c r="F95" s="287"/>
      <c r="G95" s="287"/>
      <c r="H95" s="287"/>
      <c r="I95" s="287"/>
      <c r="J95" s="287"/>
      <c r="L95" s="276"/>
      <c r="M95" s="276"/>
    </row>
    <row r="96" spans="1:13" x14ac:dyDescent="0.3">
      <c r="B96" s="275"/>
      <c r="C96" s="288"/>
      <c r="D96" s="288"/>
      <c r="E96" s="287"/>
      <c r="F96" s="288"/>
      <c r="G96" s="288"/>
      <c r="H96" s="288"/>
      <c r="I96" s="288"/>
      <c r="J96" s="288"/>
      <c r="L96" s="276"/>
      <c r="M96" s="276"/>
    </row>
    <row r="97" spans="2:13" x14ac:dyDescent="0.3">
      <c r="B97" s="277"/>
      <c r="C97" s="287"/>
      <c r="D97" s="287"/>
      <c r="E97" s="288"/>
      <c r="F97" s="287"/>
      <c r="G97" s="287"/>
      <c r="H97" s="287"/>
      <c r="I97" s="287"/>
      <c r="J97" s="287"/>
      <c r="L97" s="276"/>
      <c r="M97" s="276"/>
    </row>
    <row r="98" spans="2:13" x14ac:dyDescent="0.3">
      <c r="B98" s="277"/>
      <c r="C98" s="287"/>
      <c r="D98" s="287"/>
      <c r="E98" s="288"/>
      <c r="F98" s="287"/>
      <c r="G98" s="287"/>
      <c r="H98" s="287"/>
      <c r="I98" s="287"/>
      <c r="J98" s="287"/>
      <c r="L98" s="276"/>
      <c r="M98" s="276"/>
    </row>
    <row r="99" spans="2:13" x14ac:dyDescent="0.3">
      <c r="C99" s="287"/>
      <c r="D99" s="287"/>
      <c r="E99" s="288"/>
      <c r="F99" s="287"/>
      <c r="G99" s="287"/>
      <c r="H99" s="287"/>
      <c r="I99" s="287"/>
      <c r="J99" s="287"/>
      <c r="L99" s="276"/>
      <c r="M99" s="276"/>
    </row>
    <row r="102" spans="2:13" x14ac:dyDescent="0.3">
      <c r="B102" s="230"/>
    </row>
    <row r="103" spans="2:13" ht="12.9" x14ac:dyDescent="0.35">
      <c r="B103" s="229"/>
    </row>
    <row r="105" spans="2:13" x14ac:dyDescent="0.3">
      <c r="C105" s="274"/>
      <c r="D105" s="274"/>
      <c r="E105" s="274"/>
      <c r="F105" s="274"/>
      <c r="H105" s="230"/>
      <c r="I105" s="274"/>
      <c r="J105" s="274"/>
    </row>
    <row r="106" spans="2:13" x14ac:dyDescent="0.3">
      <c r="F106" s="284"/>
    </row>
    <row r="107" spans="2:13" x14ac:dyDescent="0.3">
      <c r="B107" s="275"/>
      <c r="C107" s="288"/>
      <c r="D107" s="288"/>
      <c r="E107" s="288"/>
      <c r="F107" s="278"/>
      <c r="H107" s="285"/>
    </row>
    <row r="108" spans="2:13" x14ac:dyDescent="0.3">
      <c r="B108" s="277"/>
      <c r="C108" s="288"/>
      <c r="D108" s="288"/>
      <c r="E108" s="288"/>
      <c r="F108" s="279"/>
      <c r="H108" s="271"/>
      <c r="I108" s="511"/>
      <c r="J108" s="511"/>
      <c r="K108" s="233"/>
    </row>
    <row r="109" spans="2:13" x14ac:dyDescent="0.3">
      <c r="B109" s="277"/>
      <c r="C109" s="288"/>
      <c r="D109" s="288"/>
      <c r="E109" s="288"/>
      <c r="F109" s="279"/>
      <c r="H109" s="271"/>
      <c r="I109" s="511"/>
      <c r="J109" s="511"/>
      <c r="K109" s="233"/>
    </row>
    <row r="110" spans="2:13" x14ac:dyDescent="0.3">
      <c r="C110" s="288"/>
      <c r="D110" s="288"/>
      <c r="E110" s="288"/>
      <c r="F110" s="279"/>
      <c r="H110" s="271"/>
      <c r="I110" s="510"/>
      <c r="J110" s="510"/>
      <c r="K110" s="233"/>
    </row>
    <row r="111" spans="2:13" x14ac:dyDescent="0.3">
      <c r="B111" s="275"/>
      <c r="C111" s="288"/>
      <c r="D111" s="288"/>
      <c r="E111" s="288"/>
      <c r="F111" s="279"/>
      <c r="H111" s="285"/>
      <c r="I111" s="267"/>
      <c r="J111" s="267"/>
    </row>
    <row r="112" spans="2:13" x14ac:dyDescent="0.3">
      <c r="B112" s="277"/>
      <c r="C112" s="288"/>
      <c r="D112" s="288"/>
      <c r="E112" s="288"/>
      <c r="F112" s="279"/>
      <c r="H112" s="271"/>
      <c r="I112" s="511"/>
      <c r="J112" s="511"/>
      <c r="K112" s="233"/>
    </row>
    <row r="113" spans="1:12" x14ac:dyDescent="0.3">
      <c r="B113" s="277"/>
      <c r="C113" s="288"/>
      <c r="D113" s="288"/>
      <c r="E113" s="288"/>
      <c r="F113" s="279"/>
    </row>
    <row r="114" spans="1:12" x14ac:dyDescent="0.3">
      <c r="C114" s="283"/>
      <c r="D114" s="278"/>
      <c r="E114" s="283"/>
      <c r="F114" s="278"/>
    </row>
    <row r="115" spans="1:12" x14ac:dyDescent="0.3">
      <c r="C115" s="283"/>
      <c r="D115" s="278"/>
      <c r="E115" s="283"/>
      <c r="F115" s="278"/>
    </row>
    <row r="117" spans="1:12" x14ac:dyDescent="0.3">
      <c r="A117" s="287"/>
      <c r="B117" s="230"/>
      <c r="C117" s="276"/>
      <c r="E117" s="276"/>
    </row>
    <row r="118" spans="1:12" x14ac:dyDescent="0.3">
      <c r="C118" s="276"/>
      <c r="E118" s="276"/>
    </row>
    <row r="119" spans="1:12" x14ac:dyDescent="0.3">
      <c r="C119" s="274"/>
      <c r="D119" s="274"/>
      <c r="E119" s="274"/>
      <c r="F119" s="274"/>
      <c r="G119" s="274"/>
      <c r="H119" s="274"/>
      <c r="I119" s="274"/>
      <c r="J119" s="274"/>
    </row>
    <row r="121" spans="1:12" x14ac:dyDescent="0.3">
      <c r="B121" s="255"/>
      <c r="C121" s="290"/>
      <c r="D121" s="290"/>
      <c r="E121" s="291"/>
      <c r="F121" s="290"/>
      <c r="G121" s="264"/>
      <c r="H121" s="507"/>
      <c r="I121" s="507"/>
      <c r="J121" s="507"/>
    </row>
    <row r="122" spans="1:12" ht="15" x14ac:dyDescent="0.6">
      <c r="B122" s="255"/>
      <c r="C122" s="266"/>
      <c r="D122" s="266"/>
      <c r="E122" s="266"/>
      <c r="F122" s="266"/>
      <c r="G122" s="266"/>
      <c r="H122" s="299"/>
      <c r="I122" s="299"/>
      <c r="J122" s="299"/>
    </row>
    <row r="123" spans="1:12" x14ac:dyDescent="0.3">
      <c r="B123" s="255"/>
      <c r="C123" s="265"/>
      <c r="D123" s="265"/>
      <c r="E123" s="265"/>
      <c r="F123" s="265"/>
      <c r="G123" s="265"/>
      <c r="H123" s="265"/>
      <c r="I123" s="265"/>
      <c r="J123" s="265"/>
    </row>
    <row r="124" spans="1:12" x14ac:dyDescent="0.3">
      <c r="B124" s="255"/>
      <c r="C124" s="265"/>
      <c r="D124" s="265"/>
      <c r="E124" s="265"/>
      <c r="F124" s="265"/>
      <c r="G124" s="265"/>
      <c r="H124" s="265"/>
      <c r="I124" s="265"/>
      <c r="J124" s="265"/>
      <c r="K124" s="265"/>
      <c r="L124" s="265"/>
    </row>
    <row r="125" spans="1:12" x14ac:dyDescent="0.3">
      <c r="B125" s="255"/>
      <c r="C125" s="265"/>
      <c r="D125" s="265"/>
      <c r="E125" s="265"/>
      <c r="F125" s="265"/>
      <c r="G125" s="265"/>
      <c r="H125" s="265"/>
      <c r="I125" s="265"/>
      <c r="J125" s="265"/>
      <c r="K125" s="265"/>
      <c r="L125" s="265"/>
    </row>
    <row r="126" spans="1:12" x14ac:dyDescent="0.3">
      <c r="B126" s="255"/>
      <c r="C126" s="274"/>
      <c r="D126" s="274"/>
      <c r="F126" s="274"/>
      <c r="G126" s="274"/>
      <c r="H126" s="265"/>
      <c r="I126" s="265"/>
      <c r="J126" s="265"/>
      <c r="K126" s="265"/>
      <c r="L126" s="265"/>
    </row>
    <row r="127" spans="1:12" x14ac:dyDescent="0.3">
      <c r="B127" s="255"/>
      <c r="C127" s="274"/>
      <c r="D127" s="274"/>
      <c r="F127" s="274"/>
      <c r="G127" s="274"/>
      <c r="H127" s="265"/>
      <c r="I127" s="265"/>
      <c r="J127" s="265"/>
      <c r="K127" s="265"/>
      <c r="L127" s="265"/>
    </row>
    <row r="128" spans="1:12" x14ac:dyDescent="0.3">
      <c r="B128" s="255"/>
      <c r="G128" s="265"/>
      <c r="H128" s="265"/>
      <c r="I128" s="265"/>
      <c r="J128" s="265"/>
      <c r="K128" s="265"/>
      <c r="L128" s="265"/>
    </row>
    <row r="129" spans="2:12" x14ac:dyDescent="0.3">
      <c r="B129" s="255"/>
      <c r="C129" s="291"/>
      <c r="D129" s="291"/>
      <c r="F129" s="291"/>
      <c r="G129" s="441"/>
      <c r="H129" s="265"/>
      <c r="I129" s="265"/>
      <c r="J129" s="265"/>
      <c r="K129" s="265"/>
      <c r="L129" s="265"/>
    </row>
    <row r="130" spans="2:12" ht="15" x14ac:dyDescent="0.6">
      <c r="B130" s="255"/>
      <c r="C130" s="292"/>
      <c r="D130" s="292"/>
      <c r="F130" s="292"/>
      <c r="G130" s="292"/>
      <c r="H130" s="265"/>
      <c r="I130" s="265"/>
      <c r="J130" s="265"/>
      <c r="K130" s="265"/>
      <c r="L130" s="265"/>
    </row>
    <row r="131" spans="2:12" x14ac:dyDescent="0.3">
      <c r="B131" s="255"/>
      <c r="C131" s="265"/>
      <c r="D131" s="265"/>
      <c r="F131" s="265"/>
      <c r="G131" s="265"/>
      <c r="H131" s="265"/>
      <c r="I131" s="265"/>
      <c r="J131" s="265"/>
      <c r="K131" s="265"/>
      <c r="L131" s="265"/>
    </row>
    <row r="132" spans="2:12" x14ac:dyDescent="0.3">
      <c r="B132" s="255"/>
      <c r="C132" s="265"/>
      <c r="F132" s="265"/>
      <c r="G132" s="265"/>
      <c r="H132" s="265"/>
      <c r="I132" s="265"/>
      <c r="J132" s="265"/>
      <c r="K132" s="265"/>
      <c r="L132" s="265"/>
    </row>
    <row r="133" spans="2:12" x14ac:dyDescent="0.3">
      <c r="B133" s="255"/>
      <c r="C133" s="265"/>
      <c r="D133" s="265"/>
      <c r="E133" s="265"/>
      <c r="F133" s="265"/>
      <c r="G133" s="265"/>
      <c r="H133" s="265"/>
      <c r="I133" s="265"/>
      <c r="J133" s="265"/>
      <c r="K133" s="265"/>
      <c r="L133" s="265"/>
    </row>
    <row r="134" spans="2:12" x14ac:dyDescent="0.3">
      <c r="B134" s="255"/>
      <c r="C134" s="274"/>
      <c r="D134" s="274"/>
      <c r="E134" s="274"/>
      <c r="F134" s="265"/>
      <c r="G134" s="265"/>
      <c r="H134" s="265"/>
      <c r="I134" s="265"/>
      <c r="J134" s="265"/>
      <c r="K134" s="265"/>
      <c r="L134" s="265"/>
    </row>
    <row r="135" spans="2:12" x14ac:dyDescent="0.3">
      <c r="B135" s="255"/>
      <c r="C135" s="265"/>
      <c r="D135" s="265"/>
      <c r="E135" s="265"/>
      <c r="F135" s="265"/>
      <c r="G135" s="265"/>
      <c r="H135" s="265"/>
      <c r="I135" s="265"/>
      <c r="J135" s="265"/>
      <c r="K135" s="265"/>
      <c r="L135" s="265"/>
    </row>
    <row r="136" spans="2:12" ht="15" x14ac:dyDescent="0.6">
      <c r="B136" s="255"/>
      <c r="C136" s="272"/>
      <c r="D136" s="272"/>
      <c r="E136" s="272"/>
    </row>
    <row r="137" spans="2:12" x14ac:dyDescent="0.3">
      <c r="B137" s="255"/>
      <c r="C137" s="265"/>
      <c r="D137" s="265"/>
      <c r="E137" s="293"/>
    </row>
    <row r="138" spans="2:12" x14ac:dyDescent="0.3">
      <c r="B138" s="255"/>
      <c r="C138" s="276"/>
      <c r="E138" s="276"/>
    </row>
    <row r="139" spans="2:12" x14ac:dyDescent="0.3">
      <c r="C139" s="274"/>
      <c r="D139" s="274"/>
      <c r="E139" s="274"/>
      <c r="F139" s="274"/>
      <c r="G139" s="274"/>
      <c r="H139" s="274"/>
      <c r="I139" s="274"/>
      <c r="J139" s="274"/>
      <c r="K139" s="274"/>
      <c r="L139" s="274"/>
    </row>
    <row r="141" spans="2:12" x14ac:dyDescent="0.3">
      <c r="B141" s="255"/>
      <c r="C141" s="265"/>
    </row>
    <row r="142" spans="2:12" ht="15" x14ac:dyDescent="0.6">
      <c r="B142" s="255"/>
      <c r="C142" s="272"/>
    </row>
    <row r="143" spans="2:12" x14ac:dyDescent="0.3">
      <c r="B143" s="255"/>
      <c r="C143" s="265"/>
    </row>
    <row r="144" spans="2:12" x14ac:dyDescent="0.3">
      <c r="C144" s="276"/>
    </row>
    <row r="145" spans="1:10" x14ac:dyDescent="0.3">
      <c r="B145" s="282"/>
      <c r="C145" s="255"/>
    </row>
    <row r="146" spans="1:10" x14ac:dyDescent="0.3">
      <c r="B146" s="255"/>
      <c r="C146" s="265"/>
    </row>
    <row r="147" spans="1:10" ht="15" x14ac:dyDescent="0.6">
      <c r="B147" s="255"/>
      <c r="C147" s="272"/>
    </row>
    <row r="148" spans="1:10" x14ac:dyDescent="0.3">
      <c r="B148" s="255"/>
      <c r="C148" s="265"/>
    </row>
    <row r="153" spans="1:10" x14ac:dyDescent="0.3">
      <c r="A153" s="287"/>
      <c r="B153" s="270"/>
      <c r="C153" s="276"/>
      <c r="E153" s="276"/>
    </row>
    <row r="154" spans="1:10" ht="12.9" x14ac:dyDescent="0.35">
      <c r="B154" s="229"/>
    </row>
    <row r="156" spans="1:10" x14ac:dyDescent="0.3">
      <c r="B156" s="230"/>
    </row>
    <row r="157" spans="1:10" ht="12.9" x14ac:dyDescent="0.35">
      <c r="B157" s="229"/>
    </row>
    <row r="158" spans="1:10" x14ac:dyDescent="0.3">
      <c r="B158" s="230"/>
    </row>
    <row r="159" spans="1:10" x14ac:dyDescent="0.3">
      <c r="C159" s="274"/>
      <c r="D159" s="274"/>
      <c r="E159" s="274"/>
      <c r="F159" s="274"/>
      <c r="G159" s="274"/>
      <c r="H159" s="274"/>
      <c r="I159" s="274"/>
      <c r="J159" s="274"/>
    </row>
    <row r="160" spans="1:10" x14ac:dyDescent="0.3">
      <c r="C160" s="287"/>
      <c r="D160" s="287"/>
      <c r="E160" s="287"/>
      <c r="F160" s="288"/>
      <c r="G160" s="288"/>
      <c r="H160" s="288"/>
      <c r="I160" s="288"/>
      <c r="J160" s="288"/>
    </row>
    <row r="161" spans="2:10" x14ac:dyDescent="0.3">
      <c r="B161" s="275"/>
      <c r="C161" s="287"/>
      <c r="D161" s="287"/>
      <c r="E161" s="287"/>
      <c r="F161" s="288"/>
      <c r="G161" s="288"/>
      <c r="H161" s="288"/>
      <c r="I161" s="288"/>
      <c r="J161" s="288"/>
    </row>
    <row r="162" spans="2:10" x14ac:dyDescent="0.3">
      <c r="B162" s="277"/>
      <c r="C162" s="287"/>
      <c r="D162" s="287"/>
      <c r="E162" s="288"/>
      <c r="G162" s="288"/>
      <c r="H162" s="288"/>
      <c r="I162" s="288"/>
      <c r="J162" s="287"/>
    </row>
    <row r="163" spans="2:10" x14ac:dyDescent="0.3">
      <c r="B163" s="277"/>
      <c r="C163" s="287"/>
      <c r="D163" s="287"/>
      <c r="E163" s="288"/>
      <c r="F163" s="287"/>
      <c r="G163" s="287"/>
      <c r="H163" s="287"/>
      <c r="I163" s="287"/>
      <c r="J163" s="287"/>
    </row>
    <row r="164" spans="2:10" x14ac:dyDescent="0.3">
      <c r="B164" s="280"/>
      <c r="C164" s="287"/>
      <c r="D164" s="287"/>
      <c r="E164" s="287"/>
      <c r="F164" s="287"/>
      <c r="G164" s="287"/>
      <c r="H164" s="287"/>
      <c r="I164" s="287"/>
      <c r="J164" s="287"/>
    </row>
    <row r="165" spans="2:10" x14ac:dyDescent="0.3">
      <c r="B165" s="282"/>
      <c r="C165" s="288"/>
      <c r="D165" s="288"/>
      <c r="E165" s="287"/>
      <c r="F165" s="287"/>
      <c r="G165" s="287"/>
      <c r="H165" s="287"/>
      <c r="I165" s="287"/>
      <c r="J165" s="287"/>
    </row>
    <row r="166" spans="2:10" x14ac:dyDescent="0.3">
      <c r="B166" s="282"/>
      <c r="C166" s="288"/>
      <c r="D166" s="288"/>
      <c r="E166" s="287"/>
      <c r="F166" s="287"/>
      <c r="G166" s="287"/>
      <c r="H166" s="287"/>
      <c r="I166" s="287"/>
      <c r="J166" s="287"/>
    </row>
    <row r="167" spans="2:10" x14ac:dyDescent="0.3">
      <c r="C167" s="288"/>
      <c r="D167" s="288"/>
      <c r="E167" s="287"/>
      <c r="F167" s="287"/>
      <c r="G167" s="287"/>
      <c r="H167" s="287"/>
      <c r="I167" s="287"/>
      <c r="J167" s="287"/>
    </row>
    <row r="168" spans="2:10" x14ac:dyDescent="0.3">
      <c r="B168" s="275"/>
      <c r="C168" s="288"/>
      <c r="D168" s="288"/>
      <c r="E168" s="287"/>
      <c r="F168" s="288"/>
      <c r="G168" s="288"/>
      <c r="H168" s="288"/>
      <c r="I168" s="288"/>
      <c r="J168" s="288"/>
    </row>
    <row r="169" spans="2:10" x14ac:dyDescent="0.3">
      <c r="B169" s="277"/>
      <c r="C169" s="287"/>
      <c r="D169" s="287"/>
      <c r="E169" s="288"/>
      <c r="F169" s="287"/>
      <c r="G169" s="287"/>
      <c r="H169" s="287"/>
      <c r="I169" s="287"/>
      <c r="J169" s="287"/>
    </row>
    <row r="170" spans="2:10" x14ac:dyDescent="0.3">
      <c r="B170" s="277"/>
      <c r="C170" s="287"/>
      <c r="D170" s="287"/>
      <c r="E170" s="288"/>
      <c r="F170" s="287"/>
      <c r="G170" s="287"/>
      <c r="H170" s="287"/>
      <c r="I170" s="287"/>
      <c r="J170" s="287"/>
    </row>
    <row r="171" spans="2:10" x14ac:dyDescent="0.3">
      <c r="C171" s="287"/>
      <c r="D171" s="287"/>
      <c r="E171" s="288"/>
      <c r="F171" s="287"/>
      <c r="G171" s="287"/>
      <c r="H171" s="287"/>
      <c r="I171" s="287"/>
      <c r="J171" s="287"/>
    </row>
    <row r="174" spans="2:10" x14ac:dyDescent="0.3">
      <c r="B174" s="230"/>
    </row>
    <row r="175" spans="2:10" ht="12.9" x14ac:dyDescent="0.35">
      <c r="B175" s="229"/>
    </row>
    <row r="177" spans="1:12" x14ac:dyDescent="0.3">
      <c r="C177" s="274"/>
      <c r="D177" s="274"/>
      <c r="E177" s="274"/>
      <c r="F177" s="274"/>
      <c r="H177" s="230"/>
      <c r="I177" s="274"/>
      <c r="J177" s="274"/>
    </row>
    <row r="178" spans="1:12" x14ac:dyDescent="0.3">
      <c r="F178" s="284"/>
    </row>
    <row r="179" spans="1:12" x14ac:dyDescent="0.3">
      <c r="B179" s="275"/>
      <c r="C179" s="288"/>
      <c r="D179" s="288"/>
      <c r="E179" s="288"/>
      <c r="F179" s="278"/>
      <c r="H179" s="285"/>
    </row>
    <row r="180" spans="1:12" x14ac:dyDescent="0.3">
      <c r="B180" s="277"/>
      <c r="C180" s="288"/>
      <c r="D180" s="288"/>
      <c r="E180" s="288"/>
      <c r="F180" s="279"/>
      <c r="H180" s="271"/>
      <c r="I180" s="512"/>
      <c r="J180" s="512"/>
    </row>
    <row r="181" spans="1:12" x14ac:dyDescent="0.3">
      <c r="B181" s="277"/>
      <c r="C181" s="288"/>
      <c r="D181" s="288"/>
      <c r="E181" s="288"/>
      <c r="F181" s="279"/>
      <c r="H181" s="271"/>
      <c r="I181" s="512"/>
      <c r="J181" s="512"/>
    </row>
    <row r="182" spans="1:12" x14ac:dyDescent="0.3">
      <c r="C182" s="288"/>
      <c r="D182" s="288"/>
      <c r="E182" s="288"/>
      <c r="F182" s="279"/>
      <c r="H182" s="271"/>
      <c r="I182" s="510"/>
      <c r="J182" s="510"/>
    </row>
    <row r="183" spans="1:12" x14ac:dyDescent="0.3">
      <c r="B183" s="275"/>
      <c r="C183" s="288"/>
      <c r="D183" s="288"/>
      <c r="E183" s="288"/>
      <c r="F183" s="279"/>
      <c r="H183" s="285"/>
      <c r="I183" s="267"/>
      <c r="J183" s="267"/>
    </row>
    <row r="184" spans="1:12" x14ac:dyDescent="0.3">
      <c r="B184" s="277"/>
      <c r="C184" s="288"/>
      <c r="D184" s="288"/>
      <c r="E184" s="288"/>
      <c r="F184" s="279"/>
      <c r="H184" s="271"/>
      <c r="I184" s="512"/>
      <c r="J184" s="512"/>
    </row>
    <row r="185" spans="1:12" x14ac:dyDescent="0.3">
      <c r="B185" s="277"/>
      <c r="C185" s="288"/>
      <c r="D185" s="288"/>
      <c r="E185" s="288"/>
      <c r="F185" s="279"/>
    </row>
    <row r="189" spans="1:12" x14ac:dyDescent="0.3">
      <c r="A189" s="287"/>
      <c r="B189" s="230"/>
      <c r="C189" s="276"/>
      <c r="E189" s="276"/>
    </row>
    <row r="190" spans="1:12" x14ac:dyDescent="0.3">
      <c r="C190" s="276"/>
      <c r="E190" s="276"/>
    </row>
    <row r="191" spans="1:12" x14ac:dyDescent="0.3">
      <c r="C191" s="274"/>
      <c r="D191" s="274"/>
      <c r="E191" s="274"/>
      <c r="F191" s="274"/>
      <c r="G191" s="274"/>
      <c r="H191" s="274"/>
      <c r="I191" s="274"/>
      <c r="J191" s="274"/>
      <c r="K191" s="274"/>
      <c r="L191" s="274"/>
    </row>
    <row r="193" spans="2:12" x14ac:dyDescent="0.3">
      <c r="B193" s="255"/>
      <c r="C193" s="290"/>
      <c r="D193" s="290"/>
      <c r="E193" s="291"/>
      <c r="F193" s="290"/>
      <c r="G193" s="264"/>
      <c r="H193" s="507"/>
      <c r="I193" s="507"/>
      <c r="J193" s="507"/>
      <c r="K193" s="291"/>
      <c r="L193" s="291"/>
    </row>
    <row r="194" spans="2:12" ht="15" x14ac:dyDescent="0.6">
      <c r="B194" s="255"/>
      <c r="C194" s="266"/>
      <c r="D194" s="266"/>
      <c r="E194" s="266"/>
      <c r="F194" s="266"/>
      <c r="G194" s="266"/>
      <c r="H194" s="299"/>
      <c r="I194" s="299"/>
      <c r="J194" s="299"/>
      <c r="K194" s="292"/>
      <c r="L194" s="292"/>
    </row>
    <row r="195" spans="2:12" x14ac:dyDescent="0.3">
      <c r="B195" s="255"/>
      <c r="C195" s="265"/>
      <c r="D195" s="265"/>
      <c r="E195" s="265"/>
      <c r="F195" s="265"/>
      <c r="G195" s="265"/>
      <c r="H195" s="265"/>
      <c r="I195" s="265"/>
      <c r="J195" s="265"/>
      <c r="K195" s="265"/>
      <c r="L195" s="265"/>
    </row>
    <row r="196" spans="2:12" x14ac:dyDescent="0.3">
      <c r="B196" s="255"/>
      <c r="C196" s="265"/>
      <c r="D196" s="265"/>
      <c r="E196" s="265"/>
      <c r="F196" s="265"/>
      <c r="G196" s="265"/>
      <c r="H196" s="265"/>
      <c r="I196" s="265"/>
      <c r="J196" s="265"/>
      <c r="K196" s="265"/>
      <c r="L196" s="265"/>
    </row>
    <row r="197" spans="2:12" x14ac:dyDescent="0.3">
      <c r="B197" s="255"/>
      <c r="C197" s="265"/>
      <c r="D197" s="265"/>
      <c r="E197" s="265"/>
      <c r="F197" s="265"/>
      <c r="G197" s="265"/>
      <c r="H197" s="265"/>
      <c r="I197" s="265"/>
      <c r="J197" s="265"/>
      <c r="K197" s="265"/>
      <c r="L197" s="265"/>
    </row>
    <row r="198" spans="2:12" ht="15" x14ac:dyDescent="0.6">
      <c r="B198" s="255"/>
      <c r="C198" s="272"/>
      <c r="E198" s="276"/>
    </row>
    <row r="199" spans="2:12" x14ac:dyDescent="0.3">
      <c r="B199" s="255"/>
      <c r="C199" s="265"/>
      <c r="E199" s="276"/>
    </row>
    <row r="200" spans="2:12" x14ac:dyDescent="0.3">
      <c r="B200" s="255"/>
      <c r="C200" s="276"/>
      <c r="E200" s="276"/>
    </row>
    <row r="201" spans="2:12" x14ac:dyDescent="0.3">
      <c r="C201" s="274"/>
      <c r="D201" s="274"/>
      <c r="E201" s="274"/>
      <c r="F201" s="274"/>
      <c r="G201" s="274"/>
      <c r="H201" s="274"/>
      <c r="I201" s="274"/>
      <c r="J201" s="274"/>
      <c r="K201" s="274"/>
      <c r="L201" s="274"/>
    </row>
    <row r="203" spans="2:12" x14ac:dyDescent="0.3">
      <c r="B203" s="255"/>
      <c r="C203" s="265"/>
    </row>
    <row r="204" spans="2:12" ht="15" x14ac:dyDescent="0.6">
      <c r="B204" s="255"/>
      <c r="C204" s="272"/>
    </row>
    <row r="205" spans="2:12" x14ac:dyDescent="0.3">
      <c r="B205" s="255"/>
      <c r="C205" s="265"/>
      <c r="D205" s="265"/>
      <c r="G205" s="255"/>
    </row>
    <row r="206" spans="2:12" x14ac:dyDescent="0.3">
      <c r="C206" s="276"/>
      <c r="E206" s="276"/>
      <c r="G206" s="255"/>
    </row>
    <row r="207" spans="2:12" x14ac:dyDescent="0.3">
      <c r="B207" s="282"/>
      <c r="C207" s="265"/>
      <c r="E207" s="295"/>
      <c r="G207" s="295"/>
    </row>
    <row r="208" spans="2:12" x14ac:dyDescent="0.3">
      <c r="B208" s="255"/>
      <c r="C208" s="265"/>
      <c r="E208" s="296"/>
    </row>
    <row r="209" spans="1:10" ht="15" x14ac:dyDescent="0.6">
      <c r="B209" s="255"/>
      <c r="C209" s="272"/>
      <c r="E209" s="297"/>
    </row>
    <row r="210" spans="1:10" x14ac:dyDescent="0.3">
      <c r="B210" s="255"/>
      <c r="C210" s="265"/>
      <c r="E210" s="296"/>
    </row>
    <row r="212" spans="1:10" x14ac:dyDescent="0.3">
      <c r="C212" s="298"/>
    </row>
    <row r="213" spans="1:10" outlineLevel="1" x14ac:dyDescent="0.3">
      <c r="A213" s="230"/>
    </row>
    <row r="214" spans="1:10" outlineLevel="1" x14ac:dyDescent="0.3">
      <c r="A214" s="287"/>
      <c r="B214" s="270"/>
      <c r="C214" s="276"/>
      <c r="E214" s="276"/>
    </row>
    <row r="215" spans="1:10" ht="12.9" outlineLevel="1" x14ac:dyDescent="0.35">
      <c r="B215" s="229"/>
    </row>
    <row r="216" spans="1:10" outlineLevel="1" x14ac:dyDescent="0.3">
      <c r="A216" s="287"/>
    </row>
    <row r="217" spans="1:10" outlineLevel="1" x14ac:dyDescent="0.3">
      <c r="B217" s="230"/>
    </row>
    <row r="218" spans="1:10" ht="12.9" outlineLevel="1" x14ac:dyDescent="0.35">
      <c r="B218" s="229"/>
    </row>
    <row r="219" spans="1:10" outlineLevel="1" x14ac:dyDescent="0.3">
      <c r="B219" s="230"/>
    </row>
    <row r="220" spans="1:10" outlineLevel="1" x14ac:dyDescent="0.3">
      <c r="C220" s="274"/>
      <c r="D220" s="274"/>
      <c r="E220" s="274"/>
      <c r="F220" s="274"/>
      <c r="G220" s="274"/>
      <c r="H220" s="274"/>
      <c r="I220" s="274"/>
      <c r="J220" s="274"/>
    </row>
    <row r="221" spans="1:10" outlineLevel="1" x14ac:dyDescent="0.3">
      <c r="C221" s="287"/>
      <c r="D221" s="287"/>
      <c r="E221" s="287"/>
      <c r="F221" s="288"/>
      <c r="G221" s="288"/>
      <c r="H221" s="288"/>
      <c r="I221" s="288"/>
      <c r="J221" s="288"/>
    </row>
    <row r="222" spans="1:10" outlineLevel="1" x14ac:dyDescent="0.3">
      <c r="B222" s="275"/>
      <c r="C222" s="287"/>
      <c r="D222" s="287"/>
      <c r="E222" s="287"/>
      <c r="F222" s="288"/>
      <c r="G222" s="288"/>
      <c r="H222" s="288"/>
      <c r="I222" s="288"/>
      <c r="J222" s="288"/>
    </row>
    <row r="223" spans="1:10" outlineLevel="1" x14ac:dyDescent="0.3">
      <c r="B223" s="277"/>
      <c r="C223" s="287"/>
      <c r="D223" s="287"/>
      <c r="E223" s="288"/>
    </row>
    <row r="224" spans="1:10" outlineLevel="1" x14ac:dyDescent="0.3">
      <c r="B224" s="277"/>
      <c r="C224" s="287"/>
      <c r="D224" s="287"/>
      <c r="E224" s="288"/>
      <c r="F224" s="287"/>
      <c r="G224" s="287"/>
      <c r="H224" s="287"/>
      <c r="I224" s="287"/>
      <c r="J224" s="287"/>
    </row>
    <row r="225" spans="2:10" outlineLevel="1" x14ac:dyDescent="0.3">
      <c r="B225" s="280"/>
      <c r="C225" s="287"/>
      <c r="D225" s="287"/>
      <c r="E225" s="287"/>
      <c r="F225" s="287"/>
      <c r="G225" s="287"/>
      <c r="H225" s="287"/>
      <c r="I225" s="287"/>
      <c r="J225" s="287"/>
    </row>
    <row r="226" spans="2:10" outlineLevel="1" x14ac:dyDescent="0.3">
      <c r="B226" s="282"/>
      <c r="C226" s="288"/>
      <c r="D226" s="288"/>
      <c r="E226" s="287"/>
      <c r="F226" s="287"/>
      <c r="G226" s="287"/>
      <c r="H226" s="287"/>
      <c r="I226" s="287"/>
      <c r="J226" s="287"/>
    </row>
    <row r="227" spans="2:10" outlineLevel="1" x14ac:dyDescent="0.3">
      <c r="B227" s="282"/>
      <c r="C227" s="288"/>
      <c r="D227" s="288"/>
      <c r="E227" s="287"/>
      <c r="F227" s="287"/>
      <c r="G227" s="287"/>
      <c r="H227" s="287"/>
      <c r="I227" s="287"/>
      <c r="J227" s="287"/>
    </row>
    <row r="228" spans="2:10" outlineLevel="1" x14ac:dyDescent="0.3">
      <c r="C228" s="288"/>
      <c r="D228" s="288"/>
      <c r="E228" s="287"/>
      <c r="F228" s="287"/>
      <c r="G228" s="287"/>
      <c r="H228" s="287"/>
      <c r="I228" s="287"/>
      <c r="J228" s="287"/>
    </row>
    <row r="229" spans="2:10" outlineLevel="1" x14ac:dyDescent="0.3">
      <c r="B229" s="275"/>
      <c r="C229" s="288"/>
      <c r="D229" s="288"/>
      <c r="E229" s="287"/>
      <c r="F229" s="288"/>
      <c r="G229" s="288"/>
      <c r="H229" s="288"/>
      <c r="I229" s="288"/>
      <c r="J229" s="288"/>
    </row>
    <row r="230" spans="2:10" outlineLevel="1" x14ac:dyDescent="0.3">
      <c r="B230" s="277"/>
      <c r="C230" s="287"/>
      <c r="D230" s="287"/>
      <c r="E230" s="288"/>
      <c r="F230" s="287"/>
      <c r="G230" s="287"/>
      <c r="H230" s="287"/>
      <c r="I230" s="287"/>
      <c r="J230" s="287"/>
    </row>
    <row r="231" spans="2:10" outlineLevel="1" x14ac:dyDescent="0.3">
      <c r="B231" s="277"/>
      <c r="C231" s="287"/>
      <c r="D231" s="287"/>
      <c r="E231" s="288"/>
      <c r="F231" s="287"/>
      <c r="G231" s="287"/>
      <c r="H231" s="287"/>
      <c r="I231" s="287"/>
      <c r="J231" s="287"/>
    </row>
    <row r="232" spans="2:10" outlineLevel="1" x14ac:dyDescent="0.3">
      <c r="C232" s="287"/>
      <c r="D232" s="287"/>
      <c r="E232" s="288"/>
      <c r="F232" s="287"/>
      <c r="G232" s="287"/>
      <c r="H232" s="287"/>
      <c r="I232" s="287"/>
      <c r="J232" s="287"/>
    </row>
    <row r="233" spans="2:10" outlineLevel="1" x14ac:dyDescent="0.3"/>
    <row r="234" spans="2:10" outlineLevel="1" x14ac:dyDescent="0.3"/>
    <row r="235" spans="2:10" outlineLevel="1" x14ac:dyDescent="0.3">
      <c r="B235" s="230"/>
    </row>
    <row r="236" spans="2:10" ht="12.9" outlineLevel="1" x14ac:dyDescent="0.35">
      <c r="B236" s="229"/>
    </row>
    <row r="237" spans="2:10" outlineLevel="1" x14ac:dyDescent="0.3"/>
    <row r="238" spans="2:10" outlineLevel="1" x14ac:dyDescent="0.3">
      <c r="C238" s="274"/>
      <c r="D238" s="274"/>
      <c r="E238" s="274"/>
      <c r="F238" s="274"/>
      <c r="H238" s="230"/>
      <c r="I238" s="274"/>
      <c r="J238" s="274"/>
    </row>
    <row r="239" spans="2:10" outlineLevel="1" x14ac:dyDescent="0.3">
      <c r="F239" s="284"/>
    </row>
    <row r="240" spans="2:10" outlineLevel="1" x14ac:dyDescent="0.3">
      <c r="B240" s="275"/>
      <c r="C240" s="288"/>
      <c r="D240" s="288"/>
      <c r="E240" s="288"/>
      <c r="F240" s="278"/>
      <c r="H240" s="285"/>
    </row>
    <row r="241" spans="1:12" outlineLevel="1" x14ac:dyDescent="0.3">
      <c r="B241" s="277"/>
      <c r="C241" s="288"/>
      <c r="D241" s="288"/>
      <c r="E241" s="288"/>
      <c r="F241" s="279"/>
      <c r="H241" s="271"/>
      <c r="I241" s="512"/>
      <c r="J241" s="512"/>
    </row>
    <row r="242" spans="1:12" outlineLevel="1" x14ac:dyDescent="0.3">
      <c r="B242" s="277"/>
      <c r="C242" s="288"/>
      <c r="D242" s="288"/>
      <c r="E242" s="288"/>
      <c r="F242" s="279"/>
      <c r="H242" s="271"/>
      <c r="I242" s="512"/>
      <c r="J242" s="512"/>
    </row>
    <row r="243" spans="1:12" outlineLevel="1" x14ac:dyDescent="0.3">
      <c r="C243" s="288"/>
      <c r="D243" s="288"/>
      <c r="E243" s="288"/>
      <c r="F243" s="279"/>
      <c r="H243" s="271"/>
      <c r="I243" s="510"/>
      <c r="J243" s="510"/>
    </row>
    <row r="244" spans="1:12" outlineLevel="1" x14ac:dyDescent="0.3">
      <c r="B244" s="275"/>
      <c r="C244" s="288"/>
      <c r="D244" s="288"/>
      <c r="E244" s="288"/>
      <c r="F244" s="279"/>
      <c r="H244" s="285"/>
      <c r="I244" s="267"/>
      <c r="J244" s="267"/>
    </row>
    <row r="245" spans="1:12" outlineLevel="1" x14ac:dyDescent="0.3">
      <c r="B245" s="277"/>
      <c r="C245" s="288"/>
      <c r="D245" s="288"/>
      <c r="E245" s="288"/>
      <c r="F245" s="279"/>
      <c r="H245" s="271"/>
      <c r="I245" s="512"/>
      <c r="J245" s="512"/>
    </row>
    <row r="246" spans="1:12" outlineLevel="1" x14ac:dyDescent="0.3">
      <c r="B246" s="277"/>
      <c r="C246" s="288"/>
      <c r="D246" s="288"/>
      <c r="E246" s="288"/>
      <c r="F246" s="279"/>
    </row>
    <row r="247" spans="1:12" outlineLevel="1" x14ac:dyDescent="0.3"/>
    <row r="248" spans="1:12" outlineLevel="1" x14ac:dyDescent="0.3"/>
    <row r="249" spans="1:12" outlineLevel="1" x14ac:dyDescent="0.3"/>
    <row r="250" spans="1:12" outlineLevel="1" x14ac:dyDescent="0.3"/>
    <row r="251" spans="1:12" outlineLevel="1" x14ac:dyDescent="0.3">
      <c r="A251" s="287"/>
      <c r="B251" s="230"/>
      <c r="C251" s="276"/>
      <c r="E251" s="276"/>
    </row>
    <row r="252" spans="1:12" outlineLevel="1" x14ac:dyDescent="0.3">
      <c r="C252" s="276"/>
      <c r="E252" s="276"/>
    </row>
    <row r="253" spans="1:12" outlineLevel="1" x14ac:dyDescent="0.3">
      <c r="C253" s="274"/>
      <c r="D253" s="274"/>
      <c r="E253" s="274"/>
      <c r="F253" s="274"/>
      <c r="G253" s="274"/>
      <c r="H253" s="274"/>
      <c r="I253" s="274"/>
      <c r="J253" s="274"/>
      <c r="K253" s="274"/>
      <c r="L253" s="274"/>
    </row>
    <row r="254" spans="1:12" outlineLevel="1" x14ac:dyDescent="0.3"/>
    <row r="255" spans="1:12" outlineLevel="1" x14ac:dyDescent="0.3">
      <c r="B255" s="255"/>
      <c r="C255" s="290"/>
      <c r="D255" s="290"/>
      <c r="E255" s="291"/>
      <c r="F255" s="290"/>
      <c r="G255" s="264"/>
      <c r="H255" s="507"/>
      <c r="I255" s="507"/>
      <c r="J255" s="507"/>
      <c r="K255" s="291"/>
      <c r="L255" s="291"/>
    </row>
    <row r="256" spans="1:12" ht="15" outlineLevel="1" x14ac:dyDescent="0.6">
      <c r="B256" s="255"/>
      <c r="C256" s="266"/>
      <c r="D256" s="266"/>
      <c r="E256" s="266"/>
      <c r="F256" s="299"/>
      <c r="G256" s="299"/>
      <c r="H256" s="299"/>
      <c r="I256" s="299"/>
      <c r="J256" s="299"/>
      <c r="K256" s="292"/>
      <c r="L256" s="292"/>
    </row>
    <row r="257" spans="2:12" outlineLevel="1" x14ac:dyDescent="0.3">
      <c r="B257" s="255"/>
      <c r="C257" s="265"/>
      <c r="D257" s="265"/>
      <c r="E257" s="265"/>
      <c r="F257" s="265"/>
      <c r="G257" s="265"/>
      <c r="H257" s="265"/>
      <c r="I257" s="265"/>
      <c r="J257" s="265"/>
      <c r="K257" s="265"/>
      <c r="L257" s="265"/>
    </row>
    <row r="258" spans="2:12" outlineLevel="1" x14ac:dyDescent="0.3">
      <c r="B258" s="255"/>
      <c r="C258" s="265"/>
      <c r="D258" s="265"/>
      <c r="E258" s="265"/>
      <c r="F258" s="265"/>
      <c r="G258" s="265"/>
      <c r="H258" s="265"/>
      <c r="I258" s="265"/>
      <c r="J258" s="265"/>
      <c r="K258" s="265"/>
      <c r="L258" s="265"/>
    </row>
    <row r="259" spans="2:12" outlineLevel="1" x14ac:dyDescent="0.3">
      <c r="B259" s="255"/>
      <c r="C259" s="265"/>
      <c r="D259" s="265"/>
      <c r="E259" s="265"/>
      <c r="F259" s="265"/>
      <c r="G259" s="265"/>
      <c r="H259" s="265"/>
      <c r="I259" s="265"/>
      <c r="J259" s="265"/>
      <c r="K259" s="265"/>
      <c r="L259" s="265"/>
    </row>
    <row r="260" spans="2:12" ht="15" outlineLevel="1" x14ac:dyDescent="0.6">
      <c r="B260" s="255"/>
      <c r="C260" s="272"/>
      <c r="E260" s="276"/>
    </row>
    <row r="261" spans="2:12" outlineLevel="1" x14ac:dyDescent="0.3">
      <c r="B261" s="255"/>
      <c r="C261" s="265"/>
      <c r="E261" s="276"/>
    </row>
    <row r="262" spans="2:12" outlineLevel="1" x14ac:dyDescent="0.3">
      <c r="B262" s="255"/>
      <c r="C262" s="276"/>
      <c r="E262" s="276"/>
    </row>
    <row r="263" spans="2:12" outlineLevel="1" x14ac:dyDescent="0.3">
      <c r="C263" s="274"/>
      <c r="D263" s="274"/>
      <c r="E263" s="274"/>
      <c r="F263" s="274"/>
      <c r="G263" s="274"/>
      <c r="H263" s="274"/>
      <c r="I263" s="274"/>
      <c r="J263" s="274"/>
      <c r="K263" s="274"/>
      <c r="L263" s="274"/>
    </row>
    <row r="264" spans="2:12" outlineLevel="1" x14ac:dyDescent="0.3"/>
    <row r="265" spans="2:12" outlineLevel="1" x14ac:dyDescent="0.3">
      <c r="C265" s="234"/>
      <c r="D265" s="234"/>
      <c r="E265" s="234"/>
    </row>
    <row r="266" spans="2:12" outlineLevel="1" x14ac:dyDescent="0.3">
      <c r="B266" s="255"/>
      <c r="C266" s="265"/>
      <c r="D266" s="298"/>
      <c r="E266" s="265"/>
    </row>
    <row r="267" spans="2:12" outlineLevel="1" x14ac:dyDescent="0.3">
      <c r="B267" s="255"/>
      <c r="C267" s="300"/>
      <c r="D267" s="301"/>
      <c r="E267" s="300"/>
    </row>
    <row r="268" spans="2:12" outlineLevel="1" x14ac:dyDescent="0.3">
      <c r="B268" s="255"/>
      <c r="C268" s="265"/>
      <c r="D268" s="265"/>
      <c r="E268" s="265"/>
      <c r="G268" s="255"/>
    </row>
    <row r="269" spans="2:12" outlineLevel="1" x14ac:dyDescent="0.3">
      <c r="C269" s="276"/>
      <c r="E269" s="276"/>
      <c r="G269" s="255"/>
    </row>
    <row r="270" spans="2:12" outlineLevel="1" x14ac:dyDescent="0.3">
      <c r="B270" s="282"/>
      <c r="C270" s="265"/>
      <c r="E270" s="295"/>
      <c r="G270" s="295"/>
    </row>
    <row r="271" spans="2:12" outlineLevel="1" x14ac:dyDescent="0.3">
      <c r="B271" s="255"/>
      <c r="C271" s="265"/>
      <c r="E271" s="296"/>
    </row>
    <row r="272" spans="2:12" outlineLevel="1" x14ac:dyDescent="0.3">
      <c r="B272" s="255"/>
      <c r="C272" s="300"/>
      <c r="E272" s="297"/>
    </row>
    <row r="273" spans="2:5" outlineLevel="1" x14ac:dyDescent="0.3">
      <c r="B273" s="255"/>
      <c r="C273" s="265"/>
      <c r="E273" s="296"/>
    </row>
    <row r="274" spans="2:5" outlineLevel="1" x14ac:dyDescent="0.3"/>
  </sheetData>
  <mergeCells count="1">
    <mergeCell ref="D2:H3"/>
  </mergeCells>
  <pageMargins left="0.75" right="0.75" top="1" bottom="1" header="0.5" footer="0.5"/>
  <pageSetup scale="78" orientation="landscape" r:id="rId1"/>
  <headerFooter alignWithMargins="0">
    <oddHeader>&amp;C&amp;"Arial,Bold"Public Service Electric and Gas Company Specific Addendum
Attachment 4 P5</oddHeader>
  </headerFooter>
  <rowBreaks count="7" manualBreakCount="7">
    <brk id="33" max="6" man="1"/>
    <brk id="79" max="9" man="1"/>
    <brk id="115" max="9" man="1"/>
    <brk id="151" max="9" man="1"/>
    <brk id="187" max="9" man="1"/>
    <brk id="212" max="11" man="1"/>
    <brk id="250"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A0FDF-CE1B-4763-8F1F-61D791F6CEAC}">
  <sheetPr>
    <tabColor rgb="FFFFEBF9"/>
    <pageSetUpPr fitToPage="1"/>
  </sheetPr>
  <dimension ref="A1:T14"/>
  <sheetViews>
    <sheetView view="pageBreakPreview" zoomScaleNormal="110" zoomScaleSheetLayoutView="100" workbookViewId="0"/>
  </sheetViews>
  <sheetFormatPr defaultColWidth="9.07421875" defaultRowHeight="12.45" x14ac:dyDescent="0.3"/>
  <cols>
    <col min="1" max="1" width="3.4609375" style="226" bestFit="1" customWidth="1"/>
    <col min="2" max="2" width="62.53515625" style="226" bestFit="1" customWidth="1"/>
    <col min="3" max="3" width="27.69140625" style="226" customWidth="1"/>
    <col min="4" max="4" width="27.53515625" style="226" customWidth="1"/>
    <col min="5" max="5" width="59.69140625" style="226" customWidth="1"/>
    <col min="6" max="6" width="4.07421875" style="226" customWidth="1"/>
    <col min="7" max="16384" width="9.07421875" style="226"/>
  </cols>
  <sheetData>
    <row r="1" spans="1:20" ht="30" customHeight="1" x14ac:dyDescent="0.4">
      <c r="B1" s="227" t="s">
        <v>607</v>
      </c>
      <c r="D1" s="533"/>
      <c r="E1" s="533"/>
      <c r="F1" s="506"/>
      <c r="G1" s="532"/>
      <c r="H1" s="532"/>
      <c r="I1" s="532"/>
      <c r="J1" s="532"/>
      <c r="K1" s="532"/>
      <c r="L1" s="532"/>
      <c r="M1" s="532"/>
      <c r="N1" s="532"/>
    </row>
    <row r="2" spans="1:20" ht="81.650000000000006" customHeight="1" x14ac:dyDescent="0.4">
      <c r="B2" s="247" t="s">
        <v>550</v>
      </c>
      <c r="C2" s="438" t="s">
        <v>614</v>
      </c>
      <c r="D2" s="533"/>
      <c r="E2" s="533"/>
      <c r="G2" s="532"/>
      <c r="H2" s="532"/>
      <c r="I2" s="532"/>
      <c r="J2" s="532"/>
      <c r="K2" s="532"/>
      <c r="L2" s="532"/>
      <c r="M2" s="532"/>
      <c r="N2" s="532"/>
      <c r="O2" s="532"/>
      <c r="P2" s="532"/>
      <c r="Q2" s="532"/>
      <c r="R2" s="532"/>
      <c r="S2" s="532"/>
    </row>
    <row r="3" spans="1:20" ht="26.4" customHeight="1" x14ac:dyDescent="0.35">
      <c r="C3" s="234" t="s">
        <v>552</v>
      </c>
      <c r="E3" s="229" t="s">
        <v>203</v>
      </c>
      <c r="G3" s="532"/>
      <c r="H3" s="532"/>
      <c r="I3" s="532"/>
      <c r="J3" s="532"/>
      <c r="K3" s="532"/>
      <c r="L3" s="532"/>
      <c r="M3" s="532"/>
      <c r="N3" s="532"/>
      <c r="O3" s="532"/>
      <c r="P3" s="532"/>
      <c r="Q3" s="532"/>
      <c r="R3" s="532"/>
      <c r="S3" s="532"/>
      <c r="T3" s="515"/>
    </row>
    <row r="4" spans="1:20" x14ac:dyDescent="0.3">
      <c r="A4" s="226">
        <v>1</v>
      </c>
      <c r="B4" s="230" t="s">
        <v>544</v>
      </c>
      <c r="C4" s="231">
        <v>50</v>
      </c>
      <c r="E4" s="233" t="s">
        <v>543</v>
      </c>
    </row>
    <row r="5" spans="1:20" x14ac:dyDescent="0.3">
      <c r="A5" s="226">
        <v>2</v>
      </c>
      <c r="B5" s="230" t="s">
        <v>513</v>
      </c>
      <c r="C5" s="487">
        <v>53.76</v>
      </c>
      <c r="E5" s="233" t="s">
        <v>608</v>
      </c>
      <c r="F5" s="233"/>
    </row>
    <row r="6" spans="1:20" ht="12.9" x14ac:dyDescent="0.35">
      <c r="C6" s="234"/>
      <c r="E6" s="248"/>
    </row>
    <row r="7" spans="1:20" ht="12.9" thickBot="1" x14ac:dyDescent="0.35">
      <c r="A7" s="226">
        <v>3</v>
      </c>
      <c r="B7" s="230" t="s">
        <v>514</v>
      </c>
      <c r="C7" s="246">
        <f>C4-C5</f>
        <v>-3.759999999999998</v>
      </c>
      <c r="E7" s="233" t="s">
        <v>515</v>
      </c>
    </row>
    <row r="8" spans="1:20" ht="12.9" thickTop="1" x14ac:dyDescent="0.3">
      <c r="B8" s="230"/>
      <c r="C8" s="239"/>
      <c r="D8" s="233"/>
    </row>
    <row r="9" spans="1:20" x14ac:dyDescent="0.3">
      <c r="A9" s="226">
        <v>4</v>
      </c>
      <c r="B9" s="244" t="s">
        <v>609</v>
      </c>
      <c r="C9" s="231">
        <v>378.21</v>
      </c>
      <c r="D9" s="233"/>
      <c r="E9" s="226" t="s">
        <v>615</v>
      </c>
    </row>
    <row r="10" spans="1:20" x14ac:dyDescent="0.3">
      <c r="B10" s="230"/>
      <c r="C10" s="231"/>
      <c r="D10" s="233"/>
    </row>
    <row r="12" spans="1:20" ht="12.9" thickBot="1" x14ac:dyDescent="0.35">
      <c r="A12" s="226">
        <v>5</v>
      </c>
      <c r="B12" s="244" t="s">
        <v>610</v>
      </c>
      <c r="C12" s="246">
        <f>C9+C7</f>
        <v>374.45</v>
      </c>
      <c r="D12" s="226" t="s">
        <v>213</v>
      </c>
      <c r="E12" s="233" t="s">
        <v>611</v>
      </c>
    </row>
    <row r="13" spans="1:20" ht="12.9" thickTop="1" x14ac:dyDescent="0.3">
      <c r="D13" s="226" t="s">
        <v>214</v>
      </c>
    </row>
    <row r="14" spans="1:20" x14ac:dyDescent="0.3">
      <c r="B14" s="230"/>
      <c r="C14" s="231"/>
      <c r="D14" s="233"/>
    </row>
  </sheetData>
  <mergeCells count="5">
    <mergeCell ref="G3:S3"/>
    <mergeCell ref="D1:E1"/>
    <mergeCell ref="G1:N1"/>
    <mergeCell ref="D2:E2"/>
    <mergeCell ref="G2:S2"/>
  </mergeCells>
  <pageMargins left="0.7" right="0.7" top="1" bottom="0.75" header="0.3" footer="0.3"/>
  <pageSetup scale="67" orientation="landscape" r:id="rId1"/>
  <headerFooter>
    <oddHeader>&amp;C&amp;"Arial,Bold"Public Service Electric and Gas Company Specific Addendum
Attachment 4 P2</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9">
    <tabColor theme="1" tint="0.14999847407452621"/>
    <pageSetUpPr fitToPage="1"/>
  </sheetPr>
  <dimension ref="A1:M274"/>
  <sheetViews>
    <sheetView view="pageBreakPreview" topLeftCell="A4" zoomScale="115" zoomScaleNormal="100" zoomScaleSheetLayoutView="115" workbookViewId="0">
      <selection activeCell="E13" sqref="E13"/>
    </sheetView>
  </sheetViews>
  <sheetFormatPr defaultColWidth="9.07421875" defaultRowHeight="12.45" outlineLevelRow="1" x14ac:dyDescent="0.3"/>
  <cols>
    <col min="1" max="1" width="12.4609375" style="226" bestFit="1" customWidth="1"/>
    <col min="2" max="2" width="46" style="226" customWidth="1"/>
    <col min="3" max="5" width="16.53515625" style="226" customWidth="1"/>
    <col min="6" max="6" width="4.53515625" style="226" customWidth="1"/>
    <col min="7" max="7" width="41.53515625" style="226" bestFit="1" customWidth="1"/>
    <col min="8" max="8" width="3.53515625" style="226" customWidth="1"/>
    <col min="9" max="9" width="11" style="226" customWidth="1"/>
    <col min="10" max="10" width="23.4609375" style="226" customWidth="1"/>
    <col min="11" max="11" width="12.53515625" style="226" customWidth="1"/>
    <col min="12" max="12" width="21" style="226" customWidth="1"/>
    <col min="13" max="13" width="14.4609375" style="226" bestFit="1" customWidth="1"/>
    <col min="14" max="14" width="24.07421875" style="226" bestFit="1" customWidth="1"/>
    <col min="15" max="16" width="10.84375" style="226" bestFit="1" customWidth="1"/>
    <col min="17" max="17" width="14.4609375" style="226" bestFit="1" customWidth="1"/>
    <col min="18" max="16384" width="9.07421875" style="226"/>
  </cols>
  <sheetData>
    <row r="1" spans="1:11" ht="20.149999999999999" x14ac:dyDescent="0.5">
      <c r="A1" s="250" t="s">
        <v>530</v>
      </c>
      <c r="D1" s="302" t="s">
        <v>561</v>
      </c>
      <c r="E1" s="303"/>
      <c r="F1" s="303"/>
      <c r="G1" s="303"/>
      <c r="H1" s="303"/>
      <c r="I1" s="303"/>
      <c r="J1" s="303"/>
    </row>
    <row r="2" spans="1:11" ht="15" customHeight="1" x14ac:dyDescent="0.4">
      <c r="A2" s="252" t="s">
        <v>562</v>
      </c>
      <c r="D2" s="228"/>
    </row>
    <row r="3" spans="1:11" ht="12.75" customHeight="1" x14ac:dyDescent="0.3">
      <c r="A3" s="253" t="s">
        <v>563</v>
      </c>
    </row>
    <row r="5" spans="1:11" x14ac:dyDescent="0.3">
      <c r="A5" s="254" t="s">
        <v>241</v>
      </c>
      <c r="B5" s="230" t="s">
        <v>263</v>
      </c>
    </row>
    <row r="6" spans="1:11" ht="38.6" x14ac:dyDescent="0.35">
      <c r="A6" s="255" t="s">
        <v>202</v>
      </c>
      <c r="B6" s="230" t="s">
        <v>531</v>
      </c>
      <c r="C6" s="248" t="s">
        <v>554</v>
      </c>
      <c r="D6" s="248" t="s">
        <v>564</v>
      </c>
      <c r="E6" s="248" t="s">
        <v>565</v>
      </c>
      <c r="G6" s="229" t="s">
        <v>203</v>
      </c>
    </row>
    <row r="8" spans="1:11" x14ac:dyDescent="0.3">
      <c r="A8" s="255">
        <v>1</v>
      </c>
      <c r="B8" s="230" t="s">
        <v>204</v>
      </c>
      <c r="C8" s="256" t="e">
        <f>'Attach 4 Pg 4 (4-5)old dnu'!D8</f>
        <v>#REF!</v>
      </c>
      <c r="D8" s="256" t="e">
        <f>'Attach 4 Pg 4 (4-5)old dnu'!E8</f>
        <v>#REF!</v>
      </c>
      <c r="E8" s="256" t="e">
        <f>D10</f>
        <v>#REF!</v>
      </c>
      <c r="G8" s="257" t="s">
        <v>533</v>
      </c>
    </row>
    <row r="9" spans="1:11" x14ac:dyDescent="0.3">
      <c r="A9" s="255" t="s">
        <v>503</v>
      </c>
      <c r="B9" s="230" t="s">
        <v>566</v>
      </c>
      <c r="C9" s="432" t="e">
        <f>#REF!</f>
        <v>#REF!</v>
      </c>
      <c r="D9" s="258"/>
      <c r="E9" s="258"/>
      <c r="G9" s="257" t="s">
        <v>567</v>
      </c>
    </row>
    <row r="10" spans="1:11" x14ac:dyDescent="0.3">
      <c r="A10" s="255" t="s">
        <v>505</v>
      </c>
      <c r="B10" s="230" t="s">
        <v>354</v>
      </c>
      <c r="C10" s="259" t="e">
        <f>C8+C9</f>
        <v>#REF!</v>
      </c>
      <c r="D10" s="259" t="e">
        <f t="shared" ref="D10:E10" si="0">D8+D9</f>
        <v>#REF!</v>
      </c>
      <c r="E10" s="259" t="e">
        <f t="shared" si="0"/>
        <v>#REF!</v>
      </c>
      <c r="G10" s="260" t="s">
        <v>558</v>
      </c>
    </row>
    <row r="11" spans="1:11" x14ac:dyDescent="0.3">
      <c r="A11" s="255"/>
      <c r="B11" s="230"/>
      <c r="C11" s="259"/>
      <c r="D11" s="259"/>
      <c r="E11" s="259"/>
      <c r="G11" s="233"/>
    </row>
    <row r="12" spans="1:11" x14ac:dyDescent="0.3">
      <c r="A12" s="255">
        <v>2</v>
      </c>
      <c r="B12" s="240" t="s">
        <v>305</v>
      </c>
      <c r="C12" s="226" t="e">
        <f>#REF!</f>
        <v>#REF!</v>
      </c>
      <c r="D12" s="226">
        <v>29</v>
      </c>
      <c r="E12" s="226">
        <v>28</v>
      </c>
      <c r="G12" s="257" t="s">
        <v>205</v>
      </c>
    </row>
    <row r="13" spans="1:11" x14ac:dyDescent="0.3">
      <c r="A13" s="255">
        <v>3</v>
      </c>
      <c r="B13" s="230" t="s">
        <v>306</v>
      </c>
      <c r="C13" s="226">
        <v>85</v>
      </c>
      <c r="D13" s="226">
        <v>85</v>
      </c>
      <c r="E13" s="226">
        <v>85</v>
      </c>
      <c r="G13" s="257" t="s">
        <v>205</v>
      </c>
    </row>
    <row r="14" spans="1:11" x14ac:dyDescent="0.3">
      <c r="A14" s="255"/>
      <c r="B14" s="230"/>
      <c r="G14" s="257"/>
    </row>
    <row r="15" spans="1:11" x14ac:dyDescent="0.3">
      <c r="A15" s="255"/>
      <c r="B15" s="230" t="s">
        <v>206</v>
      </c>
    </row>
    <row r="16" spans="1:11" x14ac:dyDescent="0.3">
      <c r="A16" s="255">
        <v>4</v>
      </c>
      <c r="B16" s="261" t="s">
        <v>207</v>
      </c>
      <c r="C16" s="262">
        <v>1</v>
      </c>
      <c r="D16" s="262">
        <v>1</v>
      </c>
      <c r="E16" s="262">
        <v>1</v>
      </c>
      <c r="G16" s="257" t="s">
        <v>534</v>
      </c>
      <c r="K16" s="263"/>
    </row>
    <row r="17" spans="1:12" x14ac:dyDescent="0.3">
      <c r="A17" s="255">
        <v>5</v>
      </c>
      <c r="B17" s="261" t="s">
        <v>208</v>
      </c>
      <c r="C17" s="262">
        <v>1</v>
      </c>
      <c r="D17" s="262">
        <v>1</v>
      </c>
      <c r="E17" s="262">
        <v>1</v>
      </c>
      <c r="G17" s="257" t="s">
        <v>534</v>
      </c>
      <c r="K17" s="263"/>
    </row>
    <row r="18" spans="1:12" x14ac:dyDescent="0.3">
      <c r="A18" s="255"/>
    </row>
    <row r="19" spans="1:12" x14ac:dyDescent="0.3">
      <c r="A19" s="255"/>
      <c r="B19" s="244" t="s">
        <v>535</v>
      </c>
    </row>
    <row r="20" spans="1:12" x14ac:dyDescent="0.3">
      <c r="A20" s="255">
        <v>6</v>
      </c>
      <c r="B20" s="226" t="s">
        <v>209</v>
      </c>
      <c r="C20" s="245" t="e">
        <f>#REF!</f>
        <v>#REF!</v>
      </c>
      <c r="D20" s="245"/>
      <c r="E20" s="245"/>
      <c r="G20" s="257" t="s">
        <v>536</v>
      </c>
    </row>
    <row r="21" spans="1:12" x14ac:dyDescent="0.3">
      <c r="A21" s="255">
        <v>7</v>
      </c>
      <c r="B21" s="226" t="s">
        <v>210</v>
      </c>
      <c r="C21" s="245" t="e">
        <f>#REF!</f>
        <v>#REF!</v>
      </c>
      <c r="D21" s="245"/>
      <c r="E21" s="245"/>
    </row>
    <row r="22" spans="1:12" x14ac:dyDescent="0.3">
      <c r="A22" s="255"/>
    </row>
    <row r="23" spans="1:12" ht="12.9" x14ac:dyDescent="0.35">
      <c r="A23" s="255"/>
      <c r="B23" s="230" t="s">
        <v>271</v>
      </c>
    </row>
    <row r="24" spans="1:12" x14ac:dyDescent="0.3">
      <c r="A24" s="255">
        <v>8</v>
      </c>
      <c r="B24" s="261" t="s">
        <v>207</v>
      </c>
      <c r="C24" s="264" t="e">
        <f>((+C$10)*C$12/C$13*C16*$C20/1000)</f>
        <v>#REF!</v>
      </c>
      <c r="D24" s="264" t="e">
        <f t="shared" ref="D24:E25" si="1">((+D$10)*D$12/D$13*D16*$C20/1000)</f>
        <v>#REF!</v>
      </c>
      <c r="E24" s="264" t="e">
        <f t="shared" si="1"/>
        <v>#REF!</v>
      </c>
      <c r="F24" s="304"/>
      <c r="G24" s="260" t="s">
        <v>559</v>
      </c>
      <c r="J24" s="265"/>
      <c r="L24" s="265"/>
    </row>
    <row r="25" spans="1:12" ht="15" x14ac:dyDescent="0.6">
      <c r="A25" s="255">
        <v>9</v>
      </c>
      <c r="B25" s="261" t="s">
        <v>208</v>
      </c>
      <c r="C25" s="266" t="e">
        <f>((+C$10)*C$12/C$13*C17*$C21/1000)</f>
        <v>#REF!</v>
      </c>
      <c r="D25" s="266" t="e">
        <f t="shared" si="1"/>
        <v>#REF!</v>
      </c>
      <c r="E25" s="266" t="e">
        <f t="shared" si="1"/>
        <v>#REF!</v>
      </c>
      <c r="F25" s="304"/>
      <c r="G25" s="260" t="s">
        <v>560</v>
      </c>
    </row>
    <row r="26" spans="1:12" x14ac:dyDescent="0.3">
      <c r="A26" s="255">
        <v>10</v>
      </c>
      <c r="B26" s="226" t="s">
        <v>211</v>
      </c>
      <c r="C26" s="265" t="e">
        <f>+C25+C24</f>
        <v>#REF!</v>
      </c>
      <c r="D26" s="265" t="e">
        <f>+D25+D24</f>
        <v>#REF!</v>
      </c>
      <c r="E26" s="265" t="e">
        <f>+E25+E24</f>
        <v>#REF!</v>
      </c>
      <c r="J26" s="265"/>
      <c r="L26" s="265"/>
    </row>
    <row r="27" spans="1:12" x14ac:dyDescent="0.3">
      <c r="A27" s="255"/>
    </row>
    <row r="28" spans="1:12" ht="12.9" x14ac:dyDescent="0.35">
      <c r="A28" s="255"/>
      <c r="B28" s="230" t="s">
        <v>272</v>
      </c>
    </row>
    <row r="29" spans="1:12" x14ac:dyDescent="0.3">
      <c r="A29" s="255">
        <v>11</v>
      </c>
      <c r="B29" s="261" t="s">
        <v>207</v>
      </c>
      <c r="C29" s="305" t="e">
        <f>ROUND(+SUM(C24:E24)/C20*1000,3)</f>
        <v>#REF!</v>
      </c>
      <c r="D29" s="267"/>
      <c r="G29" s="260" t="s">
        <v>537</v>
      </c>
    </row>
    <row r="30" spans="1:12" x14ac:dyDescent="0.3">
      <c r="A30" s="255">
        <v>12</v>
      </c>
      <c r="B30" s="261" t="s">
        <v>208</v>
      </c>
      <c r="C30" s="259" t="e">
        <f>ROUND(+SUM(C25:E25)/C21*1000,3)</f>
        <v>#REF!</v>
      </c>
      <c r="G30" s="260" t="s">
        <v>538</v>
      </c>
    </row>
    <row r="31" spans="1:12" x14ac:dyDescent="0.3">
      <c r="A31" s="255"/>
      <c r="B31" s="261"/>
      <c r="C31" s="268"/>
      <c r="G31" s="233"/>
    </row>
    <row r="32" spans="1:12" x14ac:dyDescent="0.3">
      <c r="A32" s="255">
        <v>13</v>
      </c>
      <c r="B32" s="226" t="s">
        <v>215</v>
      </c>
      <c r="C32" s="269" t="e">
        <f>ROUND(+SUM(C26:E26)/(C20+C21)*1000,3)</f>
        <v>#REF!</v>
      </c>
      <c r="D32" s="226" t="s">
        <v>213</v>
      </c>
      <c r="G32" s="260" t="s">
        <v>212</v>
      </c>
    </row>
    <row r="33" spans="1:13" x14ac:dyDescent="0.3">
      <c r="D33" s="226" t="s">
        <v>214</v>
      </c>
      <c r="G33" s="257" t="s">
        <v>539</v>
      </c>
    </row>
    <row r="34" spans="1:13" x14ac:dyDescent="0.3">
      <c r="C34" s="267"/>
    </row>
    <row r="35" spans="1:13" x14ac:dyDescent="0.3">
      <c r="B35" s="270"/>
      <c r="D35" s="267"/>
    </row>
    <row r="36" spans="1:13" x14ac:dyDescent="0.3">
      <c r="A36" s="255"/>
      <c r="B36" s="271"/>
      <c r="C36" s="265"/>
      <c r="D36" s="267"/>
      <c r="G36" s="233"/>
    </row>
    <row r="37" spans="1:13" ht="15" x14ac:dyDescent="0.6">
      <c r="A37" s="255"/>
      <c r="B37" s="271"/>
      <c r="C37" s="272"/>
      <c r="D37" s="267"/>
      <c r="G37" s="233"/>
    </row>
    <row r="38" spans="1:13" x14ac:dyDescent="0.3">
      <c r="A38" s="255"/>
      <c r="B38" s="271"/>
      <c r="C38" s="290"/>
      <c r="D38" s="267"/>
      <c r="G38" s="233"/>
    </row>
    <row r="39" spans="1:13" x14ac:dyDescent="0.3">
      <c r="B39" s="271"/>
      <c r="D39" s="267"/>
    </row>
    <row r="41" spans="1:13" ht="12.9" x14ac:dyDescent="0.35">
      <c r="A41" s="273"/>
      <c r="B41" s="230"/>
      <c r="G41" s="229"/>
    </row>
    <row r="42" spans="1:13" ht="12.9" x14ac:dyDescent="0.35">
      <c r="A42" s="273"/>
      <c r="B42" s="230"/>
      <c r="G42" s="229"/>
    </row>
    <row r="43" spans="1:13" x14ac:dyDescent="0.3">
      <c r="B43" s="230"/>
    </row>
    <row r="44" spans="1:13" ht="12.9" x14ac:dyDescent="0.35">
      <c r="B44" s="229"/>
    </row>
    <row r="45" spans="1:13" x14ac:dyDescent="0.3">
      <c r="B45" s="230"/>
    </row>
    <row r="46" spans="1:13" x14ac:dyDescent="0.3">
      <c r="C46" s="274"/>
      <c r="D46" s="274"/>
      <c r="E46" s="274"/>
      <c r="F46" s="274"/>
      <c r="G46" s="274"/>
      <c r="H46" s="274"/>
      <c r="I46" s="274"/>
      <c r="J46" s="274"/>
    </row>
    <row r="47" spans="1:13" x14ac:dyDescent="0.3">
      <c r="C47" s="274"/>
      <c r="D47" s="274"/>
      <c r="E47" s="274"/>
      <c r="F47" s="274"/>
      <c r="G47" s="274"/>
    </row>
    <row r="48" spans="1:13" x14ac:dyDescent="0.3">
      <c r="B48" s="275"/>
      <c r="E48" s="122"/>
      <c r="F48" s="64"/>
      <c r="G48" s="64"/>
      <c r="H48" s="64"/>
      <c r="I48" s="122"/>
      <c r="J48" s="122"/>
      <c r="K48" s="276"/>
      <c r="L48" s="276"/>
      <c r="M48" s="276"/>
    </row>
    <row r="49" spans="2:13" x14ac:dyDescent="0.3">
      <c r="B49" s="277"/>
      <c r="C49" s="65"/>
      <c r="D49" s="123"/>
      <c r="E49" s="64"/>
      <c r="F49" s="122"/>
      <c r="G49" s="122"/>
      <c r="H49" s="122"/>
      <c r="J49" s="124"/>
      <c r="K49" s="276"/>
      <c r="L49" s="276"/>
      <c r="M49" s="276"/>
    </row>
    <row r="50" spans="2:13" x14ac:dyDescent="0.3">
      <c r="B50" s="277"/>
      <c r="C50" s="65"/>
      <c r="D50" s="123"/>
      <c r="E50" s="64"/>
      <c r="F50" s="122"/>
      <c r="G50" s="122"/>
      <c r="H50" s="278"/>
      <c r="J50" s="124"/>
      <c r="K50" s="279"/>
      <c r="L50" s="276"/>
      <c r="M50" s="276"/>
    </row>
    <row r="51" spans="2:13" x14ac:dyDescent="0.3">
      <c r="E51" s="65"/>
      <c r="F51" s="123"/>
      <c r="G51" s="123"/>
      <c r="L51" s="276"/>
      <c r="M51" s="276"/>
    </row>
    <row r="52" spans="2:13" x14ac:dyDescent="0.3">
      <c r="B52" s="280"/>
      <c r="C52" s="64"/>
      <c r="D52" s="64"/>
      <c r="E52" s="65"/>
      <c r="F52" s="123"/>
      <c r="G52" s="123"/>
      <c r="H52" s="123"/>
      <c r="I52" s="123"/>
      <c r="J52" s="123"/>
      <c r="K52" s="276"/>
      <c r="L52" s="276"/>
      <c r="M52" s="276"/>
    </row>
    <row r="53" spans="2:13" x14ac:dyDescent="0.3">
      <c r="B53" s="280"/>
      <c r="C53" s="281"/>
      <c r="D53" s="281"/>
      <c r="E53" s="282"/>
      <c r="F53" s="123"/>
      <c r="G53" s="123"/>
      <c r="H53" s="123"/>
      <c r="I53" s="123"/>
      <c r="J53" s="123"/>
      <c r="K53" s="276"/>
      <c r="L53" s="276"/>
      <c r="M53" s="276"/>
    </row>
    <row r="54" spans="2:13" x14ac:dyDescent="0.3">
      <c r="B54" s="280"/>
      <c r="C54" s="281"/>
      <c r="D54" s="281"/>
      <c r="E54" s="282"/>
      <c r="F54" s="123"/>
      <c r="G54" s="123"/>
      <c r="H54" s="123"/>
      <c r="I54" s="123"/>
      <c r="J54" s="123"/>
      <c r="K54" s="276"/>
      <c r="L54" s="276"/>
      <c r="M54" s="276"/>
    </row>
    <row r="55" spans="2:13" x14ac:dyDescent="0.3">
      <c r="G55" s="123"/>
      <c r="H55" s="123"/>
      <c r="I55" s="123"/>
      <c r="J55" s="123"/>
      <c r="K55" s="276"/>
      <c r="L55" s="276"/>
      <c r="M55" s="276"/>
    </row>
    <row r="56" spans="2:13" x14ac:dyDescent="0.3">
      <c r="H56" s="123"/>
      <c r="I56" s="123"/>
      <c r="J56" s="123"/>
      <c r="K56" s="276"/>
      <c r="L56" s="276"/>
      <c r="M56" s="276"/>
    </row>
    <row r="57" spans="2:13" x14ac:dyDescent="0.3">
      <c r="C57" s="123"/>
      <c r="D57" s="123"/>
      <c r="E57" s="123"/>
      <c r="F57" s="123"/>
      <c r="G57" s="123"/>
      <c r="H57" s="123"/>
      <c r="I57" s="123"/>
      <c r="J57" s="123"/>
      <c r="K57" s="276"/>
      <c r="L57" s="276"/>
      <c r="M57" s="276"/>
    </row>
    <row r="58" spans="2:13" x14ac:dyDescent="0.3">
      <c r="B58" s="275"/>
      <c r="C58" s="64"/>
      <c r="D58" s="64"/>
      <c r="E58" s="122"/>
      <c r="F58" s="64"/>
      <c r="G58" s="64"/>
      <c r="H58" s="64"/>
      <c r="I58" s="122"/>
      <c r="J58" s="122"/>
      <c r="K58" s="276"/>
      <c r="L58" s="276"/>
      <c r="M58" s="276"/>
    </row>
    <row r="59" spans="2:13" x14ac:dyDescent="0.3">
      <c r="B59" s="277"/>
      <c r="C59" s="123"/>
      <c r="D59" s="123"/>
      <c r="E59" s="64"/>
      <c r="F59" s="123"/>
      <c r="G59" s="123"/>
      <c r="H59" s="123"/>
      <c r="J59" s="124"/>
      <c r="K59" s="276"/>
      <c r="L59" s="276"/>
      <c r="M59" s="276"/>
    </row>
    <row r="60" spans="2:13" x14ac:dyDescent="0.3">
      <c r="B60" s="277"/>
      <c r="C60" s="123"/>
      <c r="D60" s="123"/>
      <c r="E60" s="64"/>
      <c r="F60" s="123"/>
      <c r="G60" s="123"/>
      <c r="J60" s="124"/>
      <c r="K60" s="279"/>
      <c r="L60" s="276"/>
      <c r="M60" s="276"/>
    </row>
    <row r="61" spans="2:13" x14ac:dyDescent="0.3">
      <c r="C61" s="276"/>
      <c r="D61" s="276"/>
      <c r="E61" s="276"/>
      <c r="F61" s="276"/>
      <c r="G61" s="276"/>
      <c r="K61" s="276"/>
      <c r="L61" s="276"/>
      <c r="M61" s="276"/>
    </row>
    <row r="62" spans="2:13" x14ac:dyDescent="0.3">
      <c r="C62" s="283"/>
      <c r="D62" s="283"/>
      <c r="E62" s="283"/>
      <c r="F62" s="283"/>
      <c r="G62" s="283"/>
      <c r="H62" s="283"/>
      <c r="I62" s="283"/>
      <c r="J62" s="283"/>
      <c r="K62" s="276"/>
      <c r="L62" s="276"/>
      <c r="M62" s="276"/>
    </row>
    <row r="65" spans="2:11" x14ac:dyDescent="0.3">
      <c r="B65" s="230"/>
    </row>
    <row r="66" spans="2:11" ht="12.9" x14ac:dyDescent="0.35">
      <c r="B66" s="229"/>
    </row>
    <row r="68" spans="2:11" x14ac:dyDescent="0.3">
      <c r="C68" s="274"/>
      <c r="D68" s="274"/>
      <c r="E68" s="274"/>
      <c r="F68" s="274"/>
      <c r="H68" s="230"/>
      <c r="I68" s="274"/>
      <c r="J68" s="274"/>
    </row>
    <row r="69" spans="2:11" x14ac:dyDescent="0.3">
      <c r="C69" s="274"/>
      <c r="D69" s="284"/>
      <c r="E69" s="274"/>
      <c r="F69" s="284"/>
    </row>
    <row r="70" spans="2:11" x14ac:dyDescent="0.3">
      <c r="B70" s="275"/>
      <c r="C70" s="64"/>
      <c r="D70" s="279"/>
      <c r="E70" s="278"/>
      <c r="F70" s="278"/>
      <c r="H70" s="285"/>
    </row>
    <row r="71" spans="2:11" x14ac:dyDescent="0.3">
      <c r="B71" s="277"/>
      <c r="C71" s="122"/>
      <c r="D71" s="279"/>
      <c r="E71" s="64"/>
      <c r="F71" s="279"/>
      <c r="H71" s="271"/>
      <c r="I71" s="286"/>
      <c r="J71" s="286"/>
      <c r="K71" s="233"/>
    </row>
    <row r="72" spans="2:11" x14ac:dyDescent="0.3">
      <c r="B72" s="277"/>
      <c r="C72" s="122"/>
      <c r="D72" s="279"/>
      <c r="E72" s="64"/>
      <c r="F72" s="279"/>
      <c r="H72" s="271"/>
      <c r="I72" s="286"/>
      <c r="J72" s="286"/>
      <c r="K72" s="233"/>
    </row>
    <row r="73" spans="2:11" x14ac:dyDescent="0.3">
      <c r="C73" s="122"/>
      <c r="D73" s="279"/>
      <c r="E73" s="122"/>
      <c r="F73" s="279"/>
      <c r="H73" s="271"/>
      <c r="I73" s="286"/>
      <c r="J73" s="286"/>
      <c r="K73" s="233"/>
    </row>
    <row r="74" spans="2:11" x14ac:dyDescent="0.3">
      <c r="B74" s="275"/>
      <c r="C74" s="64"/>
      <c r="D74" s="279"/>
      <c r="E74" s="64"/>
      <c r="F74" s="279"/>
      <c r="H74" s="285"/>
      <c r="I74" s="267"/>
      <c r="J74" s="267"/>
    </row>
    <row r="75" spans="2:11" x14ac:dyDescent="0.3">
      <c r="B75" s="277"/>
      <c r="C75" s="122"/>
      <c r="D75" s="278"/>
      <c r="E75" s="64"/>
      <c r="F75" s="279"/>
      <c r="H75" s="271"/>
      <c r="I75" s="286"/>
      <c r="J75" s="286"/>
      <c r="K75" s="233"/>
    </row>
    <row r="76" spans="2:11" x14ac:dyDescent="0.3">
      <c r="B76" s="277"/>
      <c r="C76" s="122"/>
      <c r="D76" s="278"/>
      <c r="E76" s="64"/>
      <c r="F76" s="279"/>
    </row>
    <row r="77" spans="2:11" x14ac:dyDescent="0.3">
      <c r="C77" s="283"/>
      <c r="D77" s="278"/>
      <c r="E77" s="283"/>
      <c r="F77" s="278"/>
    </row>
    <row r="78" spans="2:11" x14ac:dyDescent="0.3">
      <c r="C78" s="283"/>
      <c r="D78" s="278"/>
      <c r="E78" s="283"/>
      <c r="F78" s="278"/>
    </row>
    <row r="79" spans="2:11" x14ac:dyDescent="0.3">
      <c r="C79" s="283"/>
      <c r="D79" s="278"/>
      <c r="E79" s="283"/>
      <c r="F79" s="278"/>
    </row>
    <row r="80" spans="2:11" x14ac:dyDescent="0.3">
      <c r="C80" s="276"/>
      <c r="E80" s="276"/>
    </row>
    <row r="81" spans="1:13" x14ac:dyDescent="0.3">
      <c r="A81" s="287"/>
      <c r="B81" s="270"/>
      <c r="C81" s="276"/>
      <c r="E81" s="276"/>
    </row>
    <row r="82" spans="1:13" ht="12.9" x14ac:dyDescent="0.35">
      <c r="A82" s="287"/>
      <c r="B82" s="229"/>
    </row>
    <row r="84" spans="1:13" x14ac:dyDescent="0.3">
      <c r="B84" s="230"/>
    </row>
    <row r="85" spans="1:13" ht="12.9" x14ac:dyDescent="0.35">
      <c r="B85" s="229"/>
    </row>
    <row r="86" spans="1:13" x14ac:dyDescent="0.3">
      <c r="B86" s="230"/>
    </row>
    <row r="87" spans="1:13" x14ac:dyDescent="0.3">
      <c r="C87" s="274"/>
      <c r="D87" s="274"/>
      <c r="E87" s="274"/>
      <c r="F87" s="274"/>
      <c r="G87" s="274"/>
      <c r="H87" s="274"/>
      <c r="I87" s="274"/>
      <c r="J87" s="274"/>
    </row>
    <row r="88" spans="1:13" x14ac:dyDescent="0.3">
      <c r="C88" s="287"/>
      <c r="D88" s="287"/>
      <c r="E88" s="287"/>
      <c r="F88" s="288"/>
      <c r="G88" s="288"/>
      <c r="H88" s="288"/>
      <c r="I88" s="288"/>
      <c r="J88" s="288"/>
    </row>
    <row r="89" spans="1:13" x14ac:dyDescent="0.3">
      <c r="B89" s="275"/>
      <c r="C89" s="287"/>
      <c r="D89" s="287"/>
      <c r="E89" s="287"/>
      <c r="F89" s="288"/>
      <c r="G89" s="288"/>
      <c r="H89" s="288"/>
      <c r="I89" s="288"/>
      <c r="J89" s="288"/>
      <c r="L89" s="276"/>
      <c r="M89" s="276"/>
    </row>
    <row r="90" spans="1:13" x14ac:dyDescent="0.3">
      <c r="B90" s="277"/>
      <c r="C90" s="287"/>
      <c r="D90" s="287"/>
      <c r="E90" s="288"/>
      <c r="F90" s="287"/>
      <c r="G90" s="288"/>
      <c r="H90" s="288"/>
      <c r="I90" s="288"/>
      <c r="J90" s="287"/>
      <c r="L90" s="276"/>
      <c r="M90" s="276"/>
    </row>
    <row r="91" spans="1:13" x14ac:dyDescent="0.3">
      <c r="B91" s="277"/>
      <c r="C91" s="287"/>
      <c r="D91" s="287"/>
      <c r="E91" s="288"/>
      <c r="F91" s="287"/>
      <c r="G91" s="287"/>
      <c r="H91" s="287"/>
      <c r="I91" s="287"/>
      <c r="J91" s="287"/>
      <c r="L91" s="276"/>
      <c r="M91" s="276"/>
    </row>
    <row r="92" spans="1:13" x14ac:dyDescent="0.3">
      <c r="B92" s="280"/>
      <c r="C92" s="287"/>
      <c r="D92" s="287"/>
      <c r="E92" s="287"/>
      <c r="F92" s="287"/>
      <c r="G92" s="287"/>
      <c r="H92" s="287"/>
      <c r="I92" s="287"/>
      <c r="J92" s="287"/>
      <c r="L92" s="276"/>
      <c r="M92" s="276"/>
    </row>
    <row r="93" spans="1:13" x14ac:dyDescent="0.3">
      <c r="B93" s="282"/>
      <c r="C93" s="288"/>
      <c r="D93" s="288"/>
      <c r="E93" s="287"/>
      <c r="F93" s="287"/>
      <c r="G93" s="287"/>
      <c r="H93" s="287"/>
      <c r="I93" s="287"/>
      <c r="J93" s="287"/>
      <c r="L93" s="276"/>
      <c r="M93" s="276"/>
    </row>
    <row r="94" spans="1:13" x14ac:dyDescent="0.3">
      <c r="B94" s="282"/>
      <c r="C94" s="288"/>
      <c r="D94" s="288"/>
      <c r="E94" s="287"/>
      <c r="F94" s="287"/>
      <c r="G94" s="287"/>
      <c r="H94" s="287"/>
      <c r="I94" s="287"/>
      <c r="J94" s="287"/>
      <c r="L94" s="276"/>
      <c r="M94" s="276"/>
    </row>
    <row r="95" spans="1:13" x14ac:dyDescent="0.3">
      <c r="C95" s="288"/>
      <c r="D95" s="288"/>
      <c r="E95" s="287"/>
      <c r="F95" s="287"/>
      <c r="G95" s="287"/>
      <c r="H95" s="287"/>
      <c r="I95" s="287"/>
      <c r="J95" s="287"/>
      <c r="L95" s="276"/>
      <c r="M95" s="276"/>
    </row>
    <row r="96" spans="1:13" x14ac:dyDescent="0.3">
      <c r="B96" s="275"/>
      <c r="C96" s="288"/>
      <c r="D96" s="288"/>
      <c r="E96" s="287"/>
      <c r="F96" s="288"/>
      <c r="G96" s="288"/>
      <c r="H96" s="288"/>
      <c r="I96" s="288"/>
      <c r="J96" s="288"/>
      <c r="L96" s="276"/>
      <c r="M96" s="276"/>
    </row>
    <row r="97" spans="2:13" x14ac:dyDescent="0.3">
      <c r="B97" s="277"/>
      <c r="C97" s="287"/>
      <c r="D97" s="287"/>
      <c r="E97" s="288"/>
      <c r="F97" s="287"/>
      <c r="G97" s="287"/>
      <c r="H97" s="287"/>
      <c r="I97" s="287"/>
      <c r="J97" s="287"/>
      <c r="L97" s="276"/>
      <c r="M97" s="276"/>
    </row>
    <row r="98" spans="2:13" x14ac:dyDescent="0.3">
      <c r="B98" s="277"/>
      <c r="C98" s="287"/>
      <c r="D98" s="287"/>
      <c r="E98" s="288"/>
      <c r="F98" s="287"/>
      <c r="G98" s="287"/>
      <c r="H98" s="287"/>
      <c r="I98" s="287"/>
      <c r="J98" s="287"/>
      <c r="L98" s="276"/>
      <c r="M98" s="276"/>
    </row>
    <row r="99" spans="2:13" x14ac:dyDescent="0.3">
      <c r="C99" s="287"/>
      <c r="D99" s="287"/>
      <c r="E99" s="288"/>
      <c r="F99" s="287"/>
      <c r="G99" s="287"/>
      <c r="H99" s="287"/>
      <c r="I99" s="287"/>
      <c r="J99" s="287"/>
      <c r="L99" s="276"/>
      <c r="M99" s="276"/>
    </row>
    <row r="102" spans="2:13" x14ac:dyDescent="0.3">
      <c r="B102" s="230"/>
    </row>
    <row r="103" spans="2:13" ht="12.9" x14ac:dyDescent="0.35">
      <c r="B103" s="229"/>
    </row>
    <row r="105" spans="2:13" x14ac:dyDescent="0.3">
      <c r="C105" s="274"/>
      <c r="D105" s="274"/>
      <c r="E105" s="274"/>
      <c r="F105" s="274"/>
      <c r="H105" s="230"/>
      <c r="I105" s="274"/>
      <c r="J105" s="274"/>
    </row>
    <row r="106" spans="2:13" x14ac:dyDescent="0.3">
      <c r="F106" s="284"/>
    </row>
    <row r="107" spans="2:13" x14ac:dyDescent="0.3">
      <c r="B107" s="275"/>
      <c r="C107" s="288"/>
      <c r="D107" s="288"/>
      <c r="E107" s="288"/>
      <c r="F107" s="278"/>
      <c r="H107" s="285"/>
    </row>
    <row r="108" spans="2:13" x14ac:dyDescent="0.3">
      <c r="B108" s="277"/>
      <c r="C108" s="288"/>
      <c r="D108" s="288"/>
      <c r="E108" s="288"/>
      <c r="F108" s="279"/>
      <c r="H108" s="271"/>
      <c r="I108" s="289"/>
      <c r="J108" s="289"/>
      <c r="K108" s="233"/>
    </row>
    <row r="109" spans="2:13" x14ac:dyDescent="0.3">
      <c r="B109" s="277"/>
      <c r="C109" s="288"/>
      <c r="D109" s="288"/>
      <c r="E109" s="288"/>
      <c r="F109" s="279"/>
      <c r="H109" s="271"/>
      <c r="I109" s="289"/>
      <c r="J109" s="289"/>
      <c r="K109" s="233"/>
    </row>
    <row r="110" spans="2:13" x14ac:dyDescent="0.3">
      <c r="C110" s="288"/>
      <c r="D110" s="288"/>
      <c r="E110" s="288"/>
      <c r="F110" s="279"/>
      <c r="H110" s="271"/>
      <c r="I110" s="286"/>
      <c r="J110" s="286"/>
      <c r="K110" s="233"/>
    </row>
    <row r="111" spans="2:13" x14ac:dyDescent="0.3">
      <c r="B111" s="275"/>
      <c r="C111" s="288"/>
      <c r="D111" s="288"/>
      <c r="E111" s="288"/>
      <c r="F111" s="279"/>
      <c r="H111" s="285"/>
      <c r="I111" s="267"/>
      <c r="J111" s="267"/>
    </row>
    <row r="112" spans="2:13" x14ac:dyDescent="0.3">
      <c r="B112" s="277"/>
      <c r="C112" s="288"/>
      <c r="D112" s="288"/>
      <c r="E112" s="288"/>
      <c r="F112" s="279"/>
      <c r="H112" s="271"/>
      <c r="I112" s="289"/>
      <c r="J112" s="289"/>
      <c r="K112" s="233"/>
    </row>
    <row r="113" spans="1:12" x14ac:dyDescent="0.3">
      <c r="B113" s="277"/>
      <c r="C113" s="288"/>
      <c r="D113" s="288"/>
      <c r="E113" s="288"/>
      <c r="F113" s="279"/>
    </row>
    <row r="114" spans="1:12" x14ac:dyDescent="0.3">
      <c r="C114" s="283"/>
      <c r="D114" s="278"/>
      <c r="E114" s="283"/>
      <c r="F114" s="278"/>
    </row>
    <row r="115" spans="1:12" x14ac:dyDescent="0.3">
      <c r="C115" s="283"/>
      <c r="D115" s="278"/>
      <c r="E115" s="283"/>
      <c r="F115" s="278"/>
    </row>
    <row r="117" spans="1:12" x14ac:dyDescent="0.3">
      <c r="A117" s="287"/>
      <c r="B117" s="230"/>
      <c r="C117" s="276"/>
      <c r="E117" s="276"/>
    </row>
    <row r="118" spans="1:12" x14ac:dyDescent="0.3">
      <c r="C118" s="276"/>
      <c r="E118" s="276"/>
    </row>
    <row r="119" spans="1:12" x14ac:dyDescent="0.3">
      <c r="C119" s="274"/>
      <c r="D119" s="274"/>
      <c r="E119" s="274"/>
      <c r="F119" s="274"/>
      <c r="G119" s="274"/>
      <c r="H119" s="274"/>
      <c r="I119" s="274"/>
      <c r="J119" s="274"/>
    </row>
    <row r="121" spans="1:12" x14ac:dyDescent="0.3">
      <c r="B121" s="255"/>
      <c r="C121" s="290"/>
      <c r="D121" s="290"/>
      <c r="E121" s="291"/>
      <c r="F121" s="290"/>
      <c r="G121" s="290"/>
      <c r="H121" s="290"/>
      <c r="I121" s="290"/>
      <c r="J121" s="290"/>
    </row>
    <row r="122" spans="1:12" ht="15" x14ac:dyDescent="0.6">
      <c r="B122" s="255"/>
      <c r="C122" s="266"/>
      <c r="D122" s="266"/>
      <c r="E122" s="266"/>
      <c r="F122" s="266"/>
      <c r="G122" s="266"/>
      <c r="H122" s="266"/>
      <c r="I122" s="266"/>
      <c r="J122" s="266"/>
    </row>
    <row r="123" spans="1:12" x14ac:dyDescent="0.3">
      <c r="B123" s="255"/>
      <c r="C123" s="265"/>
      <c r="D123" s="265"/>
      <c r="E123" s="265"/>
      <c r="F123" s="265"/>
      <c r="G123" s="265"/>
      <c r="H123" s="265"/>
      <c r="I123" s="265"/>
      <c r="J123" s="265"/>
    </row>
    <row r="124" spans="1:12" x14ac:dyDescent="0.3">
      <c r="B124" s="255"/>
      <c r="C124" s="265"/>
      <c r="D124" s="265"/>
      <c r="E124" s="265"/>
      <c r="F124" s="265"/>
      <c r="G124" s="265"/>
      <c r="H124" s="265"/>
      <c r="I124" s="265"/>
      <c r="J124" s="265"/>
      <c r="K124" s="265"/>
      <c r="L124" s="265"/>
    </row>
    <row r="125" spans="1:12" x14ac:dyDescent="0.3">
      <c r="B125" s="255"/>
      <c r="C125" s="265"/>
      <c r="D125" s="265"/>
      <c r="E125" s="265"/>
      <c r="F125" s="265"/>
      <c r="G125" s="265"/>
      <c r="H125" s="265"/>
      <c r="I125" s="265"/>
      <c r="J125" s="265"/>
      <c r="K125" s="265"/>
      <c r="L125" s="265"/>
    </row>
    <row r="126" spans="1:12" x14ac:dyDescent="0.3">
      <c r="B126" s="255"/>
      <c r="C126" s="274"/>
      <c r="D126" s="274"/>
      <c r="F126" s="274"/>
      <c r="G126" s="274"/>
      <c r="H126" s="265"/>
      <c r="I126" s="265"/>
      <c r="J126" s="265"/>
      <c r="K126" s="265"/>
      <c r="L126" s="265"/>
    </row>
    <row r="127" spans="1:12" x14ac:dyDescent="0.3">
      <c r="B127" s="255"/>
      <c r="C127" s="274"/>
      <c r="D127" s="274"/>
      <c r="F127" s="274"/>
      <c r="G127" s="274"/>
      <c r="H127" s="265"/>
      <c r="I127" s="265"/>
      <c r="J127" s="265"/>
      <c r="K127" s="265"/>
      <c r="L127" s="265"/>
    </row>
    <row r="128" spans="1:12" x14ac:dyDescent="0.3">
      <c r="B128" s="255"/>
      <c r="G128" s="265"/>
      <c r="H128" s="265"/>
      <c r="I128" s="265"/>
      <c r="J128" s="265"/>
      <c r="K128" s="265"/>
      <c r="L128" s="265"/>
    </row>
    <row r="129" spans="2:12" x14ac:dyDescent="0.3">
      <c r="B129" s="255"/>
      <c r="C129" s="291"/>
      <c r="D129" s="291"/>
      <c r="F129" s="291"/>
      <c r="G129" s="291"/>
      <c r="H129" s="265"/>
      <c r="I129" s="265"/>
      <c r="J129" s="265"/>
      <c r="K129" s="265"/>
      <c r="L129" s="265"/>
    </row>
    <row r="130" spans="2:12" ht="15" x14ac:dyDescent="0.6">
      <c r="B130" s="255"/>
      <c r="C130" s="292"/>
      <c r="D130" s="292"/>
      <c r="F130" s="292"/>
      <c r="G130" s="292"/>
      <c r="H130" s="265"/>
      <c r="I130" s="265"/>
      <c r="J130" s="265"/>
      <c r="K130" s="265"/>
      <c r="L130" s="265"/>
    </row>
    <row r="131" spans="2:12" x14ac:dyDescent="0.3">
      <c r="B131" s="255"/>
      <c r="C131" s="265"/>
      <c r="D131" s="265"/>
      <c r="F131" s="265"/>
      <c r="G131" s="265"/>
      <c r="H131" s="265"/>
      <c r="I131" s="265"/>
      <c r="J131" s="265"/>
      <c r="K131" s="265"/>
      <c r="L131" s="265"/>
    </row>
    <row r="132" spans="2:12" x14ac:dyDescent="0.3">
      <c r="B132" s="255"/>
      <c r="C132" s="265"/>
      <c r="F132" s="265"/>
      <c r="G132" s="265"/>
      <c r="H132" s="265"/>
      <c r="I132" s="265"/>
      <c r="J132" s="265"/>
      <c r="K132" s="265"/>
      <c r="L132" s="265"/>
    </row>
    <row r="133" spans="2:12" x14ac:dyDescent="0.3">
      <c r="B133" s="255"/>
      <c r="C133" s="265"/>
      <c r="D133" s="265"/>
      <c r="E133" s="265"/>
      <c r="F133" s="265"/>
      <c r="G133" s="265"/>
      <c r="H133" s="265"/>
      <c r="I133" s="265"/>
      <c r="J133" s="265"/>
      <c r="K133" s="265"/>
      <c r="L133" s="265"/>
    </row>
    <row r="134" spans="2:12" x14ac:dyDescent="0.3">
      <c r="B134" s="255"/>
      <c r="C134" s="274"/>
      <c r="D134" s="274"/>
      <c r="E134" s="274"/>
      <c r="F134" s="265"/>
      <c r="G134" s="265"/>
      <c r="H134" s="265"/>
      <c r="I134" s="265"/>
      <c r="J134" s="265"/>
      <c r="K134" s="265"/>
      <c r="L134" s="265"/>
    </row>
    <row r="135" spans="2:12" x14ac:dyDescent="0.3">
      <c r="B135" s="255"/>
      <c r="C135" s="265"/>
      <c r="D135" s="265"/>
      <c r="E135" s="265"/>
      <c r="F135" s="265"/>
      <c r="G135" s="265"/>
      <c r="H135" s="265"/>
      <c r="I135" s="265"/>
      <c r="J135" s="265"/>
      <c r="K135" s="265"/>
      <c r="L135" s="265"/>
    </row>
    <row r="136" spans="2:12" ht="15" x14ac:dyDescent="0.6">
      <c r="B136" s="255"/>
      <c r="C136" s="272"/>
      <c r="D136" s="272"/>
      <c r="E136" s="272"/>
    </row>
    <row r="137" spans="2:12" x14ac:dyDescent="0.3">
      <c r="B137" s="255"/>
      <c r="C137" s="265"/>
      <c r="D137" s="265"/>
      <c r="E137" s="293"/>
    </row>
    <row r="138" spans="2:12" x14ac:dyDescent="0.3">
      <c r="B138" s="255"/>
      <c r="C138" s="276"/>
      <c r="E138" s="276"/>
    </row>
    <row r="139" spans="2:12" x14ac:dyDescent="0.3">
      <c r="C139" s="274"/>
      <c r="D139" s="274"/>
      <c r="E139" s="274"/>
      <c r="F139" s="274"/>
      <c r="G139" s="274"/>
      <c r="H139" s="274"/>
      <c r="I139" s="274"/>
      <c r="J139" s="274"/>
      <c r="K139" s="274"/>
      <c r="L139" s="274"/>
    </row>
    <row r="141" spans="2:12" x14ac:dyDescent="0.3">
      <c r="B141" s="255"/>
      <c r="C141" s="265"/>
    </row>
    <row r="142" spans="2:12" ht="15" x14ac:dyDescent="0.6">
      <c r="B142" s="255"/>
      <c r="C142" s="272"/>
    </row>
    <row r="143" spans="2:12" x14ac:dyDescent="0.3">
      <c r="B143" s="255"/>
      <c r="C143" s="265"/>
    </row>
    <row r="144" spans="2:12" x14ac:dyDescent="0.3">
      <c r="C144" s="276"/>
    </row>
    <row r="145" spans="1:10" x14ac:dyDescent="0.3">
      <c r="B145" s="282"/>
      <c r="C145" s="255"/>
    </row>
    <row r="146" spans="1:10" x14ac:dyDescent="0.3">
      <c r="B146" s="255"/>
      <c r="C146" s="265"/>
    </row>
    <row r="147" spans="1:10" ht="15" x14ac:dyDescent="0.6">
      <c r="B147" s="255"/>
      <c r="C147" s="272"/>
    </row>
    <row r="148" spans="1:10" x14ac:dyDescent="0.3">
      <c r="B148" s="255"/>
      <c r="C148" s="265"/>
    </row>
    <row r="153" spans="1:10" x14ac:dyDescent="0.3">
      <c r="A153" s="287"/>
      <c r="B153" s="270"/>
      <c r="C153" s="276"/>
      <c r="E153" s="276"/>
    </row>
    <row r="154" spans="1:10" ht="12.9" x14ac:dyDescent="0.35">
      <c r="B154" s="229"/>
    </row>
    <row r="156" spans="1:10" x14ac:dyDescent="0.3">
      <c r="B156" s="230"/>
    </row>
    <row r="157" spans="1:10" ht="12.9" x14ac:dyDescent="0.35">
      <c r="B157" s="229"/>
    </row>
    <row r="158" spans="1:10" x14ac:dyDescent="0.3">
      <c r="B158" s="230"/>
    </row>
    <row r="159" spans="1:10" x14ac:dyDescent="0.3">
      <c r="C159" s="274"/>
      <c r="D159" s="274"/>
      <c r="E159" s="274"/>
      <c r="F159" s="274"/>
      <c r="G159" s="274"/>
      <c r="H159" s="274"/>
      <c r="I159" s="274"/>
      <c r="J159" s="274"/>
    </row>
    <row r="160" spans="1:10" x14ac:dyDescent="0.3">
      <c r="C160" s="287"/>
      <c r="D160" s="287"/>
      <c r="E160" s="287"/>
      <c r="F160" s="288"/>
      <c r="G160" s="288"/>
      <c r="H160" s="288"/>
      <c r="I160" s="288"/>
      <c r="J160" s="288"/>
    </row>
    <row r="161" spans="2:10" x14ac:dyDescent="0.3">
      <c r="B161" s="275"/>
      <c r="C161" s="287"/>
      <c r="D161" s="287"/>
      <c r="E161" s="287"/>
      <c r="F161" s="288"/>
      <c r="G161" s="288"/>
      <c r="H161" s="288"/>
      <c r="I161" s="288"/>
      <c r="J161" s="288"/>
    </row>
    <row r="162" spans="2:10" x14ac:dyDescent="0.3">
      <c r="B162" s="277"/>
      <c r="C162" s="287"/>
      <c r="D162" s="287"/>
      <c r="E162" s="288"/>
      <c r="G162" s="288"/>
      <c r="H162" s="288"/>
      <c r="I162" s="288"/>
      <c r="J162" s="287"/>
    </row>
    <row r="163" spans="2:10" x14ac:dyDescent="0.3">
      <c r="B163" s="277"/>
      <c r="C163" s="287"/>
      <c r="D163" s="287"/>
      <c r="E163" s="288"/>
      <c r="F163" s="287"/>
      <c r="G163" s="287"/>
      <c r="H163" s="287"/>
      <c r="I163" s="287"/>
      <c r="J163" s="287"/>
    </row>
    <row r="164" spans="2:10" x14ac:dyDescent="0.3">
      <c r="B164" s="280"/>
      <c r="C164" s="287"/>
      <c r="D164" s="287"/>
      <c r="E164" s="287"/>
      <c r="F164" s="287"/>
      <c r="G164" s="287"/>
      <c r="H164" s="287"/>
      <c r="I164" s="287"/>
      <c r="J164" s="287"/>
    </row>
    <row r="165" spans="2:10" x14ac:dyDescent="0.3">
      <c r="B165" s="282"/>
      <c r="C165" s="288"/>
      <c r="D165" s="288"/>
      <c r="E165" s="287"/>
      <c r="F165" s="287"/>
      <c r="G165" s="287"/>
      <c r="H165" s="287"/>
      <c r="I165" s="287"/>
      <c r="J165" s="287"/>
    </row>
    <row r="166" spans="2:10" x14ac:dyDescent="0.3">
      <c r="B166" s="282"/>
      <c r="C166" s="288"/>
      <c r="D166" s="288"/>
      <c r="E166" s="287"/>
      <c r="F166" s="287"/>
      <c r="G166" s="287"/>
      <c r="H166" s="287"/>
      <c r="I166" s="287"/>
      <c r="J166" s="287"/>
    </row>
    <row r="167" spans="2:10" x14ac:dyDescent="0.3">
      <c r="C167" s="288"/>
      <c r="D167" s="288"/>
      <c r="E167" s="287"/>
      <c r="F167" s="287"/>
      <c r="G167" s="287"/>
      <c r="H167" s="287"/>
      <c r="I167" s="287"/>
      <c r="J167" s="287"/>
    </row>
    <row r="168" spans="2:10" x14ac:dyDescent="0.3">
      <c r="B168" s="275"/>
      <c r="C168" s="288"/>
      <c r="D168" s="288"/>
      <c r="E168" s="287"/>
      <c r="F168" s="288"/>
      <c r="G168" s="288"/>
      <c r="H168" s="288"/>
      <c r="I168" s="288"/>
      <c r="J168" s="288"/>
    </row>
    <row r="169" spans="2:10" x14ac:dyDescent="0.3">
      <c r="B169" s="277"/>
      <c r="C169" s="287"/>
      <c r="D169" s="287"/>
      <c r="E169" s="288"/>
      <c r="F169" s="287"/>
      <c r="G169" s="287"/>
      <c r="H169" s="287"/>
      <c r="I169" s="287"/>
      <c r="J169" s="287"/>
    </row>
    <row r="170" spans="2:10" x14ac:dyDescent="0.3">
      <c r="B170" s="277"/>
      <c r="C170" s="287"/>
      <c r="D170" s="287"/>
      <c r="E170" s="288"/>
      <c r="F170" s="287"/>
      <c r="G170" s="287"/>
      <c r="H170" s="287"/>
      <c r="I170" s="287"/>
      <c r="J170" s="287"/>
    </row>
    <row r="171" spans="2:10" x14ac:dyDescent="0.3">
      <c r="C171" s="287"/>
      <c r="D171" s="287"/>
      <c r="E171" s="288"/>
      <c r="F171" s="287"/>
      <c r="G171" s="287"/>
      <c r="H171" s="287"/>
      <c r="I171" s="287"/>
      <c r="J171" s="287"/>
    </row>
    <row r="174" spans="2:10" x14ac:dyDescent="0.3">
      <c r="B174" s="230"/>
    </row>
    <row r="175" spans="2:10" ht="12.9" x14ac:dyDescent="0.35">
      <c r="B175" s="229"/>
    </row>
    <row r="177" spans="1:12" x14ac:dyDescent="0.3">
      <c r="C177" s="274"/>
      <c r="D177" s="274"/>
      <c r="E177" s="274"/>
      <c r="F177" s="274"/>
      <c r="H177" s="230"/>
      <c r="I177" s="274"/>
      <c r="J177" s="274"/>
    </row>
    <row r="178" spans="1:12" x14ac:dyDescent="0.3">
      <c r="F178" s="284"/>
    </row>
    <row r="179" spans="1:12" x14ac:dyDescent="0.3">
      <c r="B179" s="275"/>
      <c r="C179" s="288"/>
      <c r="D179" s="288"/>
      <c r="E179" s="288"/>
      <c r="F179" s="278"/>
      <c r="H179" s="285"/>
    </row>
    <row r="180" spans="1:12" x14ac:dyDescent="0.3">
      <c r="B180" s="277"/>
      <c r="C180" s="288"/>
      <c r="D180" s="288"/>
      <c r="E180" s="288"/>
      <c r="F180" s="279"/>
      <c r="H180" s="271"/>
      <c r="I180" s="294"/>
      <c r="J180" s="294"/>
    </row>
    <row r="181" spans="1:12" x14ac:dyDescent="0.3">
      <c r="B181" s="277"/>
      <c r="C181" s="288"/>
      <c r="D181" s="288"/>
      <c r="E181" s="288"/>
      <c r="F181" s="279"/>
      <c r="H181" s="271"/>
      <c r="I181" s="294"/>
      <c r="J181" s="294"/>
    </row>
    <row r="182" spans="1:12" x14ac:dyDescent="0.3">
      <c r="C182" s="288"/>
      <c r="D182" s="288"/>
      <c r="E182" s="288"/>
      <c r="F182" s="279"/>
      <c r="H182" s="271"/>
      <c r="I182" s="286"/>
      <c r="J182" s="286"/>
    </row>
    <row r="183" spans="1:12" x14ac:dyDescent="0.3">
      <c r="B183" s="275"/>
      <c r="C183" s="288"/>
      <c r="D183" s="288"/>
      <c r="E183" s="288"/>
      <c r="F183" s="279"/>
      <c r="H183" s="285"/>
      <c r="I183" s="267"/>
      <c r="J183" s="267"/>
    </row>
    <row r="184" spans="1:12" x14ac:dyDescent="0.3">
      <c r="B184" s="277"/>
      <c r="C184" s="288"/>
      <c r="D184" s="288"/>
      <c r="E184" s="288"/>
      <c r="F184" s="279"/>
      <c r="H184" s="271"/>
      <c r="I184" s="294"/>
      <c r="J184" s="294"/>
    </row>
    <row r="185" spans="1:12" x14ac:dyDescent="0.3">
      <c r="B185" s="277"/>
      <c r="C185" s="288"/>
      <c r="D185" s="288"/>
      <c r="E185" s="288"/>
      <c r="F185" s="279"/>
    </row>
    <row r="189" spans="1:12" x14ac:dyDescent="0.3">
      <c r="A189" s="287"/>
      <c r="B189" s="230"/>
      <c r="C189" s="276"/>
      <c r="E189" s="276"/>
    </row>
    <row r="190" spans="1:12" x14ac:dyDescent="0.3">
      <c r="C190" s="276"/>
      <c r="E190" s="276"/>
    </row>
    <row r="191" spans="1:12" x14ac:dyDescent="0.3">
      <c r="C191" s="274"/>
      <c r="D191" s="274"/>
      <c r="E191" s="274"/>
      <c r="F191" s="274"/>
      <c r="G191" s="274"/>
      <c r="H191" s="274"/>
      <c r="I191" s="274"/>
      <c r="J191" s="274"/>
      <c r="K191" s="274"/>
      <c r="L191" s="274"/>
    </row>
    <row r="193" spans="2:12" x14ac:dyDescent="0.3">
      <c r="B193" s="255"/>
      <c r="C193" s="290"/>
      <c r="D193" s="290"/>
      <c r="E193" s="291"/>
      <c r="F193" s="290"/>
      <c r="G193" s="290"/>
      <c r="H193" s="290"/>
      <c r="I193" s="290"/>
      <c r="J193" s="290"/>
      <c r="K193" s="291"/>
      <c r="L193" s="291"/>
    </row>
    <row r="194" spans="2:12" ht="15" x14ac:dyDescent="0.6">
      <c r="B194" s="255"/>
      <c r="C194" s="266"/>
      <c r="D194" s="266"/>
      <c r="E194" s="266"/>
      <c r="F194" s="266"/>
      <c r="G194" s="266"/>
      <c r="H194" s="266"/>
      <c r="I194" s="266"/>
      <c r="J194" s="266"/>
      <c r="K194" s="292"/>
      <c r="L194" s="292"/>
    </row>
    <row r="195" spans="2:12" x14ac:dyDescent="0.3">
      <c r="B195" s="255"/>
      <c r="C195" s="265"/>
      <c r="D195" s="265"/>
      <c r="E195" s="265"/>
      <c r="F195" s="265"/>
      <c r="G195" s="265"/>
      <c r="H195" s="265"/>
      <c r="I195" s="265"/>
      <c r="J195" s="265"/>
      <c r="K195" s="265"/>
      <c r="L195" s="265"/>
    </row>
    <row r="196" spans="2:12" x14ac:dyDescent="0.3">
      <c r="B196" s="255"/>
      <c r="C196" s="265"/>
      <c r="D196" s="265"/>
      <c r="E196" s="265"/>
      <c r="F196" s="265"/>
      <c r="G196" s="265"/>
      <c r="H196" s="265"/>
      <c r="I196" s="265"/>
      <c r="J196" s="265"/>
      <c r="K196" s="265"/>
      <c r="L196" s="265"/>
    </row>
    <row r="197" spans="2:12" x14ac:dyDescent="0.3">
      <c r="B197" s="255"/>
      <c r="C197" s="265"/>
      <c r="D197" s="265"/>
      <c r="E197" s="265"/>
      <c r="F197" s="265"/>
      <c r="G197" s="265"/>
      <c r="H197" s="265"/>
      <c r="I197" s="265"/>
      <c r="J197" s="265"/>
      <c r="K197" s="265"/>
      <c r="L197" s="265"/>
    </row>
    <row r="198" spans="2:12" ht="15" x14ac:dyDescent="0.6">
      <c r="B198" s="255"/>
      <c r="C198" s="272"/>
      <c r="E198" s="276"/>
    </row>
    <row r="199" spans="2:12" x14ac:dyDescent="0.3">
      <c r="B199" s="255"/>
      <c r="C199" s="265"/>
      <c r="E199" s="276"/>
    </row>
    <row r="200" spans="2:12" x14ac:dyDescent="0.3">
      <c r="B200" s="255"/>
      <c r="C200" s="276"/>
      <c r="E200" s="276"/>
    </row>
    <row r="201" spans="2:12" x14ac:dyDescent="0.3">
      <c r="C201" s="274"/>
      <c r="D201" s="274"/>
      <c r="E201" s="274"/>
      <c r="F201" s="274"/>
      <c r="G201" s="274"/>
      <c r="H201" s="274"/>
      <c r="I201" s="274"/>
      <c r="J201" s="274"/>
      <c r="K201" s="274"/>
      <c r="L201" s="274"/>
    </row>
    <row r="203" spans="2:12" x14ac:dyDescent="0.3">
      <c r="B203" s="255"/>
      <c r="C203" s="265"/>
    </row>
    <row r="204" spans="2:12" ht="15" x14ac:dyDescent="0.6">
      <c r="B204" s="255"/>
      <c r="C204" s="272"/>
    </row>
    <row r="205" spans="2:12" x14ac:dyDescent="0.3">
      <c r="B205" s="255"/>
      <c r="C205" s="265"/>
      <c r="D205" s="265"/>
      <c r="G205" s="255"/>
    </row>
    <row r="206" spans="2:12" x14ac:dyDescent="0.3">
      <c r="C206" s="276"/>
      <c r="E206" s="276"/>
      <c r="G206" s="255"/>
    </row>
    <row r="207" spans="2:12" x14ac:dyDescent="0.3">
      <c r="B207" s="282"/>
      <c r="C207" s="265"/>
      <c r="E207" s="295"/>
      <c r="G207" s="295"/>
    </row>
    <row r="208" spans="2:12" x14ac:dyDescent="0.3">
      <c r="B208" s="255"/>
      <c r="C208" s="265"/>
      <c r="E208" s="296"/>
    </row>
    <row r="209" spans="1:10" ht="15" x14ac:dyDescent="0.6">
      <c r="B209" s="255"/>
      <c r="C209" s="272"/>
      <c r="E209" s="297"/>
    </row>
    <row r="210" spans="1:10" x14ac:dyDescent="0.3">
      <c r="B210" s="255"/>
      <c r="C210" s="265"/>
      <c r="E210" s="296"/>
    </row>
    <row r="212" spans="1:10" x14ac:dyDescent="0.3">
      <c r="C212" s="298"/>
    </row>
    <row r="213" spans="1:10" outlineLevel="1" x14ac:dyDescent="0.3">
      <c r="A213" s="230"/>
    </row>
    <row r="214" spans="1:10" outlineLevel="1" x14ac:dyDescent="0.3">
      <c r="A214" s="287"/>
      <c r="B214" s="270"/>
      <c r="C214" s="276"/>
      <c r="E214" s="276"/>
    </row>
    <row r="215" spans="1:10" ht="12.9" outlineLevel="1" x14ac:dyDescent="0.35">
      <c r="B215" s="229"/>
    </row>
    <row r="216" spans="1:10" outlineLevel="1" x14ac:dyDescent="0.3">
      <c r="A216" s="287"/>
    </row>
    <row r="217" spans="1:10" outlineLevel="1" x14ac:dyDescent="0.3">
      <c r="B217" s="230"/>
    </row>
    <row r="218" spans="1:10" ht="12.9" outlineLevel="1" x14ac:dyDescent="0.35">
      <c r="B218" s="229"/>
    </row>
    <row r="219" spans="1:10" outlineLevel="1" x14ac:dyDescent="0.3">
      <c r="B219" s="230"/>
    </row>
    <row r="220" spans="1:10" outlineLevel="1" x14ac:dyDescent="0.3">
      <c r="C220" s="274"/>
      <c r="D220" s="274"/>
      <c r="E220" s="274"/>
      <c r="F220" s="274"/>
      <c r="G220" s="274"/>
      <c r="H220" s="274"/>
      <c r="I220" s="274"/>
      <c r="J220" s="274"/>
    </row>
    <row r="221" spans="1:10" outlineLevel="1" x14ac:dyDescent="0.3">
      <c r="C221" s="287"/>
      <c r="D221" s="287"/>
      <c r="E221" s="287"/>
      <c r="F221" s="288"/>
      <c r="G221" s="288"/>
      <c r="H221" s="288"/>
      <c r="I221" s="288"/>
      <c r="J221" s="288"/>
    </row>
    <row r="222" spans="1:10" outlineLevel="1" x14ac:dyDescent="0.3">
      <c r="B222" s="275"/>
      <c r="C222" s="287"/>
      <c r="D222" s="287"/>
      <c r="E222" s="287"/>
      <c r="F222" s="288"/>
      <c r="G222" s="288"/>
      <c r="H222" s="288"/>
      <c r="I222" s="288"/>
      <c r="J222" s="288"/>
    </row>
    <row r="223" spans="1:10" outlineLevel="1" x14ac:dyDescent="0.3">
      <c r="B223" s="277"/>
      <c r="C223" s="287"/>
      <c r="D223" s="287"/>
      <c r="E223" s="288"/>
    </row>
    <row r="224" spans="1:10" outlineLevel="1" x14ac:dyDescent="0.3">
      <c r="B224" s="277"/>
      <c r="C224" s="287"/>
      <c r="D224" s="287"/>
      <c r="E224" s="288"/>
      <c r="F224" s="287"/>
      <c r="G224" s="287"/>
      <c r="H224" s="287"/>
      <c r="I224" s="287"/>
      <c r="J224" s="287"/>
    </row>
    <row r="225" spans="2:10" outlineLevel="1" x14ac:dyDescent="0.3">
      <c r="B225" s="280"/>
      <c r="C225" s="287"/>
      <c r="D225" s="287"/>
      <c r="E225" s="287"/>
      <c r="F225" s="287"/>
      <c r="G225" s="287"/>
      <c r="H225" s="287"/>
      <c r="I225" s="287"/>
      <c r="J225" s="287"/>
    </row>
    <row r="226" spans="2:10" outlineLevel="1" x14ac:dyDescent="0.3">
      <c r="B226" s="282"/>
      <c r="C226" s="288"/>
      <c r="D226" s="288"/>
      <c r="E226" s="287"/>
      <c r="F226" s="287"/>
      <c r="G226" s="287"/>
      <c r="H226" s="287"/>
      <c r="I226" s="287"/>
      <c r="J226" s="287"/>
    </row>
    <row r="227" spans="2:10" outlineLevel="1" x14ac:dyDescent="0.3">
      <c r="B227" s="282"/>
      <c r="C227" s="288"/>
      <c r="D227" s="288"/>
      <c r="E227" s="287"/>
      <c r="F227" s="287"/>
      <c r="G227" s="287"/>
      <c r="H227" s="287"/>
      <c r="I227" s="287"/>
      <c r="J227" s="287"/>
    </row>
    <row r="228" spans="2:10" outlineLevel="1" x14ac:dyDescent="0.3">
      <c r="C228" s="288"/>
      <c r="D228" s="288"/>
      <c r="E228" s="287"/>
      <c r="F228" s="287"/>
      <c r="G228" s="287"/>
      <c r="H228" s="287"/>
      <c r="I228" s="287"/>
      <c r="J228" s="287"/>
    </row>
    <row r="229" spans="2:10" outlineLevel="1" x14ac:dyDescent="0.3">
      <c r="B229" s="275"/>
      <c r="C229" s="288"/>
      <c r="D229" s="288"/>
      <c r="E229" s="287"/>
      <c r="F229" s="288"/>
      <c r="G229" s="288"/>
      <c r="H229" s="288"/>
      <c r="I229" s="288"/>
      <c r="J229" s="288"/>
    </row>
    <row r="230" spans="2:10" outlineLevel="1" x14ac:dyDescent="0.3">
      <c r="B230" s="277"/>
      <c r="C230" s="287"/>
      <c r="D230" s="287"/>
      <c r="E230" s="288"/>
      <c r="F230" s="287"/>
      <c r="G230" s="287"/>
      <c r="H230" s="287"/>
      <c r="I230" s="287"/>
      <c r="J230" s="287"/>
    </row>
    <row r="231" spans="2:10" outlineLevel="1" x14ac:dyDescent="0.3">
      <c r="B231" s="277"/>
      <c r="C231" s="287"/>
      <c r="D231" s="287"/>
      <c r="E231" s="288"/>
      <c r="F231" s="287"/>
      <c r="G231" s="287"/>
      <c r="H231" s="287"/>
      <c r="I231" s="287"/>
      <c r="J231" s="287"/>
    </row>
    <row r="232" spans="2:10" outlineLevel="1" x14ac:dyDescent="0.3">
      <c r="C232" s="287"/>
      <c r="D232" s="287"/>
      <c r="E232" s="288"/>
      <c r="F232" s="287"/>
      <c r="G232" s="287"/>
      <c r="H232" s="287"/>
      <c r="I232" s="287"/>
      <c r="J232" s="287"/>
    </row>
    <row r="233" spans="2:10" outlineLevel="1" x14ac:dyDescent="0.3"/>
    <row r="234" spans="2:10" outlineLevel="1" x14ac:dyDescent="0.3"/>
    <row r="235" spans="2:10" outlineLevel="1" x14ac:dyDescent="0.3">
      <c r="B235" s="230"/>
    </row>
    <row r="236" spans="2:10" ht="12.9" outlineLevel="1" x14ac:dyDescent="0.35">
      <c r="B236" s="229"/>
    </row>
    <row r="237" spans="2:10" outlineLevel="1" x14ac:dyDescent="0.3"/>
    <row r="238" spans="2:10" outlineLevel="1" x14ac:dyDescent="0.3">
      <c r="C238" s="274"/>
      <c r="D238" s="274"/>
      <c r="E238" s="274"/>
      <c r="F238" s="274"/>
      <c r="H238" s="230"/>
      <c r="I238" s="274"/>
      <c r="J238" s="274"/>
    </row>
    <row r="239" spans="2:10" outlineLevel="1" x14ac:dyDescent="0.3">
      <c r="F239" s="284"/>
    </row>
    <row r="240" spans="2:10" outlineLevel="1" x14ac:dyDescent="0.3">
      <c r="B240" s="275"/>
      <c r="C240" s="288"/>
      <c r="D240" s="288"/>
      <c r="E240" s="288"/>
      <c r="F240" s="278"/>
      <c r="H240" s="285"/>
    </row>
    <row r="241" spans="1:12" outlineLevel="1" x14ac:dyDescent="0.3">
      <c r="B241" s="277"/>
      <c r="C241" s="288"/>
      <c r="D241" s="288"/>
      <c r="E241" s="288"/>
      <c r="F241" s="279"/>
      <c r="H241" s="271"/>
      <c r="I241" s="294"/>
      <c r="J241" s="294"/>
    </row>
    <row r="242" spans="1:12" outlineLevel="1" x14ac:dyDescent="0.3">
      <c r="B242" s="277"/>
      <c r="C242" s="288"/>
      <c r="D242" s="288"/>
      <c r="E242" s="288"/>
      <c r="F242" s="279"/>
      <c r="H242" s="271"/>
      <c r="I242" s="294"/>
      <c r="J242" s="294"/>
    </row>
    <row r="243" spans="1:12" outlineLevel="1" x14ac:dyDescent="0.3">
      <c r="C243" s="288"/>
      <c r="D243" s="288"/>
      <c r="E243" s="288"/>
      <c r="F243" s="279"/>
      <c r="H243" s="271"/>
      <c r="I243" s="286"/>
      <c r="J243" s="286"/>
    </row>
    <row r="244" spans="1:12" outlineLevel="1" x14ac:dyDescent="0.3">
      <c r="B244" s="275"/>
      <c r="C244" s="288"/>
      <c r="D244" s="288"/>
      <c r="E244" s="288"/>
      <c r="F244" s="279"/>
      <c r="H244" s="285"/>
      <c r="I244" s="267"/>
      <c r="J244" s="267"/>
    </row>
    <row r="245" spans="1:12" outlineLevel="1" x14ac:dyDescent="0.3">
      <c r="B245" s="277"/>
      <c r="C245" s="288"/>
      <c r="D245" s="288"/>
      <c r="E245" s="288"/>
      <c r="F245" s="279"/>
      <c r="H245" s="271"/>
      <c r="I245" s="294"/>
      <c r="J245" s="294"/>
    </row>
    <row r="246" spans="1:12" outlineLevel="1" x14ac:dyDescent="0.3">
      <c r="B246" s="277"/>
      <c r="C246" s="288"/>
      <c r="D246" s="288"/>
      <c r="E246" s="288"/>
      <c r="F246" s="279"/>
    </row>
    <row r="247" spans="1:12" outlineLevel="1" x14ac:dyDescent="0.3"/>
    <row r="248" spans="1:12" outlineLevel="1" x14ac:dyDescent="0.3"/>
    <row r="249" spans="1:12" outlineLevel="1" x14ac:dyDescent="0.3"/>
    <row r="250" spans="1:12" outlineLevel="1" x14ac:dyDescent="0.3"/>
    <row r="251" spans="1:12" outlineLevel="1" x14ac:dyDescent="0.3">
      <c r="A251" s="287"/>
      <c r="B251" s="230"/>
      <c r="C251" s="276"/>
      <c r="E251" s="276"/>
    </row>
    <row r="252" spans="1:12" outlineLevel="1" x14ac:dyDescent="0.3">
      <c r="C252" s="276"/>
      <c r="E252" s="276"/>
    </row>
    <row r="253" spans="1:12" outlineLevel="1" x14ac:dyDescent="0.3">
      <c r="C253" s="274"/>
      <c r="D253" s="274"/>
      <c r="E253" s="274"/>
      <c r="F253" s="274"/>
      <c r="G253" s="274"/>
      <c r="H253" s="274"/>
      <c r="I253" s="274"/>
      <c r="J253" s="274"/>
      <c r="K253" s="274"/>
      <c r="L253" s="274"/>
    </row>
    <row r="254" spans="1:12" outlineLevel="1" x14ac:dyDescent="0.3"/>
    <row r="255" spans="1:12" outlineLevel="1" x14ac:dyDescent="0.3">
      <c r="B255" s="255"/>
      <c r="C255" s="290"/>
      <c r="D255" s="290"/>
      <c r="E255" s="291"/>
      <c r="F255" s="290"/>
      <c r="G255" s="290"/>
      <c r="H255" s="290"/>
      <c r="I255" s="290"/>
      <c r="J255" s="290"/>
      <c r="K255" s="291"/>
      <c r="L255" s="291"/>
    </row>
    <row r="256" spans="1:12" ht="15" outlineLevel="1" x14ac:dyDescent="0.6">
      <c r="B256" s="255"/>
      <c r="C256" s="266"/>
      <c r="D256" s="266"/>
      <c r="E256" s="266"/>
      <c r="F256" s="299"/>
      <c r="G256" s="299"/>
      <c r="H256" s="299"/>
      <c r="I256" s="299"/>
      <c r="J256" s="299"/>
      <c r="K256" s="292"/>
      <c r="L256" s="292"/>
    </row>
    <row r="257" spans="2:12" outlineLevel="1" x14ac:dyDescent="0.3">
      <c r="B257" s="255"/>
      <c r="C257" s="265"/>
      <c r="D257" s="265"/>
      <c r="E257" s="265"/>
      <c r="F257" s="265"/>
      <c r="G257" s="265"/>
      <c r="H257" s="265"/>
      <c r="I257" s="265"/>
      <c r="J257" s="265"/>
      <c r="K257" s="265"/>
      <c r="L257" s="265"/>
    </row>
    <row r="258" spans="2:12" outlineLevel="1" x14ac:dyDescent="0.3">
      <c r="B258" s="255"/>
      <c r="C258" s="265"/>
      <c r="D258" s="265"/>
      <c r="E258" s="265"/>
      <c r="F258" s="265"/>
      <c r="G258" s="265"/>
      <c r="H258" s="265"/>
      <c r="I258" s="265"/>
      <c r="J258" s="265"/>
      <c r="K258" s="265"/>
      <c r="L258" s="265"/>
    </row>
    <row r="259" spans="2:12" outlineLevel="1" x14ac:dyDescent="0.3">
      <c r="B259" s="255"/>
      <c r="C259" s="265"/>
      <c r="D259" s="265"/>
      <c r="E259" s="265"/>
      <c r="F259" s="265"/>
      <c r="G259" s="265"/>
      <c r="H259" s="265"/>
      <c r="I259" s="265"/>
      <c r="J259" s="265"/>
      <c r="K259" s="265"/>
      <c r="L259" s="265"/>
    </row>
    <row r="260" spans="2:12" ht="15" outlineLevel="1" x14ac:dyDescent="0.6">
      <c r="B260" s="255"/>
      <c r="C260" s="272"/>
      <c r="E260" s="276"/>
    </row>
    <row r="261" spans="2:12" outlineLevel="1" x14ac:dyDescent="0.3">
      <c r="B261" s="255"/>
      <c r="C261" s="265"/>
      <c r="E261" s="276"/>
    </row>
    <row r="262" spans="2:12" outlineLevel="1" x14ac:dyDescent="0.3">
      <c r="B262" s="255"/>
      <c r="C262" s="276"/>
      <c r="E262" s="276"/>
    </row>
    <row r="263" spans="2:12" outlineLevel="1" x14ac:dyDescent="0.3">
      <c r="C263" s="274"/>
      <c r="D263" s="274"/>
      <c r="E263" s="274"/>
      <c r="F263" s="274"/>
      <c r="G263" s="274"/>
      <c r="H263" s="274"/>
      <c r="I263" s="274"/>
      <c r="J263" s="274"/>
      <c r="K263" s="274"/>
      <c r="L263" s="274"/>
    </row>
    <row r="264" spans="2:12" outlineLevel="1" x14ac:dyDescent="0.3"/>
    <row r="265" spans="2:12" outlineLevel="1" x14ac:dyDescent="0.3">
      <c r="C265" s="234"/>
      <c r="D265" s="234"/>
      <c r="E265" s="234"/>
    </row>
    <row r="266" spans="2:12" outlineLevel="1" x14ac:dyDescent="0.3">
      <c r="B266" s="255"/>
      <c r="C266" s="265"/>
      <c r="D266" s="298"/>
      <c r="E266" s="265"/>
    </row>
    <row r="267" spans="2:12" outlineLevel="1" x14ac:dyDescent="0.3">
      <c r="B267" s="255"/>
      <c r="C267" s="300"/>
      <c r="D267" s="301"/>
      <c r="E267" s="300"/>
    </row>
    <row r="268" spans="2:12" outlineLevel="1" x14ac:dyDescent="0.3">
      <c r="B268" s="255"/>
      <c r="C268" s="265"/>
      <c r="D268" s="265"/>
      <c r="E268" s="265"/>
      <c r="G268" s="255"/>
    </row>
    <row r="269" spans="2:12" outlineLevel="1" x14ac:dyDescent="0.3">
      <c r="C269" s="276"/>
      <c r="E269" s="276"/>
      <c r="G269" s="255"/>
    </row>
    <row r="270" spans="2:12" outlineLevel="1" x14ac:dyDescent="0.3">
      <c r="B270" s="282"/>
      <c r="C270" s="265"/>
      <c r="E270" s="295"/>
      <c r="G270" s="295"/>
    </row>
    <row r="271" spans="2:12" outlineLevel="1" x14ac:dyDescent="0.3">
      <c r="B271" s="255"/>
      <c r="C271" s="265"/>
      <c r="E271" s="296"/>
    </row>
    <row r="272" spans="2:12" outlineLevel="1" x14ac:dyDescent="0.3">
      <c r="B272" s="255"/>
      <c r="C272" s="300"/>
      <c r="E272" s="297"/>
    </row>
    <row r="273" spans="2:5" outlineLevel="1" x14ac:dyDescent="0.3">
      <c r="B273" s="255"/>
      <c r="C273" s="265"/>
      <c r="E273" s="296"/>
    </row>
    <row r="274" spans="2:5" outlineLevel="1" x14ac:dyDescent="0.3"/>
  </sheetData>
  <pageMargins left="0.75" right="0.75" top="1" bottom="1" header="0.5" footer="0.5"/>
  <pageSetup scale="64" fitToHeight="0" orientation="landscape" r:id="rId1"/>
  <headerFooter alignWithMargins="0">
    <oddHeader>&amp;C&amp;"Arial,Bold"Public Service Electric and Gas Company Specific Addendum
Attachment 4</oddHeader>
    <oddFooter>&amp;C&amp;"Arial,Bold"Page 5 of 5</oddFooter>
  </headerFooter>
  <rowBreaks count="7" manualBreakCount="7">
    <brk id="33" max="9" man="1"/>
    <brk id="79" max="9" man="1"/>
    <brk id="115" max="9" man="1"/>
    <brk id="151" max="9" man="1"/>
    <brk id="187" max="9" man="1"/>
    <brk id="212" max="11" man="1"/>
    <brk id="250"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tabColor theme="1" tint="0.14999847407452621"/>
    <pageSetUpPr fitToPage="1"/>
  </sheetPr>
  <dimension ref="A1:M274"/>
  <sheetViews>
    <sheetView topLeftCell="A4" zoomScale="115" zoomScaleNormal="115" workbookViewId="0">
      <selection activeCell="E10" sqref="E10"/>
    </sheetView>
  </sheetViews>
  <sheetFormatPr defaultColWidth="9.07421875" defaultRowHeight="12.45" outlineLevelRow="1" x14ac:dyDescent="0.3"/>
  <cols>
    <col min="1" max="1" width="12.4609375" style="226" bestFit="1" customWidth="1"/>
    <col min="2" max="2" width="46" style="226" customWidth="1"/>
    <col min="3" max="5" width="17.84375" style="226" customWidth="1"/>
    <col min="6" max="6" width="5.84375" style="226" customWidth="1"/>
    <col min="7" max="7" width="41.4609375" style="226" customWidth="1"/>
    <col min="8" max="8" width="5.4609375" style="226" customWidth="1"/>
    <col min="9" max="9" width="11" style="226" customWidth="1"/>
    <col min="10" max="10" width="13.07421875" style="226" customWidth="1"/>
    <col min="11" max="11" width="12.53515625" style="226" customWidth="1"/>
    <col min="12" max="12" width="21" style="226" customWidth="1"/>
    <col min="13" max="13" width="14.4609375" style="226" bestFit="1" customWidth="1"/>
    <col min="14" max="14" width="24.07421875" style="226" bestFit="1" customWidth="1"/>
    <col min="15" max="16" width="10.84375" style="226" bestFit="1" customWidth="1"/>
    <col min="17" max="17" width="14.4609375" style="226" bestFit="1" customWidth="1"/>
    <col min="18" max="16384" width="9.07421875" style="226"/>
  </cols>
  <sheetData>
    <row r="1" spans="1:11" ht="20.149999999999999" x14ac:dyDescent="0.5">
      <c r="A1" s="250" t="s">
        <v>530</v>
      </c>
      <c r="D1" s="251"/>
      <c r="E1" s="251"/>
      <c r="F1" s="251"/>
      <c r="G1" s="251"/>
      <c r="H1" s="251"/>
      <c r="I1" s="251"/>
      <c r="J1" s="251"/>
    </row>
    <row r="2" spans="1:11" ht="15.45" x14ac:dyDescent="0.4">
      <c r="A2" s="252" t="s">
        <v>553</v>
      </c>
      <c r="D2" s="251"/>
      <c r="E2" s="251"/>
      <c r="F2" s="251"/>
      <c r="G2" s="251"/>
      <c r="H2" s="251"/>
      <c r="I2" s="251"/>
      <c r="J2" s="251"/>
    </row>
    <row r="3" spans="1:11" x14ac:dyDescent="0.3">
      <c r="A3" s="253" t="s">
        <v>541</v>
      </c>
      <c r="D3" s="251"/>
      <c r="E3" s="251"/>
      <c r="F3" s="251"/>
      <c r="G3" s="251"/>
      <c r="H3" s="251"/>
      <c r="I3" s="251"/>
      <c r="J3" s="251"/>
    </row>
    <row r="5" spans="1:11" x14ac:dyDescent="0.3">
      <c r="A5" s="254" t="s">
        <v>241</v>
      </c>
      <c r="B5" s="230" t="s">
        <v>263</v>
      </c>
    </row>
    <row r="6" spans="1:11" ht="51" customHeight="1" x14ac:dyDescent="0.35">
      <c r="A6" s="255" t="s">
        <v>202</v>
      </c>
      <c r="B6" s="230" t="s">
        <v>531</v>
      </c>
      <c r="C6" s="248" t="s">
        <v>540</v>
      </c>
      <c r="D6" s="248" t="s">
        <v>554</v>
      </c>
      <c r="E6" s="248" t="s">
        <v>555</v>
      </c>
      <c r="G6" s="229" t="s">
        <v>203</v>
      </c>
    </row>
    <row r="8" spans="1:11" x14ac:dyDescent="0.3">
      <c r="A8" s="255">
        <v>1</v>
      </c>
      <c r="B8" s="230" t="s">
        <v>204</v>
      </c>
      <c r="C8" s="256" t="e">
        <f>#REF!</f>
        <v>#REF!</v>
      </c>
      <c r="D8" s="256" t="e">
        <f>#REF!</f>
        <v>#REF!</v>
      </c>
      <c r="E8" s="256" t="e">
        <f>D10</f>
        <v>#REF!</v>
      </c>
      <c r="G8" s="257" t="s">
        <v>545</v>
      </c>
    </row>
    <row r="9" spans="1:11" x14ac:dyDescent="0.3">
      <c r="A9" s="255" t="s">
        <v>503</v>
      </c>
      <c r="B9" s="230" t="s">
        <v>556</v>
      </c>
      <c r="C9" s="256" t="e">
        <f>#REF!</f>
        <v>#REF!</v>
      </c>
      <c r="D9" s="256" t="e">
        <f>#REF!</f>
        <v>#REF!</v>
      </c>
      <c r="E9" s="258"/>
      <c r="G9" s="257" t="s">
        <v>557</v>
      </c>
    </row>
    <row r="10" spans="1:11" x14ac:dyDescent="0.3">
      <c r="A10" s="255" t="s">
        <v>505</v>
      </c>
      <c r="B10" s="230" t="s">
        <v>354</v>
      </c>
      <c r="C10" s="259" t="e">
        <f>C8+C9</f>
        <v>#REF!</v>
      </c>
      <c r="D10" s="259" t="e">
        <f t="shared" ref="D10:E10" si="0">D8+D9</f>
        <v>#REF!</v>
      </c>
      <c r="E10" s="259" t="e">
        <f t="shared" si="0"/>
        <v>#REF!</v>
      </c>
      <c r="G10" s="260" t="s">
        <v>558</v>
      </c>
    </row>
    <row r="11" spans="1:11" x14ac:dyDescent="0.3">
      <c r="A11" s="255"/>
      <c r="B11" s="230"/>
      <c r="C11" s="259"/>
      <c r="D11" s="259"/>
      <c r="E11" s="259"/>
      <c r="G11" s="233"/>
    </row>
    <row r="12" spans="1:11" x14ac:dyDescent="0.3">
      <c r="A12" s="255">
        <v>2</v>
      </c>
      <c r="B12" s="240" t="s">
        <v>305</v>
      </c>
      <c r="C12" s="226">
        <v>28</v>
      </c>
      <c r="D12" s="226">
        <v>28</v>
      </c>
      <c r="E12" s="226">
        <v>29</v>
      </c>
      <c r="G12" s="257" t="s">
        <v>205</v>
      </c>
    </row>
    <row r="13" spans="1:11" x14ac:dyDescent="0.3">
      <c r="A13" s="255">
        <v>3</v>
      </c>
      <c r="B13" s="230" t="s">
        <v>306</v>
      </c>
      <c r="C13" s="226">
        <v>85</v>
      </c>
      <c r="D13" s="226">
        <v>85</v>
      </c>
      <c r="E13" s="226">
        <v>85</v>
      </c>
      <c r="G13" s="257" t="s">
        <v>205</v>
      </c>
    </row>
    <row r="14" spans="1:11" x14ac:dyDescent="0.3">
      <c r="A14" s="255"/>
      <c r="B14" s="230"/>
      <c r="G14" s="257"/>
    </row>
    <row r="15" spans="1:11" x14ac:dyDescent="0.3">
      <c r="A15" s="255"/>
      <c r="B15" s="230" t="s">
        <v>206</v>
      </c>
    </row>
    <row r="16" spans="1:11" x14ac:dyDescent="0.3">
      <c r="A16" s="255">
        <v>4</v>
      </c>
      <c r="B16" s="261" t="s">
        <v>207</v>
      </c>
      <c r="C16" s="262">
        <v>1</v>
      </c>
      <c r="D16" s="262">
        <v>1</v>
      </c>
      <c r="E16" s="262">
        <v>1</v>
      </c>
      <c r="G16" s="257" t="s">
        <v>534</v>
      </c>
      <c r="K16" s="263"/>
    </row>
    <row r="17" spans="1:12" x14ac:dyDescent="0.3">
      <c r="A17" s="255">
        <v>5</v>
      </c>
      <c r="B17" s="261" t="s">
        <v>208</v>
      </c>
      <c r="C17" s="262">
        <v>1</v>
      </c>
      <c r="D17" s="262">
        <v>1</v>
      </c>
      <c r="E17" s="262">
        <v>1</v>
      </c>
      <c r="G17" s="257" t="s">
        <v>534</v>
      </c>
      <c r="K17" s="263"/>
    </row>
    <row r="18" spans="1:12" x14ac:dyDescent="0.3">
      <c r="A18" s="255"/>
      <c r="E18" s="262"/>
    </row>
    <row r="19" spans="1:12" x14ac:dyDescent="0.3">
      <c r="A19" s="255"/>
      <c r="B19" s="244" t="s">
        <v>535</v>
      </c>
    </row>
    <row r="20" spans="1:12" x14ac:dyDescent="0.3">
      <c r="A20" s="255">
        <v>6</v>
      </c>
      <c r="B20" s="226" t="s">
        <v>209</v>
      </c>
      <c r="C20" s="245" t="e">
        <f>#REF!</f>
        <v>#REF!</v>
      </c>
      <c r="D20" s="245"/>
      <c r="E20" s="245"/>
      <c r="G20" s="257" t="s">
        <v>536</v>
      </c>
    </row>
    <row r="21" spans="1:12" x14ac:dyDescent="0.3">
      <c r="A21" s="255">
        <v>7</v>
      </c>
      <c r="B21" s="226" t="s">
        <v>210</v>
      </c>
      <c r="C21" s="245" t="e">
        <f>#REF!</f>
        <v>#REF!</v>
      </c>
      <c r="D21" s="245"/>
      <c r="E21" s="245"/>
    </row>
    <row r="22" spans="1:12" x14ac:dyDescent="0.3">
      <c r="A22" s="255"/>
    </row>
    <row r="23" spans="1:12" ht="12.9" x14ac:dyDescent="0.35">
      <c r="A23" s="255"/>
      <c r="B23" s="230" t="s">
        <v>271</v>
      </c>
    </row>
    <row r="24" spans="1:12" x14ac:dyDescent="0.3">
      <c r="A24" s="255">
        <v>8</v>
      </c>
      <c r="B24" s="261" t="s">
        <v>207</v>
      </c>
      <c r="C24" s="264" t="e">
        <f>((+C$8)*C$12/C$13*C16*$C20/1000) + (+C$9*C$12/C$13*$C20/1000)</f>
        <v>#REF!</v>
      </c>
      <c r="D24" s="264" t="e">
        <f t="shared" ref="D24:E25" si="1">((+D$8)*D$12/D$13*D16*$C20/1000) + (+D$9*D$12/D$13*$C20/1000)</f>
        <v>#REF!</v>
      </c>
      <c r="E24" s="264" t="e">
        <f t="shared" si="1"/>
        <v>#REF!</v>
      </c>
      <c r="G24" s="260" t="s">
        <v>559</v>
      </c>
      <c r="J24" s="265"/>
      <c r="L24" s="265"/>
    </row>
    <row r="25" spans="1:12" ht="15" x14ac:dyDescent="0.6">
      <c r="A25" s="255">
        <v>9</v>
      </c>
      <c r="B25" s="261" t="s">
        <v>208</v>
      </c>
      <c r="C25" s="266" t="e">
        <f>((+C$8)*C$12/C$13*C17*$C21/1000) + (+C$9*C$12/C$13*$C21/1000)</f>
        <v>#REF!</v>
      </c>
      <c r="D25" s="266" t="e">
        <f t="shared" si="1"/>
        <v>#REF!</v>
      </c>
      <c r="E25" s="266" t="e">
        <f t="shared" si="1"/>
        <v>#REF!</v>
      </c>
      <c r="G25" s="260" t="s">
        <v>560</v>
      </c>
    </row>
    <row r="26" spans="1:12" x14ac:dyDescent="0.3">
      <c r="A26" s="255">
        <v>10</v>
      </c>
      <c r="B26" s="226" t="s">
        <v>211</v>
      </c>
      <c r="C26" s="265" t="e">
        <f>+C25+C24</f>
        <v>#REF!</v>
      </c>
      <c r="D26" s="265" t="e">
        <f>+D25+D24</f>
        <v>#REF!</v>
      </c>
      <c r="E26" s="265" t="e">
        <f>+E25+E24</f>
        <v>#REF!</v>
      </c>
      <c r="J26" s="265"/>
      <c r="L26" s="265"/>
    </row>
    <row r="27" spans="1:12" x14ac:dyDescent="0.3">
      <c r="A27" s="255"/>
    </row>
    <row r="28" spans="1:12" ht="12.9" x14ac:dyDescent="0.35">
      <c r="A28" s="255"/>
      <c r="B28" s="230" t="s">
        <v>272</v>
      </c>
    </row>
    <row r="29" spans="1:12" x14ac:dyDescent="0.3">
      <c r="A29" s="255">
        <v>11</v>
      </c>
      <c r="B29" s="261" t="s">
        <v>207</v>
      </c>
      <c r="C29" s="259" t="e">
        <f>ROUND(+SUM(C24:E24)/C20*1000,3)</f>
        <v>#REF!</v>
      </c>
      <c r="D29" s="267"/>
      <c r="G29" s="260" t="s">
        <v>537</v>
      </c>
    </row>
    <row r="30" spans="1:12" x14ac:dyDescent="0.3">
      <c r="A30" s="255">
        <v>12</v>
      </c>
      <c r="B30" s="261" t="s">
        <v>208</v>
      </c>
      <c r="C30" s="259" t="e">
        <f>ROUND(+SUM(C25:E25)/C21*1000,3)</f>
        <v>#REF!</v>
      </c>
      <c r="G30" s="260" t="s">
        <v>538</v>
      </c>
    </row>
    <row r="31" spans="1:12" x14ac:dyDescent="0.3">
      <c r="A31" s="255"/>
      <c r="B31" s="261"/>
      <c r="C31" s="268"/>
      <c r="G31" s="233"/>
    </row>
    <row r="32" spans="1:12" x14ac:dyDescent="0.3">
      <c r="A32" s="255">
        <v>13</v>
      </c>
      <c r="B32" s="226" t="s">
        <v>215</v>
      </c>
      <c r="C32" s="269" t="e">
        <f>ROUND(+SUM(C26:E26)/(C20+C21)*1000,3)</f>
        <v>#REF!</v>
      </c>
      <c r="D32" s="226" t="s">
        <v>213</v>
      </c>
      <c r="G32" s="260" t="s">
        <v>212</v>
      </c>
    </row>
    <row r="33" spans="1:13" x14ac:dyDescent="0.3">
      <c r="D33" s="226" t="s">
        <v>214</v>
      </c>
      <c r="G33" s="257" t="s">
        <v>539</v>
      </c>
    </row>
    <row r="34" spans="1:13" x14ac:dyDescent="0.3">
      <c r="C34" s="267"/>
    </row>
    <row r="35" spans="1:13" x14ac:dyDescent="0.3">
      <c r="B35" s="270"/>
      <c r="D35" s="267"/>
    </row>
    <row r="36" spans="1:13" x14ac:dyDescent="0.3">
      <c r="A36" s="255"/>
      <c r="B36" s="271"/>
      <c r="C36" s="265"/>
      <c r="D36" s="267"/>
      <c r="G36" s="233"/>
    </row>
    <row r="37" spans="1:13" ht="15" x14ac:dyDescent="0.6">
      <c r="A37" s="255"/>
      <c r="B37" s="271"/>
      <c r="C37" s="272"/>
      <c r="D37" s="267"/>
      <c r="G37" s="233"/>
    </row>
    <row r="38" spans="1:13" x14ac:dyDescent="0.3">
      <c r="A38" s="255"/>
      <c r="B38" s="271"/>
      <c r="C38" s="264"/>
      <c r="D38" s="267"/>
      <c r="G38" s="233"/>
    </row>
    <row r="39" spans="1:13" x14ac:dyDescent="0.3">
      <c r="B39" s="271"/>
      <c r="D39" s="267"/>
    </row>
    <row r="41" spans="1:13" ht="12.9" x14ac:dyDescent="0.35">
      <c r="A41" s="273"/>
      <c r="B41" s="230"/>
      <c r="G41" s="229"/>
    </row>
    <row r="42" spans="1:13" ht="12.9" x14ac:dyDescent="0.35">
      <c r="A42" s="273"/>
      <c r="B42" s="230"/>
      <c r="G42" s="229"/>
    </row>
    <row r="43" spans="1:13" x14ac:dyDescent="0.3">
      <c r="B43" s="230"/>
    </row>
    <row r="44" spans="1:13" ht="12.9" x14ac:dyDescent="0.35">
      <c r="B44" s="229"/>
    </row>
    <row r="45" spans="1:13" x14ac:dyDescent="0.3">
      <c r="B45" s="230"/>
    </row>
    <row r="46" spans="1:13" x14ac:dyDescent="0.3">
      <c r="C46" s="274"/>
      <c r="D46" s="274"/>
      <c r="E46" s="274"/>
      <c r="F46" s="274"/>
      <c r="G46" s="274"/>
      <c r="H46" s="274"/>
      <c r="I46" s="274"/>
      <c r="J46" s="274"/>
    </row>
    <row r="47" spans="1:13" x14ac:dyDescent="0.3">
      <c r="C47" s="274"/>
      <c r="D47" s="274"/>
      <c r="E47" s="274"/>
      <c r="F47" s="274"/>
      <c r="G47" s="274"/>
    </row>
    <row r="48" spans="1:13" x14ac:dyDescent="0.3">
      <c r="B48" s="275"/>
      <c r="E48" s="122"/>
      <c r="F48" s="64"/>
      <c r="G48" s="64"/>
      <c r="H48" s="64"/>
      <c r="I48" s="122"/>
      <c r="J48" s="122"/>
      <c r="K48" s="276"/>
      <c r="L48" s="276"/>
      <c r="M48" s="276"/>
    </row>
    <row r="49" spans="2:13" x14ac:dyDescent="0.3">
      <c r="B49" s="277"/>
      <c r="C49" s="65"/>
      <c r="D49" s="123"/>
      <c r="E49" s="64"/>
      <c r="F49" s="122"/>
      <c r="G49" s="122"/>
      <c r="H49" s="122"/>
      <c r="J49" s="124"/>
      <c r="K49" s="276"/>
      <c r="L49" s="276"/>
      <c r="M49" s="276"/>
    </row>
    <row r="50" spans="2:13" x14ac:dyDescent="0.3">
      <c r="B50" s="277"/>
      <c r="C50" s="65"/>
      <c r="D50" s="123"/>
      <c r="E50" s="64"/>
      <c r="F50" s="122"/>
      <c r="G50" s="122"/>
      <c r="H50" s="278"/>
      <c r="J50" s="124"/>
      <c r="K50" s="279"/>
      <c r="L50" s="276"/>
      <c r="M50" s="276"/>
    </row>
    <row r="51" spans="2:13" x14ac:dyDescent="0.3">
      <c r="E51" s="65"/>
      <c r="F51" s="123"/>
      <c r="G51" s="123"/>
      <c r="L51" s="276"/>
      <c r="M51" s="276"/>
    </row>
    <row r="52" spans="2:13" x14ac:dyDescent="0.3">
      <c r="B52" s="280"/>
      <c r="C52" s="64"/>
      <c r="D52" s="64"/>
      <c r="E52" s="65"/>
      <c r="F52" s="123"/>
      <c r="G52" s="123"/>
      <c r="H52" s="123"/>
      <c r="I52" s="123"/>
      <c r="J52" s="123"/>
      <c r="K52" s="276"/>
      <c r="L52" s="276"/>
      <c r="M52" s="276"/>
    </row>
    <row r="53" spans="2:13" x14ac:dyDescent="0.3">
      <c r="B53" s="280"/>
      <c r="C53" s="281"/>
      <c r="D53" s="281"/>
      <c r="E53" s="282"/>
      <c r="F53" s="123"/>
      <c r="G53" s="123"/>
      <c r="H53" s="123"/>
      <c r="I53" s="123"/>
      <c r="J53" s="123"/>
      <c r="K53" s="276"/>
      <c r="L53" s="276"/>
      <c r="M53" s="276"/>
    </row>
    <row r="54" spans="2:13" x14ac:dyDescent="0.3">
      <c r="B54" s="280"/>
      <c r="C54" s="281"/>
      <c r="D54" s="281"/>
      <c r="E54" s="282"/>
      <c r="F54" s="123"/>
      <c r="G54" s="123"/>
      <c r="H54" s="123"/>
      <c r="I54" s="123"/>
      <c r="J54" s="123"/>
      <c r="K54" s="276"/>
      <c r="L54" s="276"/>
      <c r="M54" s="276"/>
    </row>
    <row r="55" spans="2:13" x14ac:dyDescent="0.3">
      <c r="G55" s="123"/>
      <c r="H55" s="123"/>
      <c r="I55" s="123"/>
      <c r="J55" s="123"/>
      <c r="K55" s="276"/>
      <c r="L55" s="276"/>
      <c r="M55" s="276"/>
    </row>
    <row r="56" spans="2:13" x14ac:dyDescent="0.3">
      <c r="H56" s="123"/>
      <c r="I56" s="123"/>
      <c r="J56" s="123"/>
      <c r="K56" s="276"/>
      <c r="L56" s="276"/>
      <c r="M56" s="276"/>
    </row>
    <row r="57" spans="2:13" x14ac:dyDescent="0.3">
      <c r="C57" s="123"/>
      <c r="D57" s="123"/>
      <c r="E57" s="123"/>
      <c r="F57" s="123"/>
      <c r="G57" s="123"/>
      <c r="H57" s="123"/>
      <c r="I57" s="123"/>
      <c r="J57" s="123"/>
      <c r="K57" s="276"/>
      <c r="L57" s="276"/>
      <c r="M57" s="276"/>
    </row>
    <row r="58" spans="2:13" x14ac:dyDescent="0.3">
      <c r="B58" s="275"/>
      <c r="C58" s="64"/>
      <c r="D58" s="64"/>
      <c r="E58" s="122"/>
      <c r="F58" s="64"/>
      <c r="G58" s="64"/>
      <c r="H58" s="64"/>
      <c r="I58" s="122"/>
      <c r="J58" s="122"/>
      <c r="K58" s="276"/>
      <c r="L58" s="276"/>
      <c r="M58" s="276"/>
    </row>
    <row r="59" spans="2:13" x14ac:dyDescent="0.3">
      <c r="B59" s="277"/>
      <c r="C59" s="123"/>
      <c r="D59" s="123"/>
      <c r="E59" s="64"/>
      <c r="F59" s="123"/>
      <c r="G59" s="123"/>
      <c r="H59" s="123"/>
      <c r="J59" s="124"/>
      <c r="K59" s="276"/>
      <c r="L59" s="276"/>
      <c r="M59" s="276"/>
    </row>
    <row r="60" spans="2:13" x14ac:dyDescent="0.3">
      <c r="B60" s="277"/>
      <c r="C60" s="123"/>
      <c r="D60" s="123"/>
      <c r="E60" s="64"/>
      <c r="F60" s="123"/>
      <c r="G60" s="123"/>
      <c r="J60" s="124"/>
      <c r="K60" s="279"/>
      <c r="L60" s="276"/>
      <c r="M60" s="276"/>
    </row>
    <row r="61" spans="2:13" x14ac:dyDescent="0.3">
      <c r="C61" s="276"/>
      <c r="D61" s="276"/>
      <c r="E61" s="276"/>
      <c r="F61" s="276"/>
      <c r="G61" s="276"/>
      <c r="K61" s="276"/>
      <c r="L61" s="276"/>
      <c r="M61" s="276"/>
    </row>
    <row r="62" spans="2:13" x14ac:dyDescent="0.3">
      <c r="C62" s="283"/>
      <c r="D62" s="283"/>
      <c r="E62" s="283"/>
      <c r="F62" s="283"/>
      <c r="G62" s="283"/>
      <c r="H62" s="283"/>
      <c r="I62" s="283"/>
      <c r="J62" s="283"/>
      <c r="K62" s="276"/>
      <c r="L62" s="276"/>
      <c r="M62" s="276"/>
    </row>
    <row r="65" spans="2:11" x14ac:dyDescent="0.3">
      <c r="B65" s="230"/>
    </row>
    <row r="66" spans="2:11" ht="12.9" x14ac:dyDescent="0.35">
      <c r="B66" s="229"/>
    </row>
    <row r="68" spans="2:11" x14ac:dyDescent="0.3">
      <c r="C68" s="274"/>
      <c r="D68" s="274"/>
      <c r="E68" s="274"/>
      <c r="F68" s="274"/>
      <c r="H68" s="230"/>
      <c r="I68" s="274"/>
      <c r="J68" s="274"/>
    </row>
    <row r="69" spans="2:11" x14ac:dyDescent="0.3">
      <c r="C69" s="274"/>
      <c r="D69" s="284"/>
      <c r="E69" s="274"/>
      <c r="F69" s="284"/>
    </row>
    <row r="70" spans="2:11" x14ac:dyDescent="0.3">
      <c r="B70" s="275"/>
      <c r="C70" s="64"/>
      <c r="D70" s="279"/>
      <c r="E70" s="278"/>
      <c r="F70" s="278"/>
      <c r="H70" s="285"/>
    </row>
    <row r="71" spans="2:11" x14ac:dyDescent="0.3">
      <c r="B71" s="277"/>
      <c r="C71" s="122"/>
      <c r="D71" s="279"/>
      <c r="E71" s="64"/>
      <c r="F71" s="279"/>
      <c r="H71" s="271"/>
      <c r="I71" s="286"/>
      <c r="J71" s="286"/>
      <c r="K71" s="233"/>
    </row>
    <row r="72" spans="2:11" x14ac:dyDescent="0.3">
      <c r="B72" s="277"/>
      <c r="C72" s="122"/>
      <c r="D72" s="279"/>
      <c r="E72" s="64"/>
      <c r="F72" s="279"/>
      <c r="H72" s="271"/>
      <c r="I72" s="286"/>
      <c r="J72" s="286"/>
      <c r="K72" s="233"/>
    </row>
    <row r="73" spans="2:11" x14ac:dyDescent="0.3">
      <c r="C73" s="122"/>
      <c r="D73" s="279"/>
      <c r="E73" s="122"/>
      <c r="F73" s="279"/>
      <c r="H73" s="271"/>
      <c r="I73" s="286"/>
      <c r="J73" s="286"/>
      <c r="K73" s="233"/>
    </row>
    <row r="74" spans="2:11" x14ac:dyDescent="0.3">
      <c r="B74" s="275"/>
      <c r="C74" s="64"/>
      <c r="D74" s="279"/>
      <c r="E74" s="64"/>
      <c r="F74" s="279"/>
      <c r="H74" s="285"/>
      <c r="I74" s="267"/>
      <c r="J74" s="267"/>
    </row>
    <row r="75" spans="2:11" x14ac:dyDescent="0.3">
      <c r="B75" s="277"/>
      <c r="C75" s="122"/>
      <c r="D75" s="278"/>
      <c r="E75" s="64"/>
      <c r="F75" s="279"/>
      <c r="H75" s="271"/>
      <c r="I75" s="286"/>
      <c r="J75" s="286"/>
      <c r="K75" s="233"/>
    </row>
    <row r="76" spans="2:11" x14ac:dyDescent="0.3">
      <c r="B76" s="277"/>
      <c r="C76" s="122"/>
      <c r="D76" s="278"/>
      <c r="E76" s="64"/>
      <c r="F76" s="279"/>
    </row>
    <row r="77" spans="2:11" x14ac:dyDescent="0.3">
      <c r="C77" s="283"/>
      <c r="D77" s="278"/>
      <c r="E77" s="283"/>
      <c r="F77" s="278"/>
    </row>
    <row r="78" spans="2:11" x14ac:dyDescent="0.3">
      <c r="C78" s="283"/>
      <c r="D78" s="278"/>
      <c r="E78" s="283"/>
      <c r="F78" s="278"/>
    </row>
    <row r="79" spans="2:11" x14ac:dyDescent="0.3">
      <c r="C79" s="283"/>
      <c r="D79" s="278"/>
      <c r="E79" s="283"/>
      <c r="F79" s="278"/>
    </row>
    <row r="80" spans="2:11" x14ac:dyDescent="0.3">
      <c r="C80" s="276"/>
      <c r="E80" s="276"/>
    </row>
    <row r="81" spans="1:13" x14ac:dyDescent="0.3">
      <c r="A81" s="287"/>
      <c r="B81" s="270"/>
      <c r="C81" s="276"/>
      <c r="E81" s="276"/>
    </row>
    <row r="82" spans="1:13" ht="12.9" x14ac:dyDescent="0.35">
      <c r="A82" s="287"/>
      <c r="B82" s="229"/>
    </row>
    <row r="84" spans="1:13" x14ac:dyDescent="0.3">
      <c r="B84" s="230"/>
    </row>
    <row r="85" spans="1:13" ht="12.9" x14ac:dyDescent="0.35">
      <c r="B85" s="229"/>
    </row>
    <row r="86" spans="1:13" x14ac:dyDescent="0.3">
      <c r="B86" s="230"/>
    </row>
    <row r="87" spans="1:13" x14ac:dyDescent="0.3">
      <c r="C87" s="274"/>
      <c r="D87" s="274"/>
      <c r="E87" s="274"/>
      <c r="F87" s="274"/>
      <c r="G87" s="274"/>
      <c r="H87" s="274"/>
      <c r="I87" s="274"/>
      <c r="J87" s="274"/>
    </row>
    <row r="88" spans="1:13" x14ac:dyDescent="0.3">
      <c r="C88" s="287"/>
      <c r="D88" s="287"/>
      <c r="E88" s="287"/>
      <c r="F88" s="288"/>
      <c r="G88" s="288"/>
      <c r="H88" s="288"/>
      <c r="I88" s="288"/>
      <c r="J88" s="288"/>
    </row>
    <row r="89" spans="1:13" x14ac:dyDescent="0.3">
      <c r="B89" s="275"/>
      <c r="C89" s="287"/>
      <c r="D89" s="287"/>
      <c r="E89" s="287"/>
      <c r="F89" s="288"/>
      <c r="G89" s="288"/>
      <c r="H89" s="288"/>
      <c r="I89" s="288"/>
      <c r="J89" s="288"/>
      <c r="L89" s="276"/>
      <c r="M89" s="276"/>
    </row>
    <row r="90" spans="1:13" x14ac:dyDescent="0.3">
      <c r="B90" s="277"/>
      <c r="C90" s="287"/>
      <c r="D90" s="287"/>
      <c r="E90" s="288"/>
      <c r="F90" s="287"/>
      <c r="G90" s="288"/>
      <c r="H90" s="288"/>
      <c r="I90" s="288"/>
      <c r="J90" s="287"/>
      <c r="L90" s="276"/>
      <c r="M90" s="276"/>
    </row>
    <row r="91" spans="1:13" x14ac:dyDescent="0.3">
      <c r="B91" s="277"/>
      <c r="C91" s="287"/>
      <c r="D91" s="287"/>
      <c r="E91" s="288"/>
      <c r="F91" s="287"/>
      <c r="G91" s="287"/>
      <c r="H91" s="287"/>
      <c r="I91" s="287"/>
      <c r="J91" s="287"/>
      <c r="L91" s="276"/>
      <c r="M91" s="276"/>
    </row>
    <row r="92" spans="1:13" x14ac:dyDescent="0.3">
      <c r="B92" s="280"/>
      <c r="C92" s="287"/>
      <c r="D92" s="287"/>
      <c r="E92" s="287"/>
      <c r="F92" s="287"/>
      <c r="G92" s="287"/>
      <c r="H92" s="287"/>
      <c r="I92" s="287"/>
      <c r="J92" s="287"/>
      <c r="L92" s="276"/>
      <c r="M92" s="276"/>
    </row>
    <row r="93" spans="1:13" x14ac:dyDescent="0.3">
      <c r="B93" s="282"/>
      <c r="C93" s="288"/>
      <c r="D93" s="288"/>
      <c r="E93" s="287"/>
      <c r="F93" s="287"/>
      <c r="G93" s="287"/>
      <c r="H93" s="287"/>
      <c r="I93" s="287"/>
      <c r="J93" s="287"/>
      <c r="L93" s="276"/>
      <c r="M93" s="276"/>
    </row>
    <row r="94" spans="1:13" x14ac:dyDescent="0.3">
      <c r="B94" s="282"/>
      <c r="C94" s="288"/>
      <c r="D94" s="288"/>
      <c r="E94" s="287"/>
      <c r="F94" s="287"/>
      <c r="G94" s="287"/>
      <c r="H94" s="287"/>
      <c r="I94" s="287"/>
      <c r="J94" s="287"/>
      <c r="L94" s="276"/>
      <c r="M94" s="276"/>
    </row>
    <row r="95" spans="1:13" x14ac:dyDescent="0.3">
      <c r="C95" s="288"/>
      <c r="D95" s="288"/>
      <c r="E95" s="287"/>
      <c r="F95" s="287"/>
      <c r="G95" s="287"/>
      <c r="H95" s="287"/>
      <c r="I95" s="287"/>
      <c r="J95" s="287"/>
      <c r="L95" s="276"/>
      <c r="M95" s="276"/>
    </row>
    <row r="96" spans="1:13" x14ac:dyDescent="0.3">
      <c r="B96" s="275"/>
      <c r="C96" s="288"/>
      <c r="D96" s="288"/>
      <c r="E96" s="287"/>
      <c r="F96" s="288"/>
      <c r="G96" s="288"/>
      <c r="H96" s="288"/>
      <c r="I96" s="288"/>
      <c r="J96" s="288"/>
      <c r="L96" s="276"/>
      <c r="M96" s="276"/>
    </row>
    <row r="97" spans="2:13" x14ac:dyDescent="0.3">
      <c r="B97" s="277"/>
      <c r="C97" s="287"/>
      <c r="D97" s="287"/>
      <c r="E97" s="288"/>
      <c r="F97" s="287"/>
      <c r="G97" s="287"/>
      <c r="H97" s="287"/>
      <c r="I97" s="287"/>
      <c r="J97" s="287"/>
      <c r="L97" s="276"/>
      <c r="M97" s="276"/>
    </row>
    <row r="98" spans="2:13" x14ac:dyDescent="0.3">
      <c r="B98" s="277"/>
      <c r="C98" s="287"/>
      <c r="D98" s="287"/>
      <c r="E98" s="288"/>
      <c r="F98" s="287"/>
      <c r="G98" s="287"/>
      <c r="H98" s="287"/>
      <c r="I98" s="287"/>
      <c r="J98" s="287"/>
      <c r="L98" s="276"/>
      <c r="M98" s="276"/>
    </row>
    <row r="99" spans="2:13" x14ac:dyDescent="0.3">
      <c r="C99" s="287"/>
      <c r="D99" s="287"/>
      <c r="E99" s="288"/>
      <c r="F99" s="287"/>
      <c r="G99" s="287"/>
      <c r="H99" s="287"/>
      <c r="I99" s="287"/>
      <c r="J99" s="287"/>
      <c r="L99" s="276"/>
      <c r="M99" s="276"/>
    </row>
    <row r="102" spans="2:13" x14ac:dyDescent="0.3">
      <c r="B102" s="230"/>
    </row>
    <row r="103" spans="2:13" ht="12.9" x14ac:dyDescent="0.35">
      <c r="B103" s="229"/>
    </row>
    <row r="105" spans="2:13" x14ac:dyDescent="0.3">
      <c r="C105" s="274"/>
      <c r="D105" s="274"/>
      <c r="E105" s="274"/>
      <c r="F105" s="274"/>
      <c r="H105" s="230"/>
      <c r="I105" s="274"/>
      <c r="J105" s="274"/>
    </row>
    <row r="106" spans="2:13" x14ac:dyDescent="0.3">
      <c r="F106" s="284"/>
    </row>
    <row r="107" spans="2:13" x14ac:dyDescent="0.3">
      <c r="B107" s="275"/>
      <c r="C107" s="288"/>
      <c r="D107" s="288"/>
      <c r="E107" s="288"/>
      <c r="F107" s="278"/>
      <c r="H107" s="285"/>
    </row>
    <row r="108" spans="2:13" x14ac:dyDescent="0.3">
      <c r="B108" s="277"/>
      <c r="C108" s="288"/>
      <c r="D108" s="288"/>
      <c r="E108" s="288"/>
      <c r="F108" s="279"/>
      <c r="H108" s="271"/>
      <c r="I108" s="289"/>
      <c r="J108" s="289"/>
      <c r="K108" s="233"/>
    </row>
    <row r="109" spans="2:13" x14ac:dyDescent="0.3">
      <c r="B109" s="277"/>
      <c r="C109" s="288"/>
      <c r="D109" s="288"/>
      <c r="E109" s="288"/>
      <c r="F109" s="279"/>
      <c r="H109" s="271"/>
      <c r="I109" s="289"/>
      <c r="J109" s="289"/>
      <c r="K109" s="233"/>
    </row>
    <row r="110" spans="2:13" x14ac:dyDescent="0.3">
      <c r="C110" s="288"/>
      <c r="D110" s="288"/>
      <c r="E110" s="288"/>
      <c r="F110" s="279"/>
      <c r="H110" s="271"/>
      <c r="I110" s="286"/>
      <c r="J110" s="286"/>
      <c r="K110" s="233"/>
    </row>
    <row r="111" spans="2:13" x14ac:dyDescent="0.3">
      <c r="B111" s="275"/>
      <c r="C111" s="288"/>
      <c r="D111" s="288"/>
      <c r="E111" s="288"/>
      <c r="F111" s="279"/>
      <c r="H111" s="285"/>
      <c r="I111" s="267"/>
      <c r="J111" s="267"/>
    </row>
    <row r="112" spans="2:13" x14ac:dyDescent="0.3">
      <c r="B112" s="277"/>
      <c r="C112" s="288"/>
      <c r="D112" s="288"/>
      <c r="E112" s="288"/>
      <c r="F112" s="279"/>
      <c r="H112" s="271"/>
      <c r="I112" s="289"/>
      <c r="J112" s="289"/>
      <c r="K112" s="233"/>
    </row>
    <row r="113" spans="1:12" x14ac:dyDescent="0.3">
      <c r="B113" s="277"/>
      <c r="C113" s="288"/>
      <c r="D113" s="288"/>
      <c r="E113" s="288"/>
      <c r="F113" s="279"/>
    </row>
    <row r="114" spans="1:12" x14ac:dyDescent="0.3">
      <c r="C114" s="283"/>
      <c r="D114" s="278"/>
      <c r="E114" s="283"/>
      <c r="F114" s="278"/>
    </row>
    <row r="115" spans="1:12" x14ac:dyDescent="0.3">
      <c r="C115" s="283"/>
      <c r="D115" s="278"/>
      <c r="E115" s="283"/>
      <c r="F115" s="278"/>
    </row>
    <row r="117" spans="1:12" x14ac:dyDescent="0.3">
      <c r="A117" s="287"/>
      <c r="B117" s="230"/>
      <c r="C117" s="276"/>
      <c r="E117" s="276"/>
    </row>
    <row r="118" spans="1:12" x14ac:dyDescent="0.3">
      <c r="C118" s="276"/>
      <c r="E118" s="276"/>
    </row>
    <row r="119" spans="1:12" x14ac:dyDescent="0.3">
      <c r="C119" s="274"/>
      <c r="D119" s="274"/>
      <c r="E119" s="274"/>
      <c r="F119" s="274"/>
      <c r="G119" s="274"/>
      <c r="H119" s="274"/>
      <c r="I119" s="274"/>
      <c r="J119" s="274"/>
    </row>
    <row r="121" spans="1:12" x14ac:dyDescent="0.3">
      <c r="B121" s="255"/>
      <c r="C121" s="290"/>
      <c r="D121" s="290"/>
      <c r="E121" s="291"/>
      <c r="F121" s="290"/>
      <c r="G121" s="290"/>
      <c r="H121" s="290"/>
      <c r="I121" s="290"/>
      <c r="J121" s="290"/>
    </row>
    <row r="122" spans="1:12" ht="15" x14ac:dyDescent="0.6">
      <c r="B122" s="255"/>
      <c r="C122" s="266"/>
      <c r="D122" s="266"/>
      <c r="E122" s="266"/>
      <c r="F122" s="266"/>
      <c r="G122" s="266"/>
      <c r="H122" s="266"/>
      <c r="I122" s="266"/>
      <c r="J122" s="266"/>
    </row>
    <row r="123" spans="1:12" x14ac:dyDescent="0.3">
      <c r="B123" s="255"/>
      <c r="C123" s="265"/>
      <c r="D123" s="265"/>
      <c r="E123" s="265"/>
      <c r="F123" s="265"/>
      <c r="G123" s="265"/>
      <c r="H123" s="265"/>
      <c r="I123" s="265"/>
      <c r="J123" s="265"/>
    </row>
    <row r="124" spans="1:12" x14ac:dyDescent="0.3">
      <c r="B124" s="255"/>
      <c r="C124" s="265"/>
      <c r="D124" s="265"/>
      <c r="E124" s="265"/>
      <c r="F124" s="265"/>
      <c r="G124" s="265"/>
      <c r="H124" s="265"/>
      <c r="I124" s="265"/>
      <c r="J124" s="265"/>
      <c r="K124" s="265"/>
      <c r="L124" s="265"/>
    </row>
    <row r="125" spans="1:12" x14ac:dyDescent="0.3">
      <c r="B125" s="255"/>
      <c r="C125" s="265"/>
      <c r="D125" s="265"/>
      <c r="E125" s="265"/>
      <c r="F125" s="265"/>
      <c r="G125" s="265"/>
      <c r="H125" s="265"/>
      <c r="I125" s="265"/>
      <c r="J125" s="265"/>
      <c r="K125" s="265"/>
      <c r="L125" s="265"/>
    </row>
    <row r="126" spans="1:12" x14ac:dyDescent="0.3">
      <c r="B126" s="255"/>
      <c r="C126" s="274"/>
      <c r="D126" s="274"/>
      <c r="F126" s="274"/>
      <c r="G126" s="274"/>
      <c r="H126" s="265"/>
      <c r="I126" s="265"/>
      <c r="J126" s="265"/>
      <c r="K126" s="265"/>
      <c r="L126" s="265"/>
    </row>
    <row r="127" spans="1:12" x14ac:dyDescent="0.3">
      <c r="B127" s="255"/>
      <c r="C127" s="274"/>
      <c r="D127" s="274"/>
      <c r="F127" s="274"/>
      <c r="G127" s="274"/>
      <c r="H127" s="265"/>
      <c r="I127" s="265"/>
      <c r="J127" s="265"/>
      <c r="K127" s="265"/>
      <c r="L127" s="265"/>
    </row>
    <row r="128" spans="1:12" x14ac:dyDescent="0.3">
      <c r="B128" s="255"/>
      <c r="G128" s="265"/>
      <c r="H128" s="265"/>
      <c r="I128" s="265"/>
      <c r="J128" s="265"/>
      <c r="K128" s="265"/>
      <c r="L128" s="265"/>
    </row>
    <row r="129" spans="2:12" x14ac:dyDescent="0.3">
      <c r="B129" s="255"/>
      <c r="C129" s="291"/>
      <c r="D129" s="291"/>
      <c r="F129" s="291"/>
      <c r="G129" s="291"/>
      <c r="H129" s="265"/>
      <c r="I129" s="265"/>
      <c r="J129" s="265"/>
      <c r="K129" s="265"/>
      <c r="L129" s="265"/>
    </row>
    <row r="130" spans="2:12" ht="15" x14ac:dyDescent="0.6">
      <c r="B130" s="255"/>
      <c r="C130" s="292"/>
      <c r="D130" s="292"/>
      <c r="F130" s="292"/>
      <c r="G130" s="292"/>
      <c r="H130" s="265"/>
      <c r="I130" s="265"/>
      <c r="J130" s="265"/>
      <c r="K130" s="265"/>
      <c r="L130" s="265"/>
    </row>
    <row r="131" spans="2:12" x14ac:dyDescent="0.3">
      <c r="B131" s="255"/>
      <c r="C131" s="265"/>
      <c r="D131" s="265"/>
      <c r="F131" s="265"/>
      <c r="G131" s="265"/>
      <c r="H131" s="265"/>
      <c r="I131" s="265"/>
      <c r="J131" s="265"/>
      <c r="K131" s="265"/>
      <c r="L131" s="265"/>
    </row>
    <row r="132" spans="2:12" x14ac:dyDescent="0.3">
      <c r="B132" s="255"/>
      <c r="C132" s="265"/>
      <c r="F132" s="265"/>
      <c r="G132" s="265"/>
      <c r="H132" s="265"/>
      <c r="I132" s="265"/>
      <c r="J132" s="265"/>
      <c r="K132" s="265"/>
      <c r="L132" s="265"/>
    </row>
    <row r="133" spans="2:12" x14ac:dyDescent="0.3">
      <c r="B133" s="255"/>
      <c r="C133" s="265"/>
      <c r="D133" s="265"/>
      <c r="E133" s="265"/>
      <c r="F133" s="265"/>
      <c r="G133" s="265"/>
      <c r="H133" s="265"/>
      <c r="I133" s="265"/>
      <c r="J133" s="265"/>
      <c r="K133" s="265"/>
      <c r="L133" s="265"/>
    </row>
    <row r="134" spans="2:12" x14ac:dyDescent="0.3">
      <c r="B134" s="255"/>
      <c r="C134" s="274"/>
      <c r="D134" s="274"/>
      <c r="E134" s="274"/>
      <c r="F134" s="265"/>
      <c r="G134" s="265"/>
      <c r="H134" s="265"/>
      <c r="I134" s="265"/>
      <c r="J134" s="265"/>
      <c r="K134" s="265"/>
      <c r="L134" s="265"/>
    </row>
    <row r="135" spans="2:12" x14ac:dyDescent="0.3">
      <c r="B135" s="255"/>
      <c r="C135" s="265"/>
      <c r="D135" s="265"/>
      <c r="E135" s="265"/>
      <c r="F135" s="265"/>
      <c r="G135" s="265"/>
      <c r="H135" s="265"/>
      <c r="I135" s="265"/>
      <c r="J135" s="265"/>
      <c r="K135" s="265"/>
      <c r="L135" s="265"/>
    </row>
    <row r="136" spans="2:12" ht="15" x14ac:dyDescent="0.6">
      <c r="B136" s="255"/>
      <c r="C136" s="272"/>
      <c r="D136" s="272"/>
      <c r="E136" s="272"/>
    </row>
    <row r="137" spans="2:12" x14ac:dyDescent="0.3">
      <c r="B137" s="255"/>
      <c r="C137" s="265"/>
      <c r="D137" s="265"/>
      <c r="E137" s="293"/>
    </row>
    <row r="138" spans="2:12" x14ac:dyDescent="0.3">
      <c r="B138" s="255"/>
      <c r="C138" s="276"/>
      <c r="E138" s="276"/>
    </row>
    <row r="139" spans="2:12" x14ac:dyDescent="0.3">
      <c r="C139" s="274"/>
      <c r="D139" s="274"/>
      <c r="E139" s="274"/>
      <c r="F139" s="274"/>
      <c r="G139" s="274"/>
      <c r="H139" s="274"/>
      <c r="I139" s="274"/>
      <c r="J139" s="274"/>
      <c r="K139" s="274"/>
      <c r="L139" s="274"/>
    </row>
    <row r="141" spans="2:12" x14ac:dyDescent="0.3">
      <c r="B141" s="255"/>
      <c r="C141" s="265"/>
    </row>
    <row r="142" spans="2:12" ht="15" x14ac:dyDescent="0.6">
      <c r="B142" s="255"/>
      <c r="C142" s="272"/>
    </row>
    <row r="143" spans="2:12" x14ac:dyDescent="0.3">
      <c r="B143" s="255"/>
      <c r="C143" s="265"/>
    </row>
    <row r="144" spans="2:12" x14ac:dyDescent="0.3">
      <c r="C144" s="276"/>
    </row>
    <row r="145" spans="1:10" x14ac:dyDescent="0.3">
      <c r="B145" s="282"/>
      <c r="C145" s="255"/>
    </row>
    <row r="146" spans="1:10" x14ac:dyDescent="0.3">
      <c r="B146" s="255"/>
      <c r="C146" s="265"/>
    </row>
    <row r="147" spans="1:10" ht="15" x14ac:dyDescent="0.6">
      <c r="B147" s="255"/>
      <c r="C147" s="272"/>
    </row>
    <row r="148" spans="1:10" x14ac:dyDescent="0.3">
      <c r="B148" s="255"/>
      <c r="C148" s="265"/>
    </row>
    <row r="153" spans="1:10" x14ac:dyDescent="0.3">
      <c r="A153" s="287"/>
      <c r="B153" s="270"/>
      <c r="C153" s="276"/>
      <c r="E153" s="276"/>
    </row>
    <row r="154" spans="1:10" ht="12.9" x14ac:dyDescent="0.35">
      <c r="B154" s="229"/>
    </row>
    <row r="156" spans="1:10" x14ac:dyDescent="0.3">
      <c r="B156" s="230"/>
    </row>
    <row r="157" spans="1:10" ht="12.9" x14ac:dyDescent="0.35">
      <c r="B157" s="229"/>
    </row>
    <row r="158" spans="1:10" x14ac:dyDescent="0.3">
      <c r="B158" s="230"/>
    </row>
    <row r="159" spans="1:10" x14ac:dyDescent="0.3">
      <c r="C159" s="274"/>
      <c r="D159" s="274"/>
      <c r="E159" s="274"/>
      <c r="F159" s="274"/>
      <c r="G159" s="274"/>
      <c r="H159" s="274"/>
      <c r="I159" s="274"/>
      <c r="J159" s="274"/>
    </row>
    <row r="160" spans="1:10" x14ac:dyDescent="0.3">
      <c r="C160" s="287"/>
      <c r="D160" s="287"/>
      <c r="E160" s="287"/>
      <c r="F160" s="288"/>
      <c r="G160" s="288"/>
      <c r="H160" s="288"/>
      <c r="I160" s="288"/>
      <c r="J160" s="288"/>
    </row>
    <row r="161" spans="2:10" x14ac:dyDescent="0.3">
      <c r="B161" s="275"/>
      <c r="C161" s="287"/>
      <c r="D161" s="287"/>
      <c r="E161" s="287"/>
      <c r="F161" s="288"/>
      <c r="G161" s="288"/>
      <c r="H161" s="288"/>
      <c r="I161" s="288"/>
      <c r="J161" s="288"/>
    </row>
    <row r="162" spans="2:10" x14ac:dyDescent="0.3">
      <c r="B162" s="277"/>
      <c r="C162" s="287"/>
      <c r="D162" s="287"/>
      <c r="E162" s="288"/>
      <c r="G162" s="288"/>
      <c r="H162" s="288"/>
      <c r="I162" s="288"/>
      <c r="J162" s="287"/>
    </row>
    <row r="163" spans="2:10" x14ac:dyDescent="0.3">
      <c r="B163" s="277"/>
      <c r="C163" s="287"/>
      <c r="D163" s="287"/>
      <c r="E163" s="288"/>
      <c r="F163" s="287"/>
      <c r="G163" s="287"/>
      <c r="H163" s="287"/>
      <c r="I163" s="287"/>
      <c r="J163" s="287"/>
    </row>
    <row r="164" spans="2:10" x14ac:dyDescent="0.3">
      <c r="B164" s="280"/>
      <c r="C164" s="287"/>
      <c r="D164" s="287"/>
      <c r="E164" s="287"/>
      <c r="F164" s="287"/>
      <c r="G164" s="287"/>
      <c r="H164" s="287"/>
      <c r="I164" s="287"/>
      <c r="J164" s="287"/>
    </row>
    <row r="165" spans="2:10" x14ac:dyDescent="0.3">
      <c r="B165" s="282"/>
      <c r="C165" s="288"/>
      <c r="D165" s="288"/>
      <c r="E165" s="287"/>
      <c r="F165" s="287"/>
      <c r="G165" s="287"/>
      <c r="H165" s="287"/>
      <c r="I165" s="287"/>
      <c r="J165" s="287"/>
    </row>
    <row r="166" spans="2:10" x14ac:dyDescent="0.3">
      <c r="B166" s="282"/>
      <c r="C166" s="288"/>
      <c r="D166" s="288"/>
      <c r="E166" s="287"/>
      <c r="F166" s="287"/>
      <c r="G166" s="287"/>
      <c r="H166" s="287"/>
      <c r="I166" s="287"/>
      <c r="J166" s="287"/>
    </row>
    <row r="167" spans="2:10" x14ac:dyDescent="0.3">
      <c r="C167" s="288"/>
      <c r="D167" s="288"/>
      <c r="E167" s="287"/>
      <c r="F167" s="287"/>
      <c r="G167" s="287"/>
      <c r="H167" s="287"/>
      <c r="I167" s="287"/>
      <c r="J167" s="287"/>
    </row>
    <row r="168" spans="2:10" x14ac:dyDescent="0.3">
      <c r="B168" s="275"/>
      <c r="C168" s="288"/>
      <c r="D168" s="288"/>
      <c r="E168" s="287"/>
      <c r="F168" s="288"/>
      <c r="G168" s="288"/>
      <c r="H168" s="288"/>
      <c r="I168" s="288"/>
      <c r="J168" s="288"/>
    </row>
    <row r="169" spans="2:10" x14ac:dyDescent="0.3">
      <c r="B169" s="277"/>
      <c r="C169" s="287"/>
      <c r="D169" s="287"/>
      <c r="E169" s="288"/>
      <c r="F169" s="287"/>
      <c r="G169" s="287"/>
      <c r="H169" s="287"/>
      <c r="I169" s="287"/>
      <c r="J169" s="287"/>
    </row>
    <row r="170" spans="2:10" x14ac:dyDescent="0.3">
      <c r="B170" s="277"/>
      <c r="C170" s="287"/>
      <c r="D170" s="287"/>
      <c r="E170" s="288"/>
      <c r="F170" s="287"/>
      <c r="G170" s="287"/>
      <c r="H170" s="287"/>
      <c r="I170" s="287"/>
      <c r="J170" s="287"/>
    </row>
    <row r="171" spans="2:10" x14ac:dyDescent="0.3">
      <c r="C171" s="287"/>
      <c r="D171" s="287"/>
      <c r="E171" s="288"/>
      <c r="F171" s="287"/>
      <c r="G171" s="287"/>
      <c r="H171" s="287"/>
      <c r="I171" s="287"/>
      <c r="J171" s="287"/>
    </row>
    <row r="174" spans="2:10" x14ac:dyDescent="0.3">
      <c r="B174" s="230"/>
    </row>
    <row r="175" spans="2:10" ht="12.9" x14ac:dyDescent="0.35">
      <c r="B175" s="229"/>
    </row>
    <row r="177" spans="1:12" x14ac:dyDescent="0.3">
      <c r="C177" s="274"/>
      <c r="D177" s="274"/>
      <c r="E177" s="274"/>
      <c r="F177" s="274"/>
      <c r="H177" s="230"/>
      <c r="I177" s="274"/>
      <c r="J177" s="274"/>
    </row>
    <row r="178" spans="1:12" x14ac:dyDescent="0.3">
      <c r="F178" s="284"/>
    </row>
    <row r="179" spans="1:12" x14ac:dyDescent="0.3">
      <c r="B179" s="275"/>
      <c r="C179" s="288"/>
      <c r="D179" s="288"/>
      <c r="E179" s="288"/>
      <c r="F179" s="278"/>
      <c r="H179" s="285"/>
    </row>
    <row r="180" spans="1:12" x14ac:dyDescent="0.3">
      <c r="B180" s="277"/>
      <c r="C180" s="288"/>
      <c r="D180" s="288"/>
      <c r="E180" s="288"/>
      <c r="F180" s="279"/>
      <c r="H180" s="271"/>
      <c r="I180" s="294"/>
      <c r="J180" s="294"/>
    </row>
    <row r="181" spans="1:12" x14ac:dyDescent="0.3">
      <c r="B181" s="277"/>
      <c r="C181" s="288"/>
      <c r="D181" s="288"/>
      <c r="E181" s="288"/>
      <c r="F181" s="279"/>
      <c r="H181" s="271"/>
      <c r="I181" s="294"/>
      <c r="J181" s="294"/>
    </row>
    <row r="182" spans="1:12" x14ac:dyDescent="0.3">
      <c r="C182" s="288"/>
      <c r="D182" s="288"/>
      <c r="E182" s="288"/>
      <c r="F182" s="279"/>
      <c r="H182" s="271"/>
      <c r="I182" s="286"/>
      <c r="J182" s="286"/>
    </row>
    <row r="183" spans="1:12" x14ac:dyDescent="0.3">
      <c r="B183" s="275"/>
      <c r="C183" s="288"/>
      <c r="D183" s="288"/>
      <c r="E183" s="288"/>
      <c r="F183" s="279"/>
      <c r="H183" s="285"/>
      <c r="I183" s="267"/>
      <c r="J183" s="267"/>
    </row>
    <row r="184" spans="1:12" x14ac:dyDescent="0.3">
      <c r="B184" s="277"/>
      <c r="C184" s="288"/>
      <c r="D184" s="288"/>
      <c r="E184" s="288"/>
      <c r="F184" s="279"/>
      <c r="H184" s="271"/>
      <c r="I184" s="294"/>
      <c r="J184" s="294"/>
    </row>
    <row r="185" spans="1:12" x14ac:dyDescent="0.3">
      <c r="B185" s="277"/>
      <c r="C185" s="288"/>
      <c r="D185" s="288"/>
      <c r="E185" s="288"/>
      <c r="F185" s="279"/>
    </row>
    <row r="189" spans="1:12" x14ac:dyDescent="0.3">
      <c r="A189" s="287"/>
      <c r="B189" s="230"/>
      <c r="C189" s="276"/>
      <c r="E189" s="276"/>
    </row>
    <row r="190" spans="1:12" x14ac:dyDescent="0.3">
      <c r="C190" s="276"/>
      <c r="E190" s="276"/>
    </row>
    <row r="191" spans="1:12" x14ac:dyDescent="0.3">
      <c r="C191" s="274"/>
      <c r="D191" s="274"/>
      <c r="E191" s="274"/>
      <c r="F191" s="274"/>
      <c r="G191" s="274"/>
      <c r="H191" s="274"/>
      <c r="I191" s="274"/>
      <c r="J191" s="274"/>
      <c r="K191" s="274"/>
      <c r="L191" s="274"/>
    </row>
    <row r="193" spans="2:12" x14ac:dyDescent="0.3">
      <c r="B193" s="255"/>
      <c r="C193" s="290"/>
      <c r="D193" s="290"/>
      <c r="E193" s="291"/>
      <c r="F193" s="290"/>
      <c r="G193" s="290"/>
      <c r="H193" s="290"/>
      <c r="I193" s="290"/>
      <c r="J193" s="290"/>
      <c r="K193" s="291"/>
      <c r="L193" s="291"/>
    </row>
    <row r="194" spans="2:12" ht="15" x14ac:dyDescent="0.6">
      <c r="B194" s="255"/>
      <c r="C194" s="266"/>
      <c r="D194" s="266"/>
      <c r="E194" s="266"/>
      <c r="F194" s="266"/>
      <c r="G194" s="266"/>
      <c r="H194" s="266"/>
      <c r="I194" s="266"/>
      <c r="J194" s="266"/>
      <c r="K194" s="292"/>
      <c r="L194" s="292"/>
    </row>
    <row r="195" spans="2:12" x14ac:dyDescent="0.3">
      <c r="B195" s="255"/>
      <c r="C195" s="265"/>
      <c r="D195" s="265"/>
      <c r="E195" s="265"/>
      <c r="F195" s="265"/>
      <c r="G195" s="265"/>
      <c r="H195" s="265"/>
      <c r="I195" s="265"/>
      <c r="J195" s="265"/>
      <c r="K195" s="265"/>
      <c r="L195" s="265"/>
    </row>
    <row r="196" spans="2:12" x14ac:dyDescent="0.3">
      <c r="B196" s="255"/>
      <c r="C196" s="265"/>
      <c r="D196" s="265"/>
      <c r="E196" s="265"/>
      <c r="F196" s="265"/>
      <c r="G196" s="265"/>
      <c r="H196" s="265"/>
      <c r="I196" s="265"/>
      <c r="J196" s="265"/>
      <c r="K196" s="265"/>
      <c r="L196" s="265"/>
    </row>
    <row r="197" spans="2:12" x14ac:dyDescent="0.3">
      <c r="B197" s="255"/>
      <c r="C197" s="265"/>
      <c r="D197" s="265"/>
      <c r="E197" s="265"/>
      <c r="F197" s="265"/>
      <c r="G197" s="265"/>
      <c r="H197" s="265"/>
      <c r="I197" s="265"/>
      <c r="J197" s="265"/>
      <c r="K197" s="265"/>
      <c r="L197" s="265"/>
    </row>
    <row r="198" spans="2:12" ht="15" x14ac:dyDescent="0.6">
      <c r="B198" s="255"/>
      <c r="C198" s="272"/>
      <c r="E198" s="276"/>
    </row>
    <row r="199" spans="2:12" x14ac:dyDescent="0.3">
      <c r="B199" s="255"/>
      <c r="C199" s="265"/>
      <c r="E199" s="276"/>
    </row>
    <row r="200" spans="2:12" x14ac:dyDescent="0.3">
      <c r="B200" s="255"/>
      <c r="C200" s="276"/>
      <c r="E200" s="276"/>
    </row>
    <row r="201" spans="2:12" x14ac:dyDescent="0.3">
      <c r="C201" s="274"/>
      <c r="D201" s="274"/>
      <c r="E201" s="274"/>
      <c r="F201" s="274"/>
      <c r="G201" s="274"/>
      <c r="H201" s="274"/>
      <c r="I201" s="274"/>
      <c r="J201" s="274"/>
      <c r="K201" s="274"/>
      <c r="L201" s="274"/>
    </row>
    <row r="203" spans="2:12" x14ac:dyDescent="0.3">
      <c r="B203" s="255"/>
      <c r="C203" s="265"/>
    </row>
    <row r="204" spans="2:12" ht="15" x14ac:dyDescent="0.6">
      <c r="B204" s="255"/>
      <c r="C204" s="272"/>
    </row>
    <row r="205" spans="2:12" x14ac:dyDescent="0.3">
      <c r="B205" s="255"/>
      <c r="C205" s="265"/>
      <c r="D205" s="265"/>
      <c r="G205" s="255"/>
    </row>
    <row r="206" spans="2:12" x14ac:dyDescent="0.3">
      <c r="C206" s="276"/>
      <c r="E206" s="276"/>
      <c r="G206" s="255"/>
    </row>
    <row r="207" spans="2:12" x14ac:dyDescent="0.3">
      <c r="B207" s="282"/>
      <c r="C207" s="265"/>
      <c r="E207" s="295"/>
      <c r="G207" s="295"/>
    </row>
    <row r="208" spans="2:12" x14ac:dyDescent="0.3">
      <c r="B208" s="255"/>
      <c r="C208" s="265"/>
      <c r="E208" s="296"/>
    </row>
    <row r="209" spans="1:10" ht="15" x14ac:dyDescent="0.6">
      <c r="B209" s="255"/>
      <c r="C209" s="272"/>
      <c r="E209" s="297"/>
    </row>
    <row r="210" spans="1:10" x14ac:dyDescent="0.3">
      <c r="B210" s="255"/>
      <c r="C210" s="265"/>
      <c r="E210" s="296"/>
    </row>
    <row r="212" spans="1:10" x14ac:dyDescent="0.3">
      <c r="C212" s="298"/>
    </row>
    <row r="213" spans="1:10" outlineLevel="1" x14ac:dyDescent="0.3">
      <c r="A213" s="230"/>
    </row>
    <row r="214" spans="1:10" outlineLevel="1" x14ac:dyDescent="0.3">
      <c r="A214" s="287"/>
      <c r="B214" s="270"/>
      <c r="C214" s="276"/>
      <c r="E214" s="276"/>
    </row>
    <row r="215" spans="1:10" ht="12.9" outlineLevel="1" x14ac:dyDescent="0.35">
      <c r="B215" s="229"/>
    </row>
    <row r="216" spans="1:10" outlineLevel="1" x14ac:dyDescent="0.3">
      <c r="A216" s="287"/>
    </row>
    <row r="217" spans="1:10" outlineLevel="1" x14ac:dyDescent="0.3">
      <c r="B217" s="230"/>
    </row>
    <row r="218" spans="1:10" ht="12.9" outlineLevel="1" x14ac:dyDescent="0.35">
      <c r="B218" s="229"/>
    </row>
    <row r="219" spans="1:10" outlineLevel="1" x14ac:dyDescent="0.3">
      <c r="B219" s="230"/>
    </row>
    <row r="220" spans="1:10" outlineLevel="1" x14ac:dyDescent="0.3">
      <c r="C220" s="274"/>
      <c r="D220" s="274"/>
      <c r="E220" s="274"/>
      <c r="F220" s="274"/>
      <c r="G220" s="274"/>
      <c r="H220" s="274"/>
      <c r="I220" s="274"/>
      <c r="J220" s="274"/>
    </row>
    <row r="221" spans="1:10" outlineLevel="1" x14ac:dyDescent="0.3">
      <c r="C221" s="287"/>
      <c r="D221" s="287"/>
      <c r="E221" s="287"/>
      <c r="F221" s="288"/>
      <c r="G221" s="288"/>
      <c r="H221" s="288"/>
      <c r="I221" s="288"/>
      <c r="J221" s="288"/>
    </row>
    <row r="222" spans="1:10" outlineLevel="1" x14ac:dyDescent="0.3">
      <c r="B222" s="275"/>
      <c r="C222" s="287"/>
      <c r="D222" s="287"/>
      <c r="E222" s="287"/>
      <c r="F222" s="288"/>
      <c r="G222" s="288"/>
      <c r="H222" s="288"/>
      <c r="I222" s="288"/>
      <c r="J222" s="288"/>
    </row>
    <row r="223" spans="1:10" outlineLevel="1" x14ac:dyDescent="0.3">
      <c r="B223" s="277"/>
      <c r="C223" s="287"/>
      <c r="D223" s="287"/>
      <c r="E223" s="288"/>
    </row>
    <row r="224" spans="1:10" outlineLevel="1" x14ac:dyDescent="0.3">
      <c r="B224" s="277"/>
      <c r="C224" s="287"/>
      <c r="D224" s="287"/>
      <c r="E224" s="288"/>
      <c r="F224" s="287"/>
      <c r="G224" s="287"/>
      <c r="H224" s="287"/>
      <c r="I224" s="287"/>
      <c r="J224" s="287"/>
    </row>
    <row r="225" spans="2:10" outlineLevel="1" x14ac:dyDescent="0.3">
      <c r="B225" s="280"/>
      <c r="C225" s="287"/>
      <c r="D225" s="287"/>
      <c r="E225" s="287"/>
      <c r="F225" s="287"/>
      <c r="G225" s="287"/>
      <c r="H225" s="287"/>
      <c r="I225" s="287"/>
      <c r="J225" s="287"/>
    </row>
    <row r="226" spans="2:10" outlineLevel="1" x14ac:dyDescent="0.3">
      <c r="B226" s="282"/>
      <c r="C226" s="288"/>
      <c r="D226" s="288"/>
      <c r="E226" s="287"/>
      <c r="F226" s="287"/>
      <c r="G226" s="287"/>
      <c r="H226" s="287"/>
      <c r="I226" s="287"/>
      <c r="J226" s="287"/>
    </row>
    <row r="227" spans="2:10" outlineLevel="1" x14ac:dyDescent="0.3">
      <c r="B227" s="282"/>
      <c r="C227" s="288"/>
      <c r="D227" s="288"/>
      <c r="E227" s="287"/>
      <c r="F227" s="287"/>
      <c r="G227" s="287"/>
      <c r="H227" s="287"/>
      <c r="I227" s="287"/>
      <c r="J227" s="287"/>
    </row>
    <row r="228" spans="2:10" outlineLevel="1" x14ac:dyDescent="0.3">
      <c r="C228" s="288"/>
      <c r="D228" s="288"/>
      <c r="E228" s="287"/>
      <c r="F228" s="287"/>
      <c r="G228" s="287"/>
      <c r="H228" s="287"/>
      <c r="I228" s="287"/>
      <c r="J228" s="287"/>
    </row>
    <row r="229" spans="2:10" outlineLevel="1" x14ac:dyDescent="0.3">
      <c r="B229" s="275"/>
      <c r="C229" s="288"/>
      <c r="D229" s="288"/>
      <c r="E229" s="287"/>
      <c r="F229" s="288"/>
      <c r="G229" s="288"/>
      <c r="H229" s="288"/>
      <c r="I229" s="288"/>
      <c r="J229" s="288"/>
    </row>
    <row r="230" spans="2:10" outlineLevel="1" x14ac:dyDescent="0.3">
      <c r="B230" s="277"/>
      <c r="C230" s="287"/>
      <c r="D230" s="287"/>
      <c r="E230" s="288"/>
      <c r="F230" s="287"/>
      <c r="G230" s="287"/>
      <c r="H230" s="287"/>
      <c r="I230" s="287"/>
      <c r="J230" s="287"/>
    </row>
    <row r="231" spans="2:10" outlineLevel="1" x14ac:dyDescent="0.3">
      <c r="B231" s="277"/>
      <c r="C231" s="287"/>
      <c r="D231" s="287"/>
      <c r="E231" s="288"/>
      <c r="F231" s="287"/>
      <c r="G231" s="287"/>
      <c r="H231" s="287"/>
      <c r="I231" s="287"/>
      <c r="J231" s="287"/>
    </row>
    <row r="232" spans="2:10" outlineLevel="1" x14ac:dyDescent="0.3">
      <c r="C232" s="287"/>
      <c r="D232" s="287"/>
      <c r="E232" s="288"/>
      <c r="F232" s="287"/>
      <c r="G232" s="287"/>
      <c r="H232" s="287"/>
      <c r="I232" s="287"/>
      <c r="J232" s="287"/>
    </row>
    <row r="233" spans="2:10" outlineLevel="1" x14ac:dyDescent="0.3"/>
    <row r="234" spans="2:10" outlineLevel="1" x14ac:dyDescent="0.3"/>
    <row r="235" spans="2:10" outlineLevel="1" x14ac:dyDescent="0.3">
      <c r="B235" s="230"/>
    </row>
    <row r="236" spans="2:10" ht="12.9" outlineLevel="1" x14ac:dyDescent="0.35">
      <c r="B236" s="229"/>
    </row>
    <row r="237" spans="2:10" outlineLevel="1" x14ac:dyDescent="0.3"/>
    <row r="238" spans="2:10" outlineLevel="1" x14ac:dyDescent="0.3">
      <c r="C238" s="274"/>
      <c r="D238" s="274"/>
      <c r="E238" s="274"/>
      <c r="F238" s="274"/>
      <c r="H238" s="230"/>
      <c r="I238" s="274"/>
      <c r="J238" s="274"/>
    </row>
    <row r="239" spans="2:10" outlineLevel="1" x14ac:dyDescent="0.3">
      <c r="F239" s="284"/>
    </row>
    <row r="240" spans="2:10" outlineLevel="1" x14ac:dyDescent="0.3">
      <c r="B240" s="275"/>
      <c r="C240" s="288"/>
      <c r="D240" s="288"/>
      <c r="E240" s="288"/>
      <c r="F240" s="278"/>
      <c r="H240" s="285"/>
    </row>
    <row r="241" spans="1:12" outlineLevel="1" x14ac:dyDescent="0.3">
      <c r="B241" s="277"/>
      <c r="C241" s="288"/>
      <c r="D241" s="288"/>
      <c r="E241" s="288"/>
      <c r="F241" s="279"/>
      <c r="H241" s="271"/>
      <c r="I241" s="294"/>
      <c r="J241" s="294"/>
    </row>
    <row r="242" spans="1:12" outlineLevel="1" x14ac:dyDescent="0.3">
      <c r="B242" s="277"/>
      <c r="C242" s="288"/>
      <c r="D242" s="288"/>
      <c r="E242" s="288"/>
      <c r="F242" s="279"/>
      <c r="H242" s="271"/>
      <c r="I242" s="294"/>
      <c r="J242" s="294"/>
    </row>
    <row r="243" spans="1:12" outlineLevel="1" x14ac:dyDescent="0.3">
      <c r="C243" s="288"/>
      <c r="D243" s="288"/>
      <c r="E243" s="288"/>
      <c r="F243" s="279"/>
      <c r="H243" s="271"/>
      <c r="I243" s="286"/>
      <c r="J243" s="286"/>
    </row>
    <row r="244" spans="1:12" outlineLevel="1" x14ac:dyDescent="0.3">
      <c r="B244" s="275"/>
      <c r="C244" s="288"/>
      <c r="D244" s="288"/>
      <c r="E244" s="288"/>
      <c r="F244" s="279"/>
      <c r="H244" s="285"/>
      <c r="I244" s="267"/>
      <c r="J244" s="267"/>
    </row>
    <row r="245" spans="1:12" outlineLevel="1" x14ac:dyDescent="0.3">
      <c r="B245" s="277"/>
      <c r="C245" s="288"/>
      <c r="D245" s="288"/>
      <c r="E245" s="288"/>
      <c r="F245" s="279"/>
      <c r="H245" s="271"/>
      <c r="I245" s="294"/>
      <c r="J245" s="294"/>
    </row>
    <row r="246" spans="1:12" outlineLevel="1" x14ac:dyDescent="0.3">
      <c r="B246" s="277"/>
      <c r="C246" s="288"/>
      <c r="D246" s="288"/>
      <c r="E246" s="288"/>
      <c r="F246" s="279"/>
    </row>
    <row r="247" spans="1:12" outlineLevel="1" x14ac:dyDescent="0.3"/>
    <row r="248" spans="1:12" outlineLevel="1" x14ac:dyDescent="0.3"/>
    <row r="249" spans="1:12" outlineLevel="1" x14ac:dyDescent="0.3"/>
    <row r="250" spans="1:12" outlineLevel="1" x14ac:dyDescent="0.3"/>
    <row r="251" spans="1:12" outlineLevel="1" x14ac:dyDescent="0.3">
      <c r="A251" s="287"/>
      <c r="B251" s="230"/>
      <c r="C251" s="276"/>
      <c r="E251" s="276"/>
    </row>
    <row r="252" spans="1:12" outlineLevel="1" x14ac:dyDescent="0.3">
      <c r="C252" s="276"/>
      <c r="E252" s="276"/>
    </row>
    <row r="253" spans="1:12" outlineLevel="1" x14ac:dyDescent="0.3">
      <c r="C253" s="274"/>
      <c r="D253" s="274"/>
      <c r="E253" s="274"/>
      <c r="F253" s="274"/>
      <c r="G253" s="274"/>
      <c r="H253" s="274"/>
      <c r="I253" s="274"/>
      <c r="J253" s="274"/>
      <c r="K253" s="274"/>
      <c r="L253" s="274"/>
    </row>
    <row r="254" spans="1:12" outlineLevel="1" x14ac:dyDescent="0.3"/>
    <row r="255" spans="1:12" outlineLevel="1" x14ac:dyDescent="0.3">
      <c r="B255" s="255"/>
      <c r="C255" s="290"/>
      <c r="D255" s="290"/>
      <c r="E255" s="291"/>
      <c r="F255" s="290"/>
      <c r="G255" s="290"/>
      <c r="H255" s="290"/>
      <c r="I255" s="290"/>
      <c r="J255" s="290"/>
      <c r="K255" s="291"/>
      <c r="L255" s="291"/>
    </row>
    <row r="256" spans="1:12" ht="15" outlineLevel="1" x14ac:dyDescent="0.6">
      <c r="B256" s="255"/>
      <c r="C256" s="266"/>
      <c r="D256" s="266"/>
      <c r="E256" s="266"/>
      <c r="F256" s="299"/>
      <c r="G256" s="299"/>
      <c r="H256" s="299"/>
      <c r="I256" s="299"/>
      <c r="J256" s="299"/>
      <c r="K256" s="292"/>
      <c r="L256" s="292"/>
    </row>
    <row r="257" spans="2:12" outlineLevel="1" x14ac:dyDescent="0.3">
      <c r="B257" s="255"/>
      <c r="C257" s="265"/>
      <c r="D257" s="265"/>
      <c r="E257" s="265"/>
      <c r="F257" s="265"/>
      <c r="G257" s="265"/>
      <c r="H257" s="265"/>
      <c r="I257" s="265"/>
      <c r="J257" s="265"/>
      <c r="K257" s="265"/>
      <c r="L257" s="265"/>
    </row>
    <row r="258" spans="2:12" outlineLevel="1" x14ac:dyDescent="0.3">
      <c r="B258" s="255"/>
      <c r="C258" s="265"/>
      <c r="D258" s="265"/>
      <c r="E258" s="265"/>
      <c r="F258" s="265"/>
      <c r="G258" s="265"/>
      <c r="H258" s="265"/>
      <c r="I258" s="265"/>
      <c r="J258" s="265"/>
      <c r="K258" s="265"/>
      <c r="L258" s="265"/>
    </row>
    <row r="259" spans="2:12" outlineLevel="1" x14ac:dyDescent="0.3">
      <c r="B259" s="255"/>
      <c r="C259" s="265"/>
      <c r="D259" s="265"/>
      <c r="E259" s="265"/>
      <c r="F259" s="265"/>
      <c r="G259" s="265"/>
      <c r="H259" s="265"/>
      <c r="I259" s="265"/>
      <c r="J259" s="265"/>
      <c r="K259" s="265"/>
      <c r="L259" s="265"/>
    </row>
    <row r="260" spans="2:12" ht="15" outlineLevel="1" x14ac:dyDescent="0.6">
      <c r="B260" s="255"/>
      <c r="C260" s="272"/>
      <c r="E260" s="276"/>
    </row>
    <row r="261" spans="2:12" outlineLevel="1" x14ac:dyDescent="0.3">
      <c r="B261" s="255"/>
      <c r="C261" s="265"/>
      <c r="E261" s="276"/>
    </row>
    <row r="262" spans="2:12" outlineLevel="1" x14ac:dyDescent="0.3">
      <c r="B262" s="255"/>
      <c r="C262" s="276"/>
      <c r="E262" s="276"/>
    </row>
    <row r="263" spans="2:12" outlineLevel="1" x14ac:dyDescent="0.3">
      <c r="C263" s="274"/>
      <c r="D263" s="274"/>
      <c r="E263" s="274"/>
      <c r="F263" s="274"/>
      <c r="G263" s="274"/>
      <c r="H263" s="274"/>
      <c r="I263" s="274"/>
      <c r="J263" s="274"/>
      <c r="K263" s="274"/>
      <c r="L263" s="274"/>
    </row>
    <row r="264" spans="2:12" outlineLevel="1" x14ac:dyDescent="0.3"/>
    <row r="265" spans="2:12" outlineLevel="1" x14ac:dyDescent="0.3">
      <c r="C265" s="234"/>
      <c r="D265" s="234"/>
      <c r="E265" s="234"/>
    </row>
    <row r="266" spans="2:12" outlineLevel="1" x14ac:dyDescent="0.3">
      <c r="B266" s="255"/>
      <c r="C266" s="265"/>
      <c r="D266" s="298"/>
      <c r="E266" s="265"/>
    </row>
    <row r="267" spans="2:12" outlineLevel="1" x14ac:dyDescent="0.3">
      <c r="B267" s="255"/>
      <c r="C267" s="300"/>
      <c r="D267" s="301"/>
      <c r="E267" s="300"/>
    </row>
    <row r="268" spans="2:12" outlineLevel="1" x14ac:dyDescent="0.3">
      <c r="B268" s="255"/>
      <c r="C268" s="265"/>
      <c r="D268" s="265"/>
      <c r="E268" s="265"/>
      <c r="G268" s="255"/>
    </row>
    <row r="269" spans="2:12" outlineLevel="1" x14ac:dyDescent="0.3">
      <c r="C269" s="276"/>
      <c r="E269" s="276"/>
      <c r="G269" s="255"/>
    </row>
    <row r="270" spans="2:12" outlineLevel="1" x14ac:dyDescent="0.3">
      <c r="B270" s="282"/>
      <c r="C270" s="265"/>
      <c r="E270" s="295"/>
      <c r="G270" s="295"/>
    </row>
    <row r="271" spans="2:12" outlineLevel="1" x14ac:dyDescent="0.3">
      <c r="B271" s="255"/>
      <c r="C271" s="265"/>
      <c r="E271" s="296"/>
    </row>
    <row r="272" spans="2:12" outlineLevel="1" x14ac:dyDescent="0.3">
      <c r="B272" s="255"/>
      <c r="C272" s="300"/>
      <c r="E272" s="297"/>
    </row>
    <row r="273" spans="2:5" outlineLevel="1" x14ac:dyDescent="0.3">
      <c r="B273" s="255"/>
      <c r="C273" s="265"/>
      <c r="E273" s="296"/>
    </row>
    <row r="274" spans="2:5" outlineLevel="1" x14ac:dyDescent="0.3"/>
  </sheetData>
  <pageMargins left="0.75" right="0.75" top="1" bottom="1" header="0.5" footer="0.5"/>
  <pageSetup scale="76" fitToHeight="0" orientation="landscape" r:id="rId1"/>
  <headerFooter alignWithMargins="0">
    <oddHeader>&amp;C&amp;"Arial,Bold"Public Service Electric and Gas Company Specific Addendum
Attachment 4</oddHeader>
    <oddFooter>&amp;C&amp;"Arial,Bold"Page 5 of 5</oddFooter>
  </headerFooter>
  <rowBreaks count="7" manualBreakCount="7">
    <brk id="33" max="9" man="1"/>
    <brk id="79" max="9" man="1"/>
    <brk id="115" max="9" man="1"/>
    <brk id="151" max="9" man="1"/>
    <brk id="187" max="9" man="1"/>
    <brk id="212" max="11" man="1"/>
    <brk id="250" max="1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pageSetUpPr fitToPage="1"/>
  </sheetPr>
  <dimension ref="A1:CH93"/>
  <sheetViews>
    <sheetView workbookViewId="0"/>
  </sheetViews>
  <sheetFormatPr defaultColWidth="15.4609375" defaultRowHeight="12.45" x14ac:dyDescent="0.3"/>
  <cols>
    <col min="1" max="2" width="9.07421875" style="89" customWidth="1"/>
    <col min="3" max="3" width="14.84375" style="89" customWidth="1"/>
    <col min="4" max="4" width="41.53515625" style="89" customWidth="1"/>
    <col min="5" max="7" width="14.4609375" style="89" customWidth="1"/>
    <col min="8" max="21" width="15.4609375" style="89" customWidth="1"/>
    <col min="22" max="22" width="22.53515625" style="89" customWidth="1"/>
    <col min="23" max="83" width="15.4609375" style="89" customWidth="1"/>
    <col min="84" max="16384" width="15.4609375" style="89"/>
  </cols>
  <sheetData>
    <row r="1" spans="1:86" s="95" customFormat="1" x14ac:dyDescent="0.3">
      <c r="D1" s="97" t="s">
        <v>403</v>
      </c>
      <c r="E1" s="93">
        <v>1</v>
      </c>
      <c r="F1" s="179"/>
      <c r="G1" s="179"/>
      <c r="H1" s="179"/>
    </row>
    <row r="2" spans="1:86" s="95" customFormat="1" ht="12.9" thickBot="1" x14ac:dyDescent="0.35">
      <c r="D2" s="97"/>
      <c r="E2" s="94">
        <v>2</v>
      </c>
    </row>
    <row r="3" spans="1:86" s="96" customFormat="1" x14ac:dyDescent="0.3">
      <c r="E3" s="98"/>
      <c r="F3" s="98">
        <v>1</v>
      </c>
      <c r="G3" s="98">
        <v>2</v>
      </c>
      <c r="H3" s="96">
        <v>3</v>
      </c>
      <c r="I3" s="98">
        <v>4</v>
      </c>
      <c r="J3" s="98">
        <v>5</v>
      </c>
      <c r="K3" s="96">
        <v>6</v>
      </c>
      <c r="L3" s="98">
        <v>7</v>
      </c>
      <c r="M3" s="98">
        <v>8</v>
      </c>
      <c r="N3" s="96">
        <v>9</v>
      </c>
      <c r="O3" s="98">
        <v>10</v>
      </c>
      <c r="P3" s="98">
        <v>11</v>
      </c>
      <c r="Q3" s="96">
        <v>12</v>
      </c>
      <c r="R3" s="98">
        <v>13</v>
      </c>
      <c r="S3" s="98">
        <v>14</v>
      </c>
      <c r="T3" s="96">
        <v>15</v>
      </c>
      <c r="U3" s="98">
        <v>16</v>
      </c>
      <c r="V3" s="98">
        <v>17</v>
      </c>
      <c r="W3" s="96">
        <v>18</v>
      </c>
      <c r="X3" s="98">
        <v>19</v>
      </c>
      <c r="Y3" s="98">
        <v>20</v>
      </c>
      <c r="Z3" s="96">
        <v>21</v>
      </c>
      <c r="AA3" s="98">
        <v>22</v>
      </c>
      <c r="AB3" s="98">
        <v>23</v>
      </c>
      <c r="AC3" s="96">
        <v>24</v>
      </c>
      <c r="AD3" s="98">
        <v>25</v>
      </c>
      <c r="AE3" s="98">
        <v>26</v>
      </c>
      <c r="AF3" s="96">
        <v>27</v>
      </c>
      <c r="AG3" s="98">
        <v>28</v>
      </c>
      <c r="AH3" s="98">
        <v>29</v>
      </c>
      <c r="AI3" s="96">
        <v>30</v>
      </c>
      <c r="AJ3" s="98">
        <v>31</v>
      </c>
      <c r="AK3" s="98">
        <v>32</v>
      </c>
      <c r="AL3" s="96">
        <v>33</v>
      </c>
      <c r="AM3" s="98">
        <v>34</v>
      </c>
      <c r="AN3" s="98">
        <v>35</v>
      </c>
      <c r="AO3" s="96">
        <v>36</v>
      </c>
      <c r="AP3" s="98">
        <v>37</v>
      </c>
      <c r="AQ3" s="98">
        <v>38</v>
      </c>
      <c r="AR3" s="96">
        <v>39</v>
      </c>
      <c r="AS3" s="98">
        <v>40</v>
      </c>
      <c r="AT3" s="98">
        <v>41</v>
      </c>
      <c r="AU3" s="96">
        <v>42</v>
      </c>
    </row>
    <row r="4" spans="1:86" s="101" customFormat="1" ht="68.25" customHeight="1" x14ac:dyDescent="0.4">
      <c r="D4" s="130" t="s">
        <v>417</v>
      </c>
      <c r="E4" s="136" t="s">
        <v>418</v>
      </c>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c r="AT4" s="171"/>
      <c r="AU4" s="171"/>
      <c r="AV4" s="171"/>
      <c r="AW4" s="171"/>
      <c r="AX4" s="171"/>
      <c r="AY4" s="171"/>
      <c r="AZ4" s="171"/>
      <c r="BA4" s="171"/>
      <c r="BB4" s="171"/>
      <c r="BC4" s="171"/>
      <c r="BD4" s="171"/>
      <c r="BE4" s="171"/>
      <c r="BF4" s="171"/>
      <c r="BG4" s="171"/>
      <c r="BH4" s="171"/>
      <c r="BI4" s="171"/>
      <c r="BJ4" s="171"/>
      <c r="BK4" s="171"/>
      <c r="BL4" s="171"/>
      <c r="BM4" s="171"/>
      <c r="BN4" s="171"/>
      <c r="BO4" s="171"/>
      <c r="BP4" s="171"/>
      <c r="BQ4" s="171"/>
      <c r="BR4" s="171"/>
      <c r="BS4" s="171"/>
      <c r="BT4" s="171"/>
      <c r="BU4" s="171"/>
      <c r="BV4" s="171"/>
      <c r="BW4" s="171"/>
      <c r="BX4" s="171"/>
      <c r="BY4" s="171"/>
      <c r="BZ4" s="171"/>
      <c r="CA4" s="171"/>
      <c r="CB4" s="171"/>
      <c r="CC4" s="171"/>
      <c r="CD4" s="171"/>
      <c r="CE4" s="171"/>
      <c r="CF4" s="171"/>
      <c r="CG4" s="171"/>
      <c r="CH4" s="171"/>
    </row>
    <row r="5" spans="1:86" s="132" customFormat="1" ht="24.9" x14ac:dyDescent="0.3">
      <c r="A5" s="91" t="s">
        <v>375</v>
      </c>
      <c r="B5" s="91" t="s">
        <v>422</v>
      </c>
      <c r="C5" s="91" t="s">
        <v>376</v>
      </c>
      <c r="D5" s="91" t="s">
        <v>377</v>
      </c>
      <c r="E5" s="91" t="s">
        <v>402</v>
      </c>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row>
    <row r="6" spans="1:86" x14ac:dyDescent="0.3">
      <c r="A6" s="89" t="s">
        <v>307</v>
      </c>
      <c r="B6" s="89" t="s">
        <v>423</v>
      </c>
      <c r="C6" s="89" t="s">
        <v>240</v>
      </c>
      <c r="D6" s="89" t="s">
        <v>355</v>
      </c>
      <c r="E6" s="99" t="e">
        <f t="shared" ref="E6:E69" si="0">(INDEX($F6:$XFD6,1,$E$2)-INDEX($F6:$XFD6,1,$E$1))/INDEX($F6:$XFD6,1,$E$1)</f>
        <v>#DIV/0!</v>
      </c>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1"/>
      <c r="BA6" s="151"/>
      <c r="BB6" s="151"/>
      <c r="BC6" s="151"/>
      <c r="BD6" s="151"/>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c r="CD6" s="151"/>
      <c r="CE6" s="151"/>
      <c r="CF6" s="151"/>
      <c r="CG6" s="151"/>
      <c r="CH6" s="151"/>
    </row>
    <row r="7" spans="1:86" x14ac:dyDescent="0.3">
      <c r="A7" s="89" t="s">
        <v>307</v>
      </c>
      <c r="B7" s="89" t="s">
        <v>423</v>
      </c>
      <c r="C7" s="89" t="s">
        <v>240</v>
      </c>
      <c r="D7" s="89" t="s">
        <v>356</v>
      </c>
      <c r="E7" s="99" t="e">
        <f t="shared" si="0"/>
        <v>#DIV/0!</v>
      </c>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c r="BX7" s="152"/>
      <c r="BY7" s="152"/>
      <c r="BZ7" s="152"/>
      <c r="CA7" s="152"/>
      <c r="CB7" s="152"/>
      <c r="CC7" s="152"/>
      <c r="CD7" s="152"/>
      <c r="CE7" s="152"/>
      <c r="CF7" s="152"/>
      <c r="CG7" s="152"/>
      <c r="CH7" s="152"/>
    </row>
    <row r="8" spans="1:86" x14ac:dyDescent="0.3">
      <c r="A8" s="89" t="s">
        <v>307</v>
      </c>
      <c r="B8" s="89" t="s">
        <v>423</v>
      </c>
      <c r="C8" s="89" t="s">
        <v>240</v>
      </c>
      <c r="D8" s="89" t="s">
        <v>357</v>
      </c>
      <c r="E8" s="99" t="e">
        <f t="shared" si="0"/>
        <v>#DIV/0!</v>
      </c>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row>
    <row r="9" spans="1:86" x14ac:dyDescent="0.3">
      <c r="A9" s="89" t="s">
        <v>307</v>
      </c>
      <c r="B9" s="89" t="s">
        <v>423</v>
      </c>
      <c r="C9" s="89" t="s">
        <v>240</v>
      </c>
      <c r="D9" s="89" t="s">
        <v>358</v>
      </c>
      <c r="E9" s="99" t="e">
        <f t="shared" si="0"/>
        <v>#DIV/0!</v>
      </c>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c r="BX9" s="152"/>
      <c r="BY9" s="152"/>
      <c r="BZ9" s="152"/>
      <c r="CA9" s="152"/>
      <c r="CB9" s="152"/>
      <c r="CC9" s="152"/>
      <c r="CD9" s="152"/>
      <c r="CE9" s="152"/>
      <c r="CF9" s="152"/>
      <c r="CG9" s="152"/>
      <c r="CH9" s="152"/>
    </row>
    <row r="10" spans="1:86" x14ac:dyDescent="0.3">
      <c r="A10" s="89" t="s">
        <v>307</v>
      </c>
      <c r="B10" s="89" t="s">
        <v>423</v>
      </c>
      <c r="C10" s="89" t="s">
        <v>240</v>
      </c>
      <c r="D10" s="89" t="s">
        <v>359</v>
      </c>
      <c r="E10" s="99" t="e">
        <f t="shared" si="0"/>
        <v>#DIV/0!</v>
      </c>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c r="BM10" s="152"/>
      <c r="BN10" s="152"/>
      <c r="BO10" s="152"/>
      <c r="BP10" s="152"/>
      <c r="BQ10" s="152"/>
      <c r="BR10" s="152"/>
      <c r="BS10" s="152"/>
      <c r="BT10" s="152"/>
      <c r="BU10" s="152"/>
      <c r="BV10" s="152"/>
      <c r="BW10" s="152"/>
      <c r="BX10" s="152"/>
      <c r="BY10" s="152"/>
      <c r="BZ10" s="152"/>
      <c r="CA10" s="152"/>
      <c r="CB10" s="152"/>
      <c r="CC10" s="152"/>
      <c r="CD10" s="152"/>
      <c r="CE10" s="152"/>
      <c r="CF10" s="152"/>
      <c r="CG10" s="152"/>
      <c r="CH10" s="152"/>
    </row>
    <row r="11" spans="1:86" x14ac:dyDescent="0.3">
      <c r="A11" s="89" t="s">
        <v>307</v>
      </c>
      <c r="B11" s="89" t="s">
        <v>423</v>
      </c>
      <c r="C11" s="89" t="s">
        <v>240</v>
      </c>
      <c r="D11" s="89" t="s">
        <v>360</v>
      </c>
      <c r="E11" s="99" t="e">
        <f t="shared" si="0"/>
        <v>#DIV/0!</v>
      </c>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c r="BR11" s="152"/>
      <c r="BS11" s="152"/>
      <c r="BT11" s="152"/>
      <c r="BU11" s="152"/>
      <c r="BV11" s="152"/>
      <c r="BW11" s="152"/>
      <c r="BX11" s="152"/>
      <c r="BY11" s="152"/>
      <c r="BZ11" s="152"/>
      <c r="CA11" s="152"/>
      <c r="CB11" s="152"/>
      <c r="CC11" s="152"/>
      <c r="CD11" s="152"/>
      <c r="CE11" s="152"/>
      <c r="CF11" s="152"/>
      <c r="CG11" s="152"/>
      <c r="CH11" s="152"/>
    </row>
    <row r="12" spans="1:86" x14ac:dyDescent="0.3">
      <c r="A12" s="89" t="s">
        <v>307</v>
      </c>
      <c r="B12" s="89" t="s">
        <v>423</v>
      </c>
      <c r="C12" s="89" t="s">
        <v>240</v>
      </c>
      <c r="D12" s="89" t="s">
        <v>361</v>
      </c>
      <c r="E12" s="99" t="e">
        <f t="shared" si="0"/>
        <v>#DIV/0!</v>
      </c>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152"/>
      <c r="BK12" s="152"/>
      <c r="BL12" s="152"/>
      <c r="BM12" s="152"/>
      <c r="BN12" s="152"/>
      <c r="BO12" s="152"/>
      <c r="BP12" s="152"/>
      <c r="BQ12" s="152"/>
      <c r="BR12" s="152"/>
      <c r="BS12" s="152"/>
      <c r="BT12" s="152"/>
      <c r="BU12" s="152"/>
      <c r="BV12" s="152"/>
      <c r="BW12" s="152"/>
      <c r="BX12" s="152"/>
      <c r="BY12" s="152"/>
      <c r="BZ12" s="152"/>
      <c r="CA12" s="152"/>
      <c r="CB12" s="152"/>
      <c r="CC12" s="152"/>
      <c r="CD12" s="152"/>
      <c r="CE12" s="152"/>
      <c r="CF12" s="152"/>
      <c r="CG12" s="152"/>
      <c r="CH12" s="152"/>
    </row>
    <row r="13" spans="1:86" x14ac:dyDescent="0.3">
      <c r="A13" s="89" t="s">
        <v>307</v>
      </c>
      <c r="B13" s="89" t="s">
        <v>423</v>
      </c>
      <c r="C13" s="89" t="s">
        <v>240</v>
      </c>
      <c r="D13" s="89" t="s">
        <v>362</v>
      </c>
      <c r="E13" s="99" t="e">
        <f t="shared" si="0"/>
        <v>#DIV/0!</v>
      </c>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c r="BR13" s="152"/>
      <c r="BS13" s="152"/>
      <c r="BT13" s="152"/>
      <c r="BU13" s="152"/>
      <c r="BV13" s="152"/>
      <c r="BW13" s="152"/>
      <c r="BX13" s="152"/>
      <c r="BY13" s="152"/>
      <c r="BZ13" s="152"/>
      <c r="CA13" s="152"/>
      <c r="CB13" s="152"/>
      <c r="CC13" s="152"/>
      <c r="CD13" s="152"/>
      <c r="CE13" s="152"/>
      <c r="CF13" s="152"/>
      <c r="CG13" s="152"/>
      <c r="CH13" s="152"/>
    </row>
    <row r="14" spans="1:86" x14ac:dyDescent="0.3">
      <c r="A14" s="89" t="s">
        <v>307</v>
      </c>
      <c r="B14" s="89" t="s">
        <v>423</v>
      </c>
      <c r="C14" s="89" t="s">
        <v>240</v>
      </c>
      <c r="D14" s="89" t="s">
        <v>363</v>
      </c>
      <c r="E14" s="99" t="e">
        <f t="shared" si="0"/>
        <v>#DIV/0!</v>
      </c>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c r="BI14" s="152"/>
      <c r="BJ14" s="152"/>
      <c r="BK14" s="152"/>
      <c r="BL14" s="152"/>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row>
    <row r="15" spans="1:86" ht="12.9" thickBot="1" x14ac:dyDescent="0.35">
      <c r="A15" s="89" t="s">
        <v>307</v>
      </c>
      <c r="B15" s="89" t="s">
        <v>423</v>
      </c>
      <c r="C15" s="89" t="s">
        <v>240</v>
      </c>
      <c r="D15" s="89" t="s">
        <v>364</v>
      </c>
      <c r="E15" s="99" t="e">
        <f t="shared" si="0"/>
        <v>#DIV/0!</v>
      </c>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c r="BX15" s="157"/>
      <c r="BY15" s="157"/>
      <c r="BZ15" s="157"/>
      <c r="CA15" s="157"/>
      <c r="CB15" s="157"/>
      <c r="CC15" s="157"/>
      <c r="CD15" s="157"/>
      <c r="CE15" s="157"/>
      <c r="CF15" s="157"/>
      <c r="CG15" s="157"/>
      <c r="CH15" s="157"/>
    </row>
    <row r="16" spans="1:86" x14ac:dyDescent="0.3">
      <c r="A16" s="89" t="s">
        <v>308</v>
      </c>
      <c r="B16" s="89" t="s">
        <v>423</v>
      </c>
      <c r="C16" s="89" t="s">
        <v>366</v>
      </c>
      <c r="D16" s="89" t="s">
        <v>388</v>
      </c>
      <c r="E16" s="99" t="e">
        <f t="shared" si="0"/>
        <v>#DIV/0!</v>
      </c>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47"/>
      <c r="BW16" s="147"/>
      <c r="BX16" s="147"/>
      <c r="BY16" s="147"/>
      <c r="BZ16" s="147"/>
      <c r="CA16" s="147"/>
      <c r="CB16" s="147"/>
      <c r="CC16" s="147"/>
      <c r="CD16" s="147"/>
      <c r="CE16" s="147"/>
      <c r="CF16" s="147"/>
      <c r="CG16" s="147"/>
      <c r="CH16" s="147"/>
    </row>
    <row r="17" spans="1:86" ht="12.9" thickBot="1" x14ac:dyDescent="0.35">
      <c r="A17" s="89" t="s">
        <v>308</v>
      </c>
      <c r="B17" s="89" t="s">
        <v>423</v>
      </c>
      <c r="C17" s="89" t="s">
        <v>366</v>
      </c>
      <c r="D17" s="89" t="s">
        <v>389</v>
      </c>
      <c r="E17" s="99" t="e">
        <f t="shared" si="0"/>
        <v>#DIV/0!</v>
      </c>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c r="BI17" s="148"/>
      <c r="BJ17" s="148"/>
      <c r="BK17" s="148"/>
      <c r="BL17" s="148"/>
      <c r="BM17" s="148"/>
      <c r="BN17" s="148"/>
      <c r="BO17" s="148"/>
      <c r="BP17" s="148"/>
      <c r="BQ17" s="148"/>
      <c r="BR17" s="148"/>
      <c r="BS17" s="148"/>
      <c r="BT17" s="148"/>
      <c r="BU17" s="148"/>
      <c r="BV17" s="148"/>
      <c r="BW17" s="148"/>
      <c r="BX17" s="148"/>
      <c r="BY17" s="148"/>
      <c r="BZ17" s="148"/>
      <c r="CA17" s="148"/>
      <c r="CB17" s="148"/>
      <c r="CC17" s="148"/>
      <c r="CD17" s="148"/>
      <c r="CE17" s="148"/>
      <c r="CF17" s="148"/>
      <c r="CG17" s="148"/>
      <c r="CH17" s="148"/>
    </row>
    <row r="18" spans="1:86" x14ac:dyDescent="0.3">
      <c r="A18" s="89" t="s">
        <v>309</v>
      </c>
      <c r="B18" s="89" t="s">
        <v>423</v>
      </c>
      <c r="C18" s="89" t="s">
        <v>383</v>
      </c>
      <c r="D18" s="89" t="s">
        <v>384</v>
      </c>
      <c r="E18" s="99" t="e">
        <f t="shared" si="0"/>
        <v>#DIV/0!</v>
      </c>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c r="CA18" s="158"/>
      <c r="CB18" s="158"/>
      <c r="CC18" s="158"/>
      <c r="CD18" s="158"/>
      <c r="CE18" s="158"/>
      <c r="CF18" s="158"/>
      <c r="CG18" s="158"/>
      <c r="CH18" s="158"/>
    </row>
    <row r="19" spans="1:86" x14ac:dyDescent="0.3">
      <c r="A19" s="89" t="s">
        <v>309</v>
      </c>
      <c r="B19" s="89" t="s">
        <v>423</v>
      </c>
      <c r="C19" s="89" t="s">
        <v>383</v>
      </c>
      <c r="D19" s="89" t="s">
        <v>386</v>
      </c>
      <c r="E19" s="99" t="e">
        <f t="shared" si="0"/>
        <v>#DIV/0!</v>
      </c>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c r="BI19" s="153"/>
      <c r="BJ19" s="153"/>
      <c r="BK19" s="153"/>
      <c r="BL19" s="153"/>
      <c r="BM19" s="153"/>
      <c r="BN19" s="153"/>
      <c r="BO19" s="153"/>
      <c r="BP19" s="153"/>
      <c r="BQ19" s="153"/>
      <c r="BR19" s="153"/>
      <c r="BS19" s="153"/>
      <c r="BT19" s="153"/>
      <c r="BU19" s="153"/>
      <c r="BV19" s="153"/>
      <c r="BW19" s="153"/>
      <c r="BX19" s="153"/>
      <c r="BY19" s="153"/>
      <c r="BZ19" s="153"/>
      <c r="CA19" s="153"/>
      <c r="CB19" s="153"/>
      <c r="CC19" s="153"/>
      <c r="CD19" s="153"/>
      <c r="CE19" s="153"/>
      <c r="CF19" s="153"/>
      <c r="CG19" s="153"/>
      <c r="CH19" s="153"/>
    </row>
    <row r="20" spans="1:86" x14ac:dyDescent="0.3">
      <c r="A20" s="89" t="s">
        <v>309</v>
      </c>
      <c r="B20" s="89" t="s">
        <v>423</v>
      </c>
      <c r="C20" s="89" t="s">
        <v>383</v>
      </c>
      <c r="D20" s="89" t="s">
        <v>385</v>
      </c>
      <c r="E20" s="99" t="e">
        <f t="shared" si="0"/>
        <v>#DIV/0!</v>
      </c>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c r="BI20" s="153"/>
      <c r="BJ20" s="153"/>
      <c r="BK20" s="153"/>
      <c r="BL20" s="153"/>
      <c r="BM20" s="153"/>
      <c r="BN20" s="153"/>
      <c r="BO20" s="153"/>
      <c r="BP20" s="153"/>
      <c r="BQ20" s="153"/>
      <c r="BR20" s="153"/>
      <c r="BS20" s="153"/>
      <c r="BT20" s="153"/>
      <c r="BU20" s="153"/>
      <c r="BV20" s="153"/>
      <c r="BW20" s="153"/>
      <c r="BX20" s="153"/>
      <c r="BY20" s="153"/>
      <c r="BZ20" s="153"/>
      <c r="CA20" s="153"/>
      <c r="CB20" s="153"/>
      <c r="CC20" s="153"/>
      <c r="CD20" s="153"/>
      <c r="CE20" s="153"/>
      <c r="CF20" s="153"/>
      <c r="CG20" s="153"/>
      <c r="CH20" s="153"/>
    </row>
    <row r="21" spans="1:86" ht="12.9" thickBot="1" x14ac:dyDescent="0.35">
      <c r="A21" s="89" t="s">
        <v>309</v>
      </c>
      <c r="B21" s="89" t="s">
        <v>423</v>
      </c>
      <c r="C21" s="89" t="s">
        <v>383</v>
      </c>
      <c r="D21" s="89" t="s">
        <v>387</v>
      </c>
      <c r="E21" s="99" t="e">
        <f t="shared" si="0"/>
        <v>#DIV/0!</v>
      </c>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59"/>
      <c r="BP21" s="159"/>
      <c r="BQ21" s="159"/>
      <c r="BR21" s="159"/>
      <c r="BS21" s="159"/>
      <c r="BT21" s="159"/>
      <c r="BU21" s="159"/>
      <c r="BV21" s="159"/>
      <c r="BW21" s="159"/>
      <c r="BX21" s="159"/>
      <c r="BY21" s="159"/>
      <c r="BZ21" s="159"/>
      <c r="CA21" s="159"/>
      <c r="CB21" s="159"/>
      <c r="CC21" s="159"/>
      <c r="CD21" s="159"/>
      <c r="CE21" s="159"/>
      <c r="CF21" s="159"/>
      <c r="CG21" s="159"/>
      <c r="CH21" s="159"/>
    </row>
    <row r="22" spans="1:86" ht="12.9" thickBot="1" x14ac:dyDescent="0.35">
      <c r="A22" s="89" t="s">
        <v>310</v>
      </c>
      <c r="B22" s="89" t="s">
        <v>423</v>
      </c>
      <c r="C22" s="89" t="s">
        <v>383</v>
      </c>
      <c r="D22" s="89" t="s">
        <v>299</v>
      </c>
      <c r="E22" s="99" t="e">
        <f t="shared" si="0"/>
        <v>#DIV/0!</v>
      </c>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0"/>
      <c r="BI22" s="160"/>
      <c r="BJ22" s="160"/>
      <c r="BK22" s="160"/>
      <c r="BL22" s="160"/>
      <c r="BM22" s="160"/>
      <c r="BN22" s="160"/>
      <c r="BO22" s="160"/>
      <c r="BP22" s="160"/>
      <c r="BQ22" s="160"/>
      <c r="BR22" s="160"/>
      <c r="BS22" s="160"/>
      <c r="BT22" s="160"/>
      <c r="BU22" s="160"/>
      <c r="BV22" s="160"/>
      <c r="BW22" s="160"/>
      <c r="BX22" s="160"/>
      <c r="BY22" s="160"/>
      <c r="BZ22" s="160"/>
      <c r="CA22" s="160"/>
      <c r="CB22" s="160"/>
      <c r="CC22" s="160"/>
      <c r="CD22" s="160"/>
      <c r="CE22" s="160"/>
      <c r="CF22" s="160"/>
      <c r="CG22" s="160"/>
      <c r="CH22" s="160"/>
    </row>
    <row r="23" spans="1:86" ht="12.9" thickBot="1" x14ac:dyDescent="0.35">
      <c r="A23" s="89" t="s">
        <v>312</v>
      </c>
      <c r="B23" s="89" t="s">
        <v>423</v>
      </c>
      <c r="C23" s="89" t="s">
        <v>366</v>
      </c>
      <c r="D23" s="89" t="s">
        <v>390</v>
      </c>
      <c r="E23" s="99" t="e">
        <f t="shared" si="0"/>
        <v>#DIV/0!</v>
      </c>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c r="BQ23" s="161"/>
      <c r="BR23" s="161"/>
      <c r="BS23" s="161"/>
      <c r="BT23" s="161"/>
      <c r="BU23" s="161"/>
      <c r="BV23" s="161"/>
      <c r="BW23" s="161"/>
      <c r="BX23" s="161"/>
      <c r="BY23" s="161"/>
      <c r="BZ23" s="161"/>
      <c r="CA23" s="161"/>
      <c r="CB23" s="161"/>
      <c r="CC23" s="161"/>
      <c r="CD23" s="161"/>
      <c r="CE23" s="161"/>
      <c r="CF23" s="161"/>
      <c r="CG23" s="161"/>
      <c r="CH23" s="161"/>
    </row>
    <row r="24" spans="1:86" x14ac:dyDescent="0.3">
      <c r="A24" s="89" t="s">
        <v>311</v>
      </c>
      <c r="B24" s="89" t="s">
        <v>423</v>
      </c>
      <c r="C24" s="89" t="s">
        <v>239</v>
      </c>
      <c r="D24" s="89" t="s">
        <v>314</v>
      </c>
      <c r="E24" s="99" t="e">
        <f t="shared" si="0"/>
        <v>#DIV/0!</v>
      </c>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162"/>
      <c r="BS24" s="162"/>
      <c r="BT24" s="162"/>
      <c r="BU24" s="162"/>
      <c r="BV24" s="162"/>
      <c r="BW24" s="162"/>
      <c r="BX24" s="162"/>
      <c r="BY24" s="162"/>
      <c r="BZ24" s="162"/>
      <c r="CA24" s="162"/>
      <c r="CB24" s="162"/>
      <c r="CC24" s="162"/>
      <c r="CD24" s="162"/>
      <c r="CE24" s="162"/>
      <c r="CF24" s="162"/>
      <c r="CG24" s="162"/>
      <c r="CH24" s="162"/>
    </row>
    <row r="25" spans="1:86" x14ac:dyDescent="0.3">
      <c r="A25" s="89" t="s">
        <v>311</v>
      </c>
      <c r="B25" s="89" t="s">
        <v>423</v>
      </c>
      <c r="C25" s="89" t="s">
        <v>239</v>
      </c>
      <c r="D25" s="89" t="s">
        <v>315</v>
      </c>
      <c r="E25" s="99" t="e">
        <f t="shared" si="0"/>
        <v>#DIV/0!</v>
      </c>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c r="BJ25" s="154"/>
      <c r="BK25" s="154"/>
      <c r="BL25" s="154"/>
      <c r="BM25" s="154"/>
      <c r="BN25" s="154"/>
      <c r="BO25" s="154"/>
      <c r="BP25" s="154"/>
      <c r="BQ25" s="154"/>
      <c r="BR25" s="154"/>
      <c r="BS25" s="154"/>
      <c r="BT25" s="154"/>
      <c r="BU25" s="154"/>
      <c r="BV25" s="154"/>
      <c r="BW25" s="154"/>
      <c r="BX25" s="154"/>
      <c r="BY25" s="154"/>
      <c r="BZ25" s="154"/>
      <c r="CA25" s="154"/>
      <c r="CB25" s="154"/>
      <c r="CC25" s="154"/>
      <c r="CD25" s="154"/>
      <c r="CE25" s="154"/>
      <c r="CF25" s="154"/>
      <c r="CG25" s="154"/>
      <c r="CH25" s="154"/>
    </row>
    <row r="26" spans="1:86" x14ac:dyDescent="0.3">
      <c r="A26" s="89" t="s">
        <v>311</v>
      </c>
      <c r="B26" s="89" t="s">
        <v>423</v>
      </c>
      <c r="C26" s="89" t="s">
        <v>239</v>
      </c>
      <c r="D26" s="89" t="s">
        <v>316</v>
      </c>
      <c r="E26" s="99" t="e">
        <f t="shared" si="0"/>
        <v>#DIV/0!</v>
      </c>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BJ26" s="154"/>
      <c r="BK26" s="154"/>
      <c r="BL26" s="154"/>
      <c r="BM26" s="154"/>
      <c r="BN26" s="154"/>
      <c r="BO26" s="154"/>
      <c r="BP26" s="154"/>
      <c r="BQ26" s="154"/>
      <c r="BR26" s="154"/>
      <c r="BS26" s="154"/>
      <c r="BT26" s="154"/>
      <c r="BU26" s="154"/>
      <c r="BV26" s="154"/>
      <c r="BW26" s="154"/>
      <c r="BX26" s="154"/>
      <c r="BY26" s="154"/>
      <c r="BZ26" s="154"/>
      <c r="CA26" s="154"/>
      <c r="CB26" s="154"/>
      <c r="CC26" s="154"/>
      <c r="CD26" s="154"/>
      <c r="CE26" s="154"/>
      <c r="CF26" s="154"/>
      <c r="CG26" s="154"/>
      <c r="CH26" s="154"/>
    </row>
    <row r="27" spans="1:86" x14ac:dyDescent="0.3">
      <c r="A27" s="89" t="s">
        <v>311</v>
      </c>
      <c r="B27" s="89" t="s">
        <v>423</v>
      </c>
      <c r="C27" s="89" t="s">
        <v>239</v>
      </c>
      <c r="D27" s="89" t="s">
        <v>317</v>
      </c>
      <c r="E27" s="99" t="e">
        <f t="shared" si="0"/>
        <v>#DIV/0!</v>
      </c>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4"/>
      <c r="BK27" s="154"/>
      <c r="BL27" s="154"/>
      <c r="BM27" s="154"/>
      <c r="BN27" s="154"/>
      <c r="BO27" s="154"/>
      <c r="BP27" s="154"/>
      <c r="BQ27" s="154"/>
      <c r="BR27" s="154"/>
      <c r="BS27" s="154"/>
      <c r="BT27" s="154"/>
      <c r="BU27" s="154"/>
      <c r="BV27" s="154"/>
      <c r="BW27" s="154"/>
      <c r="BX27" s="154"/>
      <c r="BY27" s="154"/>
      <c r="BZ27" s="154"/>
      <c r="CA27" s="154"/>
      <c r="CB27" s="154"/>
      <c r="CC27" s="154"/>
      <c r="CD27" s="154"/>
      <c r="CE27" s="154"/>
      <c r="CF27" s="154"/>
      <c r="CG27" s="154"/>
      <c r="CH27" s="154"/>
    </row>
    <row r="28" spans="1:86" x14ac:dyDescent="0.3">
      <c r="A28" s="89" t="s">
        <v>311</v>
      </c>
      <c r="B28" s="89" t="s">
        <v>423</v>
      </c>
      <c r="C28" s="89" t="s">
        <v>239</v>
      </c>
      <c r="D28" s="89" t="s">
        <v>318</v>
      </c>
      <c r="E28" s="99" t="e">
        <f t="shared" si="0"/>
        <v>#DIV/0!</v>
      </c>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c r="BI28" s="154"/>
      <c r="BJ28" s="154"/>
      <c r="BK28" s="154"/>
      <c r="BL28" s="154"/>
      <c r="BM28" s="154"/>
      <c r="BN28" s="154"/>
      <c r="BO28" s="154"/>
      <c r="BP28" s="154"/>
      <c r="BQ28" s="154"/>
      <c r="BR28" s="154"/>
      <c r="BS28" s="154"/>
      <c r="BT28" s="154"/>
      <c r="BU28" s="154"/>
      <c r="BV28" s="154"/>
      <c r="BW28" s="154"/>
      <c r="BX28" s="154"/>
      <c r="BY28" s="154"/>
      <c r="BZ28" s="154"/>
      <c r="CA28" s="154"/>
      <c r="CB28" s="154"/>
      <c r="CC28" s="154"/>
      <c r="CD28" s="154"/>
      <c r="CE28" s="154"/>
      <c r="CF28" s="154"/>
      <c r="CG28" s="154"/>
      <c r="CH28" s="154"/>
    </row>
    <row r="29" spans="1:86" x14ac:dyDescent="0.3">
      <c r="A29" s="89" t="s">
        <v>311</v>
      </c>
      <c r="B29" s="89" t="s">
        <v>423</v>
      </c>
      <c r="C29" s="89" t="s">
        <v>239</v>
      </c>
      <c r="D29" s="89" t="s">
        <v>319</v>
      </c>
      <c r="E29" s="99" t="e">
        <f t="shared" si="0"/>
        <v>#DIV/0!</v>
      </c>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c r="BI29" s="154"/>
      <c r="BJ29" s="154"/>
      <c r="BK29" s="154"/>
      <c r="BL29" s="154"/>
      <c r="BM29" s="154"/>
      <c r="BN29" s="154"/>
      <c r="BO29" s="154"/>
      <c r="BP29" s="154"/>
      <c r="BQ29" s="154"/>
      <c r="BR29" s="154"/>
      <c r="BS29" s="154"/>
      <c r="BT29" s="154"/>
      <c r="BU29" s="154"/>
      <c r="BV29" s="154"/>
      <c r="BW29" s="154"/>
      <c r="BX29" s="154"/>
      <c r="BY29" s="154"/>
      <c r="BZ29" s="154"/>
      <c r="CA29" s="154"/>
      <c r="CB29" s="154"/>
      <c r="CC29" s="154"/>
      <c r="CD29" s="154"/>
      <c r="CE29" s="154"/>
      <c r="CF29" s="154"/>
      <c r="CG29" s="154"/>
      <c r="CH29" s="154"/>
    </row>
    <row r="30" spans="1:86" x14ac:dyDescent="0.3">
      <c r="A30" s="89" t="s">
        <v>311</v>
      </c>
      <c r="B30" s="89" t="s">
        <v>423</v>
      </c>
      <c r="C30" s="89" t="s">
        <v>239</v>
      </c>
      <c r="D30" s="89" t="s">
        <v>320</v>
      </c>
      <c r="E30" s="99" t="e">
        <f t="shared" si="0"/>
        <v>#DIV/0!</v>
      </c>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4"/>
      <c r="BF30" s="154"/>
      <c r="BG30" s="154"/>
      <c r="BH30" s="154"/>
      <c r="BI30" s="154"/>
      <c r="BJ30" s="154"/>
      <c r="BK30" s="154"/>
      <c r="BL30" s="154"/>
      <c r="BM30" s="154"/>
      <c r="BN30" s="154"/>
      <c r="BO30" s="154"/>
      <c r="BP30" s="154"/>
      <c r="BQ30" s="154"/>
      <c r="BR30" s="154"/>
      <c r="BS30" s="154"/>
      <c r="BT30" s="154"/>
      <c r="BU30" s="154"/>
      <c r="BV30" s="154"/>
      <c r="BW30" s="154"/>
      <c r="BX30" s="154"/>
      <c r="BY30" s="154"/>
      <c r="BZ30" s="154"/>
      <c r="CA30" s="154"/>
      <c r="CB30" s="154"/>
      <c r="CC30" s="154"/>
      <c r="CD30" s="154"/>
      <c r="CE30" s="154"/>
      <c r="CF30" s="154"/>
      <c r="CG30" s="154"/>
      <c r="CH30" s="154"/>
    </row>
    <row r="31" spans="1:86" x14ac:dyDescent="0.3">
      <c r="A31" s="89" t="s">
        <v>311</v>
      </c>
      <c r="B31" s="89" t="s">
        <v>423</v>
      </c>
      <c r="C31" s="89" t="s">
        <v>239</v>
      </c>
      <c r="D31" s="89" t="s">
        <v>321</v>
      </c>
      <c r="E31" s="99" t="e">
        <f t="shared" si="0"/>
        <v>#DIV/0!</v>
      </c>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4"/>
      <c r="BL31" s="154"/>
      <c r="BM31" s="154"/>
      <c r="BN31" s="154"/>
      <c r="BO31" s="154"/>
      <c r="BP31" s="154"/>
      <c r="BQ31" s="154"/>
      <c r="BR31" s="154"/>
      <c r="BS31" s="154"/>
      <c r="BT31" s="154"/>
      <c r="BU31" s="154"/>
      <c r="BV31" s="154"/>
      <c r="BW31" s="154"/>
      <c r="BX31" s="154"/>
      <c r="BY31" s="154"/>
      <c r="BZ31" s="154"/>
      <c r="CA31" s="154"/>
      <c r="CB31" s="154"/>
      <c r="CC31" s="154"/>
      <c r="CD31" s="154"/>
      <c r="CE31" s="154"/>
      <c r="CF31" s="154"/>
      <c r="CG31" s="154"/>
      <c r="CH31" s="154"/>
    </row>
    <row r="32" spans="1:86" x14ac:dyDescent="0.3">
      <c r="A32" s="89" t="s">
        <v>311</v>
      </c>
      <c r="B32" s="89" t="s">
        <v>423</v>
      </c>
      <c r="C32" s="89" t="s">
        <v>239</v>
      </c>
      <c r="D32" s="89" t="s">
        <v>322</v>
      </c>
      <c r="E32" s="99" t="e">
        <f t="shared" si="0"/>
        <v>#DIV/0!</v>
      </c>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c r="BI32" s="154"/>
      <c r="BJ32" s="154"/>
      <c r="BK32" s="154"/>
      <c r="BL32" s="154"/>
      <c r="BM32" s="154"/>
      <c r="BN32" s="154"/>
      <c r="BO32" s="154"/>
      <c r="BP32" s="154"/>
      <c r="BQ32" s="154"/>
      <c r="BR32" s="154"/>
      <c r="BS32" s="154"/>
      <c r="BT32" s="154"/>
      <c r="BU32" s="154"/>
      <c r="BV32" s="154"/>
      <c r="BW32" s="154"/>
      <c r="BX32" s="154"/>
      <c r="BY32" s="154"/>
      <c r="BZ32" s="154"/>
      <c r="CA32" s="154"/>
      <c r="CB32" s="154"/>
      <c r="CC32" s="154"/>
      <c r="CD32" s="154"/>
      <c r="CE32" s="154"/>
      <c r="CF32" s="154"/>
      <c r="CG32" s="154"/>
      <c r="CH32" s="154"/>
    </row>
    <row r="33" spans="1:86" ht="12.9" thickBot="1" x14ac:dyDescent="0.35">
      <c r="A33" s="89" t="s">
        <v>311</v>
      </c>
      <c r="B33" s="89" t="s">
        <v>423</v>
      </c>
      <c r="C33" s="89" t="s">
        <v>239</v>
      </c>
      <c r="D33" s="89" t="s">
        <v>323</v>
      </c>
      <c r="E33" s="99" t="e">
        <f t="shared" si="0"/>
        <v>#DIV/0!</v>
      </c>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3"/>
      <c r="BQ33" s="163"/>
      <c r="BR33" s="163"/>
      <c r="BS33" s="163"/>
      <c r="BT33" s="163"/>
      <c r="BU33" s="163"/>
      <c r="BV33" s="163"/>
      <c r="BW33" s="163"/>
      <c r="BX33" s="163"/>
      <c r="BY33" s="163"/>
      <c r="BZ33" s="163"/>
      <c r="CA33" s="163"/>
      <c r="CB33" s="163"/>
      <c r="CC33" s="163"/>
      <c r="CD33" s="163"/>
      <c r="CE33" s="163"/>
      <c r="CF33" s="163"/>
      <c r="CG33" s="163"/>
      <c r="CH33" s="163"/>
    </row>
    <row r="34" spans="1:86" x14ac:dyDescent="0.3">
      <c r="A34" s="89" t="s">
        <v>311</v>
      </c>
      <c r="B34" s="89" t="s">
        <v>423</v>
      </c>
      <c r="C34" s="89" t="s">
        <v>380</v>
      </c>
      <c r="D34" s="88" t="s">
        <v>324</v>
      </c>
      <c r="E34" s="99" t="e">
        <f t="shared" si="0"/>
        <v>#DIV/0!</v>
      </c>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49"/>
      <c r="BQ34" s="149"/>
      <c r="BR34" s="149"/>
      <c r="BS34" s="149"/>
      <c r="BT34" s="149"/>
      <c r="BU34" s="149"/>
      <c r="BV34" s="149"/>
      <c r="BW34" s="149"/>
      <c r="BX34" s="149"/>
      <c r="BY34" s="149"/>
      <c r="BZ34" s="149"/>
      <c r="CA34" s="149"/>
      <c r="CB34" s="149"/>
      <c r="CC34" s="149"/>
      <c r="CD34" s="149"/>
      <c r="CE34" s="149"/>
      <c r="CF34" s="149"/>
      <c r="CG34" s="149"/>
      <c r="CH34" s="149"/>
    </row>
    <row r="35" spans="1:86" ht="12.9" thickBot="1" x14ac:dyDescent="0.35">
      <c r="A35" s="89" t="s">
        <v>311</v>
      </c>
      <c r="B35" s="89" t="s">
        <v>423</v>
      </c>
      <c r="C35" s="89" t="s">
        <v>98</v>
      </c>
      <c r="D35" s="89" t="s">
        <v>393</v>
      </c>
      <c r="E35" s="99" t="e">
        <f t="shared" si="0"/>
        <v>#DIV/0!</v>
      </c>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4"/>
      <c r="BR35" s="164"/>
      <c r="BS35" s="164"/>
      <c r="BT35" s="164"/>
      <c r="BU35" s="164"/>
      <c r="BV35" s="164"/>
      <c r="BW35" s="164"/>
      <c r="BX35" s="164"/>
      <c r="BY35" s="164"/>
      <c r="BZ35" s="164"/>
      <c r="CA35" s="164"/>
      <c r="CB35" s="164"/>
      <c r="CC35" s="164"/>
      <c r="CD35" s="164"/>
      <c r="CE35" s="164"/>
      <c r="CF35" s="164"/>
      <c r="CG35" s="164"/>
      <c r="CH35" s="164"/>
    </row>
    <row r="36" spans="1:86" ht="12.9" thickBot="1" x14ac:dyDescent="0.35">
      <c r="A36" s="89" t="s">
        <v>313</v>
      </c>
      <c r="B36" s="89" t="s">
        <v>424</v>
      </c>
      <c r="C36" s="89" t="s">
        <v>366</v>
      </c>
      <c r="D36" s="89" t="s">
        <v>367</v>
      </c>
      <c r="E36" s="99" t="e">
        <f t="shared" si="0"/>
        <v>#DIV/0!</v>
      </c>
      <c r="F36" s="165"/>
      <c r="G36" s="165"/>
      <c r="H36" s="165"/>
      <c r="I36" s="165"/>
      <c r="J36" s="165"/>
      <c r="K36" s="165"/>
      <c r="L36" s="165"/>
      <c r="M36" s="178"/>
      <c r="N36" s="178"/>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5"/>
      <c r="AY36" s="165"/>
      <c r="AZ36" s="165"/>
      <c r="BA36" s="165"/>
      <c r="BB36" s="165"/>
      <c r="BC36" s="165"/>
      <c r="BD36" s="165"/>
      <c r="BE36" s="165"/>
      <c r="BF36" s="165"/>
      <c r="BG36" s="165"/>
      <c r="BH36" s="165"/>
      <c r="BI36" s="165"/>
      <c r="BJ36" s="165"/>
      <c r="BK36" s="165"/>
      <c r="BL36" s="165"/>
      <c r="BM36" s="165"/>
      <c r="BN36" s="165"/>
      <c r="BO36" s="165"/>
      <c r="BP36" s="165"/>
      <c r="BQ36" s="165"/>
      <c r="BR36" s="165"/>
      <c r="BS36" s="165"/>
      <c r="BT36" s="165"/>
      <c r="BU36" s="165"/>
      <c r="BV36" s="165"/>
      <c r="BW36" s="165"/>
      <c r="BX36" s="165"/>
      <c r="BY36" s="165"/>
      <c r="BZ36" s="165"/>
      <c r="CA36" s="165"/>
      <c r="CB36" s="165"/>
      <c r="CC36" s="165"/>
      <c r="CD36" s="165"/>
      <c r="CE36" s="165"/>
      <c r="CF36" s="165"/>
      <c r="CG36" s="165"/>
      <c r="CH36" s="165"/>
    </row>
    <row r="37" spans="1:86" x14ac:dyDescent="0.3">
      <c r="A37" s="89" t="s">
        <v>241</v>
      </c>
      <c r="B37" s="89" t="s">
        <v>424</v>
      </c>
      <c r="C37" s="89" t="s">
        <v>366</v>
      </c>
      <c r="D37" s="89" t="s">
        <v>325</v>
      </c>
      <c r="E37" s="99" t="e">
        <f t="shared" si="0"/>
        <v>#DIV/0!</v>
      </c>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0"/>
      <c r="BQ37" s="170"/>
      <c r="BR37" s="170"/>
      <c r="BS37" s="170"/>
      <c r="BT37" s="170"/>
      <c r="BU37" s="170"/>
      <c r="BV37" s="170"/>
      <c r="BW37" s="170"/>
      <c r="BX37" s="170"/>
      <c r="BY37" s="170"/>
      <c r="BZ37" s="170"/>
      <c r="CA37" s="170"/>
      <c r="CB37" s="170"/>
      <c r="CC37" s="170"/>
      <c r="CD37" s="170"/>
      <c r="CE37" s="170"/>
      <c r="CF37" s="170"/>
      <c r="CG37" s="170"/>
      <c r="CH37" s="170"/>
    </row>
    <row r="38" spans="1:86" x14ac:dyDescent="0.3">
      <c r="A38" s="89" t="s">
        <v>241</v>
      </c>
      <c r="B38" s="89" t="s">
        <v>424</v>
      </c>
      <c r="C38" s="89" t="s">
        <v>366</v>
      </c>
      <c r="D38" s="89" t="s">
        <v>326</v>
      </c>
      <c r="E38" s="99" t="e">
        <f t="shared" si="0"/>
        <v>#DIV/0!</v>
      </c>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5"/>
      <c r="BQ38" s="155"/>
      <c r="BR38" s="155"/>
      <c r="BS38" s="155"/>
      <c r="BT38" s="155"/>
      <c r="BU38" s="155"/>
      <c r="BV38" s="155"/>
      <c r="BW38" s="155"/>
      <c r="BX38" s="155"/>
      <c r="BY38" s="155"/>
      <c r="BZ38" s="155"/>
      <c r="CA38" s="155"/>
      <c r="CB38" s="155"/>
      <c r="CC38" s="155"/>
      <c r="CD38" s="155"/>
      <c r="CE38" s="155"/>
      <c r="CF38" s="155"/>
      <c r="CG38" s="155"/>
      <c r="CH38" s="155"/>
    </row>
    <row r="39" spans="1:86" ht="12.9" thickBot="1" x14ac:dyDescent="0.35">
      <c r="A39" s="89" t="s">
        <v>241</v>
      </c>
      <c r="B39" s="89" t="s">
        <v>424</v>
      </c>
      <c r="C39" s="89" t="s">
        <v>366</v>
      </c>
      <c r="D39" s="89" t="s">
        <v>327</v>
      </c>
      <c r="E39" s="99" t="e">
        <f t="shared" si="0"/>
        <v>#DIV/0!</v>
      </c>
      <c r="F39" s="164"/>
      <c r="G39" s="184"/>
      <c r="H39" s="18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164"/>
      <c r="BC39" s="164"/>
      <c r="BD39" s="164"/>
      <c r="BE39" s="164"/>
      <c r="BF39" s="164"/>
      <c r="BG39" s="164"/>
      <c r="BH39" s="164"/>
      <c r="BI39" s="164"/>
      <c r="BJ39" s="164"/>
      <c r="BK39" s="164"/>
      <c r="BL39" s="164"/>
      <c r="BM39" s="164"/>
      <c r="BN39" s="164"/>
      <c r="BO39" s="164"/>
      <c r="BP39" s="164"/>
      <c r="BQ39" s="164"/>
      <c r="BR39" s="164"/>
      <c r="BS39" s="164"/>
      <c r="BT39" s="164"/>
      <c r="BU39" s="164"/>
      <c r="BV39" s="164"/>
      <c r="BW39" s="164"/>
      <c r="BX39" s="164"/>
      <c r="BY39" s="164"/>
      <c r="BZ39" s="164"/>
      <c r="CA39" s="164"/>
      <c r="CB39" s="164"/>
      <c r="CC39" s="164"/>
      <c r="CD39" s="164"/>
      <c r="CE39" s="164"/>
      <c r="CF39" s="164"/>
      <c r="CG39" s="164"/>
      <c r="CH39" s="164"/>
    </row>
    <row r="40" spans="1:86" x14ac:dyDescent="0.3">
      <c r="A40" s="89" t="s">
        <v>244</v>
      </c>
      <c r="B40" s="89" t="s">
        <v>424</v>
      </c>
      <c r="C40" s="89" t="s">
        <v>365</v>
      </c>
      <c r="D40" s="2" t="s">
        <v>328</v>
      </c>
      <c r="E40" s="99" t="e">
        <f t="shared" si="0"/>
        <v>#DIV/0!</v>
      </c>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0"/>
      <c r="BR40" s="150"/>
      <c r="BS40" s="150"/>
      <c r="BT40" s="150"/>
      <c r="BU40" s="150"/>
      <c r="BV40" s="150"/>
      <c r="BW40" s="150"/>
      <c r="BX40" s="150"/>
      <c r="BY40" s="150"/>
      <c r="BZ40" s="150"/>
      <c r="CA40" s="150"/>
      <c r="CB40" s="150"/>
      <c r="CC40" s="150"/>
      <c r="CD40" s="150"/>
      <c r="CE40" s="150"/>
      <c r="CF40" s="150"/>
      <c r="CG40" s="150"/>
      <c r="CH40" s="150"/>
    </row>
    <row r="41" spans="1:86" x14ac:dyDescent="0.3">
      <c r="A41" s="89" t="s">
        <v>244</v>
      </c>
      <c r="B41" s="89" t="s">
        <v>424</v>
      </c>
      <c r="C41" s="89" t="s">
        <v>365</v>
      </c>
      <c r="D41" s="2" t="s">
        <v>394</v>
      </c>
      <c r="E41" s="99" t="e">
        <f t="shared" si="0"/>
        <v>#DIV/0!</v>
      </c>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0"/>
      <c r="BR41" s="150"/>
      <c r="BS41" s="150"/>
      <c r="BT41" s="150"/>
      <c r="BU41" s="150"/>
      <c r="BV41" s="150"/>
      <c r="BW41" s="150"/>
      <c r="BX41" s="150"/>
      <c r="BY41" s="150"/>
      <c r="BZ41" s="150"/>
      <c r="CA41" s="150"/>
      <c r="CB41" s="150"/>
      <c r="CC41" s="150"/>
      <c r="CD41" s="150"/>
      <c r="CE41" s="150"/>
      <c r="CF41" s="150"/>
      <c r="CG41" s="150"/>
      <c r="CH41" s="150"/>
    </row>
    <row r="42" spans="1:86" x14ac:dyDescent="0.3">
      <c r="A42" s="89" t="s">
        <v>244</v>
      </c>
      <c r="B42" s="89" t="s">
        <v>424</v>
      </c>
      <c r="C42" s="89" t="s">
        <v>365</v>
      </c>
      <c r="D42" s="2" t="s">
        <v>395</v>
      </c>
      <c r="E42" s="99" t="e">
        <f t="shared" si="0"/>
        <v>#DIV/0!</v>
      </c>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0"/>
      <c r="BR42" s="150"/>
      <c r="BS42" s="150"/>
      <c r="BT42" s="150"/>
      <c r="BU42" s="150"/>
      <c r="BV42" s="150"/>
      <c r="BW42" s="150"/>
      <c r="BX42" s="150"/>
      <c r="BY42" s="150"/>
      <c r="BZ42" s="150"/>
      <c r="CA42" s="150"/>
      <c r="CB42" s="150"/>
      <c r="CC42" s="150"/>
      <c r="CD42" s="150"/>
      <c r="CE42" s="150"/>
      <c r="CF42" s="150"/>
      <c r="CG42" s="150"/>
      <c r="CH42" s="150"/>
    </row>
    <row r="43" spans="1:86" x14ac:dyDescent="0.3">
      <c r="A43" s="89" t="s">
        <v>244</v>
      </c>
      <c r="B43" s="89" t="s">
        <v>424</v>
      </c>
      <c r="C43" s="89" t="s">
        <v>383</v>
      </c>
      <c r="D43" s="2" t="s">
        <v>396</v>
      </c>
      <c r="E43" s="99" t="e">
        <f t="shared" si="0"/>
        <v>#DIV/0!</v>
      </c>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5"/>
      <c r="BQ43" s="145"/>
      <c r="BR43" s="145"/>
      <c r="BS43" s="145"/>
      <c r="BT43" s="145"/>
      <c r="BU43" s="145"/>
      <c r="BV43" s="145"/>
      <c r="BW43" s="145"/>
      <c r="BX43" s="145"/>
      <c r="BY43" s="145"/>
      <c r="BZ43" s="145"/>
      <c r="CA43" s="145"/>
      <c r="CB43" s="145"/>
      <c r="CC43" s="145"/>
      <c r="CD43" s="145"/>
      <c r="CE43" s="145"/>
      <c r="CF43" s="145"/>
      <c r="CG43" s="145"/>
      <c r="CH43" s="145"/>
    </row>
    <row r="44" spans="1:86" ht="12.9" thickBot="1" x14ac:dyDescent="0.35">
      <c r="A44" s="89" t="s">
        <v>244</v>
      </c>
      <c r="B44" s="89" t="s">
        <v>424</v>
      </c>
      <c r="C44" s="89" t="s">
        <v>383</v>
      </c>
      <c r="D44" s="2" t="s">
        <v>397</v>
      </c>
      <c r="E44" s="99" t="e">
        <f t="shared" si="0"/>
        <v>#DIV/0!</v>
      </c>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146"/>
      <c r="BT44" s="146"/>
      <c r="BU44" s="146"/>
      <c r="BV44" s="146"/>
      <c r="BW44" s="146"/>
      <c r="BX44" s="146"/>
      <c r="BY44" s="146"/>
      <c r="BZ44" s="146"/>
      <c r="CA44" s="146"/>
      <c r="CB44" s="146"/>
      <c r="CC44" s="146"/>
      <c r="CD44" s="146"/>
      <c r="CE44" s="146"/>
      <c r="CF44" s="146"/>
      <c r="CG44" s="146"/>
      <c r="CH44" s="146"/>
    </row>
    <row r="45" spans="1:86" x14ac:dyDescent="0.3">
      <c r="A45" s="89" t="s">
        <v>256</v>
      </c>
      <c r="B45" s="89" t="s">
        <v>424</v>
      </c>
      <c r="C45" s="89" t="s">
        <v>392</v>
      </c>
      <c r="D45" s="2" t="s">
        <v>329</v>
      </c>
      <c r="E45" s="99" t="e">
        <f t="shared" si="0"/>
        <v>#DIV/0!</v>
      </c>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5"/>
      <c r="BQ45" s="145"/>
      <c r="BR45" s="145"/>
      <c r="BS45" s="145"/>
      <c r="BT45" s="145"/>
      <c r="BU45" s="145"/>
      <c r="BV45" s="145"/>
      <c r="BW45" s="145"/>
      <c r="BX45" s="145"/>
      <c r="BY45" s="145"/>
      <c r="BZ45" s="145"/>
      <c r="CA45" s="145"/>
      <c r="CB45" s="145"/>
      <c r="CC45" s="145"/>
      <c r="CD45" s="145"/>
      <c r="CE45" s="145"/>
      <c r="CF45" s="145"/>
      <c r="CG45" s="145"/>
      <c r="CH45" s="145"/>
    </row>
    <row r="46" spans="1:86" x14ac:dyDescent="0.3">
      <c r="A46" s="89" t="s">
        <v>256</v>
      </c>
      <c r="B46" s="89" t="s">
        <v>424</v>
      </c>
      <c r="C46" s="89" t="s">
        <v>392</v>
      </c>
      <c r="D46" s="2" t="s">
        <v>330</v>
      </c>
      <c r="E46" s="99" t="e">
        <f t="shared" si="0"/>
        <v>#DIV/0!</v>
      </c>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44"/>
      <c r="BR46" s="144"/>
      <c r="BS46" s="144"/>
      <c r="BT46" s="144"/>
      <c r="BU46" s="144"/>
      <c r="BV46" s="144"/>
      <c r="BW46" s="144"/>
      <c r="BX46" s="144"/>
      <c r="BY46" s="144"/>
      <c r="BZ46" s="144"/>
      <c r="CA46" s="144"/>
      <c r="CB46" s="144"/>
      <c r="CC46" s="144"/>
      <c r="CD46" s="144"/>
      <c r="CE46" s="144"/>
      <c r="CF46" s="144"/>
      <c r="CG46" s="144"/>
      <c r="CH46" s="144"/>
    </row>
    <row r="47" spans="1:86" x14ac:dyDescent="0.3">
      <c r="A47" s="89" t="s">
        <v>256</v>
      </c>
      <c r="B47" s="89" t="s">
        <v>424</v>
      </c>
      <c r="C47" s="89" t="s">
        <v>392</v>
      </c>
      <c r="D47" s="2" t="s">
        <v>338</v>
      </c>
      <c r="E47" s="99" t="e">
        <f t="shared" si="0"/>
        <v>#DIV/0!</v>
      </c>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4"/>
      <c r="BQ47" s="144"/>
      <c r="BR47" s="144"/>
      <c r="BS47" s="144"/>
      <c r="BT47" s="144"/>
      <c r="BU47" s="144"/>
      <c r="BV47" s="144"/>
      <c r="BW47" s="144"/>
      <c r="BX47" s="144"/>
      <c r="BY47" s="144"/>
      <c r="BZ47" s="144"/>
      <c r="CA47" s="144"/>
      <c r="CB47" s="144"/>
      <c r="CC47" s="144"/>
      <c r="CD47" s="144"/>
      <c r="CE47" s="144"/>
      <c r="CF47" s="144"/>
      <c r="CG47" s="144"/>
      <c r="CH47" s="144"/>
    </row>
    <row r="48" spans="1:86" x14ac:dyDescent="0.3">
      <c r="A48" s="89" t="s">
        <v>256</v>
      </c>
      <c r="B48" s="89" t="s">
        <v>424</v>
      </c>
      <c r="C48" s="89" t="s">
        <v>392</v>
      </c>
      <c r="D48" s="2" t="s">
        <v>331</v>
      </c>
      <c r="E48" s="99" t="e">
        <f t="shared" si="0"/>
        <v>#DIV/0!</v>
      </c>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4"/>
      <c r="BQ48" s="144"/>
      <c r="BR48" s="144"/>
      <c r="BS48" s="144"/>
      <c r="BT48" s="144"/>
      <c r="BU48" s="144"/>
      <c r="BV48" s="144"/>
      <c r="BW48" s="144"/>
      <c r="BX48" s="144"/>
      <c r="BY48" s="144"/>
      <c r="BZ48" s="144"/>
      <c r="CA48" s="144"/>
      <c r="CB48" s="144"/>
      <c r="CC48" s="144"/>
      <c r="CD48" s="144"/>
      <c r="CE48" s="144"/>
      <c r="CF48" s="144"/>
      <c r="CG48" s="144"/>
      <c r="CH48" s="144"/>
    </row>
    <row r="49" spans="1:86" x14ac:dyDescent="0.3">
      <c r="A49" s="89" t="s">
        <v>256</v>
      </c>
      <c r="B49" s="89" t="s">
        <v>424</v>
      </c>
      <c r="C49" s="89" t="s">
        <v>392</v>
      </c>
      <c r="D49" s="2" t="s">
        <v>332</v>
      </c>
      <c r="E49" s="99" t="e">
        <f t="shared" si="0"/>
        <v>#DIV/0!</v>
      </c>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4"/>
      <c r="BQ49" s="144"/>
      <c r="BR49" s="144"/>
      <c r="BS49" s="144"/>
      <c r="BT49" s="144"/>
      <c r="BU49" s="144"/>
      <c r="BV49" s="144"/>
      <c r="BW49" s="144"/>
      <c r="BX49" s="144"/>
      <c r="BY49" s="144"/>
      <c r="BZ49" s="144"/>
      <c r="CA49" s="144"/>
      <c r="CB49" s="144"/>
      <c r="CC49" s="144"/>
      <c r="CD49" s="144"/>
      <c r="CE49" s="144"/>
      <c r="CF49" s="144"/>
      <c r="CG49" s="144"/>
      <c r="CH49" s="144"/>
    </row>
    <row r="50" spans="1:86" x14ac:dyDescent="0.3">
      <c r="A50" s="89" t="s">
        <v>256</v>
      </c>
      <c r="B50" s="89" t="s">
        <v>424</v>
      </c>
      <c r="C50" s="89" t="s">
        <v>392</v>
      </c>
      <c r="D50" s="2" t="s">
        <v>339</v>
      </c>
      <c r="E50" s="99" t="e">
        <f t="shared" si="0"/>
        <v>#DIV/0!</v>
      </c>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4"/>
      <c r="BQ50" s="144"/>
      <c r="BR50" s="144"/>
      <c r="BS50" s="144"/>
      <c r="BT50" s="144"/>
      <c r="BU50" s="144"/>
      <c r="BV50" s="144"/>
      <c r="BW50" s="144"/>
      <c r="BX50" s="144"/>
      <c r="BY50" s="144"/>
      <c r="BZ50" s="144"/>
      <c r="CA50" s="144"/>
      <c r="CB50" s="144"/>
      <c r="CC50" s="144"/>
      <c r="CD50" s="144"/>
      <c r="CE50" s="144"/>
      <c r="CF50" s="144"/>
      <c r="CG50" s="144"/>
      <c r="CH50" s="144"/>
    </row>
    <row r="51" spans="1:86" x14ac:dyDescent="0.3">
      <c r="A51" s="89" t="s">
        <v>256</v>
      </c>
      <c r="B51" s="89" t="s">
        <v>424</v>
      </c>
      <c r="C51" s="89" t="s">
        <v>392</v>
      </c>
      <c r="D51" s="2" t="s">
        <v>368</v>
      </c>
      <c r="E51" s="99" t="e">
        <f t="shared" si="0"/>
        <v>#DIV/0!</v>
      </c>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4"/>
      <c r="BR51" s="144"/>
      <c r="BS51" s="144"/>
      <c r="BT51" s="144"/>
      <c r="BU51" s="144"/>
      <c r="BV51" s="144"/>
      <c r="BW51" s="144"/>
      <c r="BX51" s="144"/>
      <c r="BY51" s="144"/>
      <c r="BZ51" s="144"/>
      <c r="CA51" s="144"/>
      <c r="CB51" s="144"/>
      <c r="CC51" s="144"/>
      <c r="CD51" s="144"/>
      <c r="CE51" s="144"/>
      <c r="CF51" s="144"/>
      <c r="CG51" s="144"/>
      <c r="CH51" s="144"/>
    </row>
    <row r="52" spans="1:86" x14ac:dyDescent="0.3">
      <c r="A52" s="89" t="s">
        <v>256</v>
      </c>
      <c r="B52" s="89" t="s">
        <v>424</v>
      </c>
      <c r="C52" s="89" t="s">
        <v>392</v>
      </c>
      <c r="D52" s="2" t="s">
        <v>369</v>
      </c>
      <c r="E52" s="99" t="e">
        <f t="shared" si="0"/>
        <v>#DIV/0!</v>
      </c>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row>
    <row r="53" spans="1:86" x14ac:dyDescent="0.3">
      <c r="A53" s="89" t="s">
        <v>256</v>
      </c>
      <c r="B53" s="89" t="s">
        <v>424</v>
      </c>
      <c r="C53" s="89" t="s">
        <v>392</v>
      </c>
      <c r="D53" s="2" t="s">
        <v>346</v>
      </c>
      <c r="E53" s="99" t="e">
        <f t="shared" si="0"/>
        <v>#DIV/0!</v>
      </c>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4"/>
      <c r="BM53" s="144"/>
      <c r="BN53" s="144"/>
      <c r="BO53" s="144"/>
      <c r="BP53" s="144"/>
      <c r="BQ53" s="144"/>
      <c r="BR53" s="144"/>
      <c r="BS53" s="144"/>
      <c r="BT53" s="144"/>
      <c r="BU53" s="144"/>
      <c r="BV53" s="144"/>
      <c r="BW53" s="144"/>
      <c r="BX53" s="144"/>
      <c r="BY53" s="144"/>
      <c r="BZ53" s="144"/>
      <c r="CA53" s="144"/>
      <c r="CB53" s="144"/>
      <c r="CC53" s="144"/>
      <c r="CD53" s="144"/>
      <c r="CE53" s="144"/>
      <c r="CF53" s="144"/>
      <c r="CG53" s="144"/>
      <c r="CH53" s="144"/>
    </row>
    <row r="54" spans="1:86" x14ac:dyDescent="0.3">
      <c r="A54" s="89" t="s">
        <v>256</v>
      </c>
      <c r="B54" s="89" t="s">
        <v>424</v>
      </c>
      <c r="C54" s="89" t="s">
        <v>392</v>
      </c>
      <c r="D54" s="2" t="s">
        <v>345</v>
      </c>
      <c r="E54" s="99" t="e">
        <f t="shared" si="0"/>
        <v>#DIV/0!</v>
      </c>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4"/>
      <c r="AX54" s="144"/>
      <c r="AY54" s="144"/>
      <c r="AZ54" s="144"/>
      <c r="BA54" s="144"/>
      <c r="BB54" s="144"/>
      <c r="BC54" s="144"/>
      <c r="BD54" s="144"/>
      <c r="BE54" s="144"/>
      <c r="BF54" s="144"/>
      <c r="BG54" s="144"/>
      <c r="BH54" s="144"/>
      <c r="BI54" s="144"/>
      <c r="BJ54" s="144"/>
      <c r="BK54" s="144"/>
      <c r="BL54" s="144"/>
      <c r="BM54" s="144"/>
      <c r="BN54" s="144"/>
      <c r="BO54" s="144"/>
      <c r="BP54" s="144"/>
      <c r="BQ54" s="144"/>
      <c r="BR54" s="144"/>
      <c r="BS54" s="144"/>
      <c r="BT54" s="144"/>
      <c r="BU54" s="144"/>
      <c r="BV54" s="144"/>
      <c r="BW54" s="144"/>
      <c r="BX54" s="144"/>
      <c r="BY54" s="144"/>
      <c r="BZ54" s="144"/>
      <c r="CA54" s="144"/>
      <c r="CB54" s="144"/>
      <c r="CC54" s="144"/>
      <c r="CD54" s="144"/>
      <c r="CE54" s="144"/>
      <c r="CF54" s="144"/>
      <c r="CG54" s="144"/>
      <c r="CH54" s="144"/>
    </row>
    <row r="55" spans="1:86" x14ac:dyDescent="0.3">
      <c r="A55" s="89" t="s">
        <v>256</v>
      </c>
      <c r="B55" s="89" t="s">
        <v>424</v>
      </c>
      <c r="C55" s="89" t="s">
        <v>392</v>
      </c>
      <c r="D55" s="2" t="s">
        <v>333</v>
      </c>
      <c r="E55" s="99" t="e">
        <f t="shared" si="0"/>
        <v>#DIV/0!</v>
      </c>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44"/>
      <c r="AS55" s="144"/>
      <c r="AT55" s="144"/>
      <c r="AU55" s="144"/>
      <c r="AV55" s="144"/>
      <c r="AW55" s="144"/>
      <c r="AX55" s="144"/>
      <c r="AY55" s="144"/>
      <c r="AZ55" s="144"/>
      <c r="BA55" s="144"/>
      <c r="BB55" s="144"/>
      <c r="BC55" s="144"/>
      <c r="BD55" s="144"/>
      <c r="BE55" s="144"/>
      <c r="BF55" s="144"/>
      <c r="BG55" s="144"/>
      <c r="BH55" s="144"/>
      <c r="BI55" s="144"/>
      <c r="BJ55" s="144"/>
      <c r="BK55" s="144"/>
      <c r="BL55" s="144"/>
      <c r="BM55" s="144"/>
      <c r="BN55" s="144"/>
      <c r="BO55" s="144"/>
      <c r="BP55" s="144"/>
      <c r="BQ55" s="144"/>
      <c r="BR55" s="144"/>
      <c r="BS55" s="144"/>
      <c r="BT55" s="144"/>
      <c r="BU55" s="144"/>
      <c r="BV55" s="144"/>
      <c r="BW55" s="144"/>
      <c r="BX55" s="144"/>
      <c r="BY55" s="144"/>
      <c r="BZ55" s="144"/>
      <c r="CA55" s="144"/>
      <c r="CB55" s="144"/>
      <c r="CC55" s="144"/>
      <c r="CD55" s="144"/>
      <c r="CE55" s="144"/>
      <c r="CF55" s="144"/>
      <c r="CG55" s="144"/>
      <c r="CH55" s="144"/>
    </row>
    <row r="56" spans="1:86" x14ac:dyDescent="0.3">
      <c r="A56" s="89" t="s">
        <v>256</v>
      </c>
      <c r="B56" s="89" t="s">
        <v>424</v>
      </c>
      <c r="C56" s="89" t="s">
        <v>392</v>
      </c>
      <c r="D56" s="2" t="s">
        <v>340</v>
      </c>
      <c r="E56" s="99" t="e">
        <f t="shared" si="0"/>
        <v>#DIV/0!</v>
      </c>
      <c r="F56" s="144"/>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c r="BT56" s="144"/>
      <c r="BU56" s="144"/>
      <c r="BV56" s="144"/>
      <c r="BW56" s="144"/>
      <c r="BX56" s="144"/>
      <c r="BY56" s="144"/>
      <c r="BZ56" s="144"/>
      <c r="CA56" s="144"/>
      <c r="CB56" s="144"/>
      <c r="CC56" s="144"/>
      <c r="CD56" s="144"/>
      <c r="CE56" s="144"/>
      <c r="CF56" s="144"/>
      <c r="CG56" s="144"/>
      <c r="CH56" s="144"/>
    </row>
    <row r="57" spans="1:86" x14ac:dyDescent="0.3">
      <c r="A57" s="89" t="s">
        <v>256</v>
      </c>
      <c r="B57" s="89" t="s">
        <v>424</v>
      </c>
      <c r="C57" s="89" t="s">
        <v>392</v>
      </c>
      <c r="D57" s="2" t="s">
        <v>334</v>
      </c>
      <c r="E57" s="99" t="e">
        <f t="shared" si="0"/>
        <v>#DIV/0!</v>
      </c>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4"/>
      <c r="AY57" s="144"/>
      <c r="AZ57" s="144"/>
      <c r="BA57" s="144"/>
      <c r="BB57" s="144"/>
      <c r="BC57" s="144"/>
      <c r="BD57" s="144"/>
      <c r="BE57" s="144"/>
      <c r="BF57" s="144"/>
      <c r="BG57" s="144"/>
      <c r="BH57" s="144"/>
      <c r="BI57" s="144"/>
      <c r="BJ57" s="144"/>
      <c r="BK57" s="144"/>
      <c r="BL57" s="144"/>
      <c r="BM57" s="144"/>
      <c r="BN57" s="144"/>
      <c r="BO57" s="144"/>
      <c r="BP57" s="144"/>
      <c r="BQ57" s="144"/>
      <c r="BR57" s="144"/>
      <c r="BS57" s="144"/>
      <c r="BT57" s="144"/>
      <c r="BU57" s="144"/>
      <c r="BV57" s="144"/>
      <c r="BW57" s="144"/>
      <c r="BX57" s="144"/>
      <c r="BY57" s="144"/>
      <c r="BZ57" s="144"/>
      <c r="CA57" s="144"/>
      <c r="CB57" s="144"/>
      <c r="CC57" s="144"/>
      <c r="CD57" s="144"/>
      <c r="CE57" s="144"/>
      <c r="CF57" s="144"/>
      <c r="CG57" s="144"/>
      <c r="CH57" s="144"/>
    </row>
    <row r="58" spans="1:86" x14ac:dyDescent="0.3">
      <c r="A58" s="89" t="s">
        <v>256</v>
      </c>
      <c r="B58" s="89" t="s">
        <v>424</v>
      </c>
      <c r="C58" s="89" t="s">
        <v>392</v>
      </c>
      <c r="D58" s="2" t="s">
        <v>341</v>
      </c>
      <c r="E58" s="99" t="e">
        <f t="shared" si="0"/>
        <v>#DIV/0!</v>
      </c>
      <c r="F58" s="144"/>
      <c r="G58" s="144"/>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4"/>
      <c r="AY58" s="144"/>
      <c r="AZ58" s="144"/>
      <c r="BA58" s="144"/>
      <c r="BB58" s="144"/>
      <c r="BC58" s="144"/>
      <c r="BD58" s="144"/>
      <c r="BE58" s="144"/>
      <c r="BF58" s="144"/>
      <c r="BG58" s="144"/>
      <c r="BH58" s="144"/>
      <c r="BI58" s="144"/>
      <c r="BJ58" s="144"/>
      <c r="BK58" s="144"/>
      <c r="BL58" s="144"/>
      <c r="BM58" s="144"/>
      <c r="BN58" s="144"/>
      <c r="BO58" s="144"/>
      <c r="BP58" s="144"/>
      <c r="BQ58" s="144"/>
      <c r="BR58" s="144"/>
      <c r="BS58" s="144"/>
      <c r="BT58" s="144"/>
      <c r="BU58" s="144"/>
      <c r="BV58" s="144"/>
      <c r="BW58" s="144"/>
      <c r="BX58" s="144"/>
      <c r="BY58" s="144"/>
      <c r="BZ58" s="144"/>
      <c r="CA58" s="144"/>
      <c r="CB58" s="144"/>
      <c r="CC58" s="144"/>
      <c r="CD58" s="144"/>
      <c r="CE58" s="144"/>
      <c r="CF58" s="144"/>
      <c r="CG58" s="144"/>
      <c r="CH58" s="144"/>
    </row>
    <row r="59" spans="1:86" x14ac:dyDescent="0.3">
      <c r="A59" s="89" t="s">
        <v>256</v>
      </c>
      <c r="B59" s="89" t="s">
        <v>424</v>
      </c>
      <c r="C59" s="89" t="s">
        <v>392</v>
      </c>
      <c r="D59" s="2" t="s">
        <v>335</v>
      </c>
      <c r="E59" s="99" t="e">
        <f t="shared" si="0"/>
        <v>#DIV/0!</v>
      </c>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4"/>
      <c r="AY59" s="144"/>
      <c r="AZ59" s="144"/>
      <c r="BA59" s="144"/>
      <c r="BB59" s="144"/>
      <c r="BC59" s="144"/>
      <c r="BD59" s="144"/>
      <c r="BE59" s="144"/>
      <c r="BF59" s="144"/>
      <c r="BG59" s="144"/>
      <c r="BH59" s="144"/>
      <c r="BI59" s="144"/>
      <c r="BJ59" s="144"/>
      <c r="BK59" s="144"/>
      <c r="BL59" s="144"/>
      <c r="BM59" s="144"/>
      <c r="BN59" s="144"/>
      <c r="BO59" s="144"/>
      <c r="BP59" s="144"/>
      <c r="BQ59" s="144"/>
      <c r="BR59" s="144"/>
      <c r="BS59" s="144"/>
      <c r="BT59" s="144"/>
      <c r="BU59" s="144"/>
      <c r="BV59" s="144"/>
      <c r="BW59" s="144"/>
      <c r="BX59" s="144"/>
      <c r="BY59" s="144"/>
      <c r="BZ59" s="144"/>
      <c r="CA59" s="144"/>
      <c r="CB59" s="144"/>
      <c r="CC59" s="144"/>
      <c r="CD59" s="144"/>
      <c r="CE59" s="144"/>
      <c r="CF59" s="144"/>
      <c r="CG59" s="144"/>
      <c r="CH59" s="144"/>
    </row>
    <row r="60" spans="1:86" x14ac:dyDescent="0.3">
      <c r="A60" s="89" t="s">
        <v>256</v>
      </c>
      <c r="B60" s="89" t="s">
        <v>424</v>
      </c>
      <c r="C60" s="89" t="s">
        <v>392</v>
      </c>
      <c r="D60" s="2" t="s">
        <v>342</v>
      </c>
      <c r="E60" s="99" t="e">
        <f t="shared" si="0"/>
        <v>#DIV/0!</v>
      </c>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44"/>
      <c r="AM60" s="144"/>
      <c r="AN60" s="144"/>
      <c r="AO60" s="144"/>
      <c r="AP60" s="144"/>
      <c r="AQ60" s="144"/>
      <c r="AR60" s="144"/>
      <c r="AS60" s="144"/>
      <c r="AT60" s="144"/>
      <c r="AU60" s="144"/>
      <c r="AV60" s="144"/>
      <c r="AW60" s="144"/>
      <c r="AX60" s="144"/>
      <c r="AY60" s="144"/>
      <c r="AZ60" s="144"/>
      <c r="BA60" s="144"/>
      <c r="BB60" s="144"/>
      <c r="BC60" s="144"/>
      <c r="BD60" s="144"/>
      <c r="BE60" s="144"/>
      <c r="BF60" s="144"/>
      <c r="BG60" s="144"/>
      <c r="BH60" s="144"/>
      <c r="BI60" s="144"/>
      <c r="BJ60" s="144"/>
      <c r="BK60" s="144"/>
      <c r="BL60" s="144"/>
      <c r="BM60" s="144"/>
      <c r="BN60" s="144"/>
      <c r="BO60" s="144"/>
      <c r="BP60" s="144"/>
      <c r="BQ60" s="144"/>
      <c r="BR60" s="144"/>
      <c r="BS60" s="144"/>
      <c r="BT60" s="144"/>
      <c r="BU60" s="144"/>
      <c r="BV60" s="144"/>
      <c r="BW60" s="144"/>
      <c r="BX60" s="144"/>
      <c r="BY60" s="144"/>
      <c r="BZ60" s="144"/>
      <c r="CA60" s="144"/>
      <c r="CB60" s="144"/>
      <c r="CC60" s="144"/>
      <c r="CD60" s="144"/>
      <c r="CE60" s="144"/>
      <c r="CF60" s="144"/>
      <c r="CG60" s="144"/>
      <c r="CH60" s="144"/>
    </row>
    <row r="61" spans="1:86" x14ac:dyDescent="0.3">
      <c r="A61" s="89" t="s">
        <v>256</v>
      </c>
      <c r="B61" s="89" t="s">
        <v>424</v>
      </c>
      <c r="C61" s="89" t="s">
        <v>392</v>
      </c>
      <c r="D61" s="2" t="s">
        <v>336</v>
      </c>
      <c r="E61" s="99" t="e">
        <f t="shared" si="0"/>
        <v>#DIV/0!</v>
      </c>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4"/>
      <c r="AQ61" s="144"/>
      <c r="AR61" s="144"/>
      <c r="AS61" s="144"/>
      <c r="AT61" s="144"/>
      <c r="AU61" s="144"/>
      <c r="AV61" s="144"/>
      <c r="AW61" s="144"/>
      <c r="AX61" s="144"/>
      <c r="AY61" s="144"/>
      <c r="AZ61" s="144"/>
      <c r="BA61" s="144"/>
      <c r="BB61" s="144"/>
      <c r="BC61" s="144"/>
      <c r="BD61" s="144"/>
      <c r="BE61" s="144"/>
      <c r="BF61" s="144"/>
      <c r="BG61" s="144"/>
      <c r="BH61" s="144"/>
      <c r="BI61" s="144"/>
      <c r="BJ61" s="144"/>
      <c r="BK61" s="144"/>
      <c r="BL61" s="144"/>
      <c r="BM61" s="144"/>
      <c r="BN61" s="144"/>
      <c r="BO61" s="144"/>
      <c r="BP61" s="144"/>
      <c r="BQ61" s="144"/>
      <c r="BR61" s="144"/>
      <c r="BS61" s="144"/>
      <c r="BT61" s="144"/>
      <c r="BU61" s="144"/>
      <c r="BV61" s="144"/>
      <c r="BW61" s="144"/>
      <c r="BX61" s="144"/>
      <c r="BY61" s="144"/>
      <c r="BZ61" s="144"/>
      <c r="CA61" s="144"/>
      <c r="CB61" s="144"/>
      <c r="CC61" s="144"/>
      <c r="CD61" s="144"/>
      <c r="CE61" s="144"/>
      <c r="CF61" s="144"/>
      <c r="CG61" s="144"/>
      <c r="CH61" s="144"/>
    </row>
    <row r="62" spans="1:86" x14ac:dyDescent="0.3">
      <c r="A62" s="89" t="s">
        <v>256</v>
      </c>
      <c r="B62" s="89" t="s">
        <v>424</v>
      </c>
      <c r="C62" s="89" t="s">
        <v>392</v>
      </c>
      <c r="D62" s="2" t="s">
        <v>343</v>
      </c>
      <c r="E62" s="99" t="e">
        <f t="shared" si="0"/>
        <v>#DIV/0!</v>
      </c>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4"/>
      <c r="AQ62" s="144"/>
      <c r="AR62" s="144"/>
      <c r="AS62" s="144"/>
      <c r="AT62" s="144"/>
      <c r="AU62" s="144"/>
      <c r="AV62" s="144"/>
      <c r="AW62" s="144"/>
      <c r="AX62" s="144"/>
      <c r="AY62" s="144"/>
      <c r="AZ62" s="144"/>
      <c r="BA62" s="144"/>
      <c r="BB62" s="144"/>
      <c r="BC62" s="144"/>
      <c r="BD62" s="144"/>
      <c r="BE62" s="144"/>
      <c r="BF62" s="144"/>
      <c r="BG62" s="144"/>
      <c r="BH62" s="144"/>
      <c r="BI62" s="144"/>
      <c r="BJ62" s="144"/>
      <c r="BK62" s="144"/>
      <c r="BL62" s="144"/>
      <c r="BM62" s="144"/>
      <c r="BN62" s="144"/>
      <c r="BO62" s="144"/>
      <c r="BP62" s="144"/>
      <c r="BQ62" s="144"/>
      <c r="BR62" s="144"/>
      <c r="BS62" s="144"/>
      <c r="BT62" s="144"/>
      <c r="BU62" s="144"/>
      <c r="BV62" s="144"/>
      <c r="BW62" s="144"/>
      <c r="BX62" s="144"/>
      <c r="BY62" s="144"/>
      <c r="BZ62" s="144"/>
      <c r="CA62" s="144"/>
      <c r="CB62" s="144"/>
      <c r="CC62" s="144"/>
      <c r="CD62" s="144"/>
      <c r="CE62" s="144"/>
      <c r="CF62" s="144"/>
      <c r="CG62" s="144"/>
      <c r="CH62" s="144"/>
    </row>
    <row r="63" spans="1:86" x14ac:dyDescent="0.3">
      <c r="A63" s="89" t="s">
        <v>256</v>
      </c>
      <c r="B63" s="89" t="s">
        <v>424</v>
      </c>
      <c r="C63" s="89" t="s">
        <v>392</v>
      </c>
      <c r="D63" s="2" t="s">
        <v>337</v>
      </c>
      <c r="E63" s="99" t="e">
        <f t="shared" si="0"/>
        <v>#DIV/0!</v>
      </c>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4"/>
      <c r="AY63" s="144"/>
      <c r="AZ63" s="144"/>
      <c r="BA63" s="144"/>
      <c r="BB63" s="144"/>
      <c r="BC63" s="144"/>
      <c r="BD63" s="144"/>
      <c r="BE63" s="144"/>
      <c r="BF63" s="144"/>
      <c r="BG63" s="144"/>
      <c r="BH63" s="144"/>
      <c r="BI63" s="144"/>
      <c r="BJ63" s="144"/>
      <c r="BK63" s="144"/>
      <c r="BL63" s="144"/>
      <c r="BM63" s="144"/>
      <c r="BN63" s="144"/>
      <c r="BO63" s="144"/>
      <c r="BP63" s="144"/>
      <c r="BQ63" s="144"/>
      <c r="BR63" s="144"/>
      <c r="BS63" s="144"/>
      <c r="BT63" s="144"/>
      <c r="BU63" s="144"/>
      <c r="BV63" s="144"/>
      <c r="BW63" s="144"/>
      <c r="BX63" s="144"/>
      <c r="BY63" s="144"/>
      <c r="BZ63" s="144"/>
      <c r="CA63" s="144"/>
      <c r="CB63" s="144"/>
      <c r="CC63" s="144"/>
      <c r="CD63" s="144"/>
      <c r="CE63" s="144"/>
      <c r="CF63" s="144"/>
      <c r="CG63" s="144"/>
      <c r="CH63" s="144"/>
    </row>
    <row r="64" spans="1:86" x14ac:dyDescent="0.3">
      <c r="A64" s="89" t="s">
        <v>256</v>
      </c>
      <c r="B64" s="89" t="s">
        <v>424</v>
      </c>
      <c r="C64" s="89" t="s">
        <v>392</v>
      </c>
      <c r="D64" s="2" t="s">
        <v>344</v>
      </c>
      <c r="E64" s="99" t="e">
        <f t="shared" si="0"/>
        <v>#DIV/0!</v>
      </c>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P64" s="144"/>
      <c r="AQ64" s="144"/>
      <c r="AR64" s="144"/>
      <c r="AS64" s="144"/>
      <c r="AT64" s="144"/>
      <c r="AU64" s="144"/>
      <c r="AV64" s="144"/>
      <c r="AW64" s="144"/>
      <c r="AX64" s="144"/>
      <c r="AY64" s="144"/>
      <c r="AZ64" s="144"/>
      <c r="BA64" s="144"/>
      <c r="BB64" s="144"/>
      <c r="BC64" s="144"/>
      <c r="BD64" s="144"/>
      <c r="BE64" s="144"/>
      <c r="BF64" s="144"/>
      <c r="BG64" s="144"/>
      <c r="BH64" s="144"/>
      <c r="BI64" s="144"/>
      <c r="BJ64" s="144"/>
      <c r="BK64" s="144"/>
      <c r="BL64" s="144"/>
      <c r="BM64" s="144"/>
      <c r="BN64" s="144"/>
      <c r="BO64" s="144"/>
      <c r="BP64" s="144"/>
      <c r="BQ64" s="144"/>
      <c r="BR64" s="144"/>
      <c r="BS64" s="144"/>
      <c r="BT64" s="144"/>
      <c r="BU64" s="144"/>
      <c r="BV64" s="144"/>
      <c r="BW64" s="144"/>
      <c r="BX64" s="144"/>
      <c r="BY64" s="144"/>
      <c r="BZ64" s="144"/>
      <c r="CA64" s="144"/>
      <c r="CB64" s="144"/>
      <c r="CC64" s="144"/>
      <c r="CD64" s="144"/>
      <c r="CE64" s="144"/>
      <c r="CF64" s="144"/>
      <c r="CG64" s="144"/>
      <c r="CH64" s="144"/>
    </row>
    <row r="65" spans="1:86" x14ac:dyDescent="0.3">
      <c r="A65" s="89" t="s">
        <v>256</v>
      </c>
      <c r="B65" s="89" t="s">
        <v>424</v>
      </c>
      <c r="C65" s="89" t="s">
        <v>392</v>
      </c>
      <c r="D65" s="2" t="s">
        <v>347</v>
      </c>
      <c r="E65" s="99" t="e">
        <f t="shared" si="0"/>
        <v>#DIV/0!</v>
      </c>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4"/>
      <c r="BD65" s="144"/>
      <c r="BE65" s="144"/>
      <c r="BF65" s="144"/>
      <c r="BG65" s="144"/>
      <c r="BH65" s="144"/>
      <c r="BI65" s="144"/>
      <c r="BJ65" s="144"/>
      <c r="BK65" s="144"/>
      <c r="BL65" s="144"/>
      <c r="BM65" s="144"/>
      <c r="BN65" s="144"/>
      <c r="BO65" s="144"/>
      <c r="BP65" s="144"/>
      <c r="BQ65" s="144"/>
      <c r="BR65" s="144"/>
      <c r="BS65" s="144"/>
      <c r="BT65" s="144"/>
      <c r="BU65" s="144"/>
      <c r="BV65" s="144"/>
      <c r="BW65" s="144"/>
      <c r="BX65" s="144"/>
      <c r="BY65" s="144"/>
      <c r="BZ65" s="144"/>
      <c r="CA65" s="144"/>
      <c r="CB65" s="144"/>
      <c r="CC65" s="144"/>
      <c r="CD65" s="144"/>
      <c r="CE65" s="144"/>
      <c r="CF65" s="144"/>
      <c r="CG65" s="144"/>
      <c r="CH65" s="144"/>
    </row>
    <row r="66" spans="1:86" x14ac:dyDescent="0.3">
      <c r="A66" s="89" t="s">
        <v>256</v>
      </c>
      <c r="B66" s="89" t="s">
        <v>424</v>
      </c>
      <c r="C66" s="89" t="s">
        <v>392</v>
      </c>
      <c r="D66" s="2" t="s">
        <v>350</v>
      </c>
      <c r="E66" s="99" t="e">
        <f t="shared" si="0"/>
        <v>#DIV/0!</v>
      </c>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144"/>
      <c r="BB66" s="144"/>
      <c r="BC66" s="144"/>
      <c r="BD66" s="144"/>
      <c r="BE66" s="144"/>
      <c r="BF66" s="144"/>
      <c r="BG66" s="144"/>
      <c r="BH66" s="144"/>
      <c r="BI66" s="144"/>
      <c r="BJ66" s="144"/>
      <c r="BK66" s="144"/>
      <c r="BL66" s="144"/>
      <c r="BM66" s="144"/>
      <c r="BN66" s="144"/>
      <c r="BO66" s="144"/>
      <c r="BP66" s="144"/>
      <c r="BQ66" s="144"/>
      <c r="BR66" s="144"/>
      <c r="BS66" s="144"/>
      <c r="BT66" s="144"/>
      <c r="BU66" s="144"/>
      <c r="BV66" s="144"/>
      <c r="BW66" s="144"/>
      <c r="BX66" s="144"/>
      <c r="BY66" s="144"/>
      <c r="BZ66" s="144"/>
      <c r="CA66" s="144"/>
      <c r="CB66" s="144"/>
      <c r="CC66" s="144"/>
      <c r="CD66" s="144"/>
      <c r="CE66" s="144"/>
      <c r="CF66" s="144"/>
      <c r="CG66" s="144"/>
      <c r="CH66" s="144"/>
    </row>
    <row r="67" spans="1:86" x14ac:dyDescent="0.3">
      <c r="A67" s="89" t="s">
        <v>256</v>
      </c>
      <c r="B67" s="89" t="s">
        <v>424</v>
      </c>
      <c r="C67" s="89" t="s">
        <v>392</v>
      </c>
      <c r="D67" s="2" t="s">
        <v>348</v>
      </c>
      <c r="E67" s="99" t="e">
        <f t="shared" si="0"/>
        <v>#DIV/0!</v>
      </c>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4"/>
      <c r="AY67" s="144"/>
      <c r="AZ67" s="144"/>
      <c r="BA67" s="144"/>
      <c r="BB67" s="144"/>
      <c r="BC67" s="144"/>
      <c r="BD67" s="144"/>
      <c r="BE67" s="144"/>
      <c r="BF67" s="144"/>
      <c r="BG67" s="144"/>
      <c r="BH67" s="144"/>
      <c r="BI67" s="144"/>
      <c r="BJ67" s="144"/>
      <c r="BK67" s="144"/>
      <c r="BL67" s="144"/>
      <c r="BM67" s="144"/>
      <c r="BN67" s="144"/>
      <c r="BO67" s="144"/>
      <c r="BP67" s="144"/>
      <c r="BQ67" s="144"/>
      <c r="BR67" s="144"/>
      <c r="BS67" s="144"/>
      <c r="BT67" s="144"/>
      <c r="BU67" s="144"/>
      <c r="BV67" s="144"/>
      <c r="BW67" s="144"/>
      <c r="BX67" s="144"/>
      <c r="BY67" s="144"/>
      <c r="BZ67" s="144"/>
      <c r="CA67" s="144"/>
      <c r="CB67" s="144"/>
      <c r="CC67" s="144"/>
      <c r="CD67" s="144"/>
      <c r="CE67" s="144"/>
      <c r="CF67" s="144"/>
      <c r="CG67" s="144"/>
      <c r="CH67" s="144"/>
    </row>
    <row r="68" spans="1:86" x14ac:dyDescent="0.3">
      <c r="A68" s="89" t="s">
        <v>256</v>
      </c>
      <c r="B68" s="89" t="s">
        <v>424</v>
      </c>
      <c r="C68" s="89" t="s">
        <v>392</v>
      </c>
      <c r="D68" s="2" t="s">
        <v>349</v>
      </c>
      <c r="E68" s="99" t="e">
        <f t="shared" si="0"/>
        <v>#DIV/0!</v>
      </c>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144"/>
      <c r="AL68" s="144"/>
      <c r="AM68" s="144"/>
      <c r="AN68" s="144"/>
      <c r="AO68" s="144"/>
      <c r="AP68" s="144"/>
      <c r="AQ68" s="144"/>
      <c r="AR68" s="144"/>
      <c r="AS68" s="144"/>
      <c r="AT68" s="144"/>
      <c r="AU68" s="144"/>
      <c r="AV68" s="144"/>
      <c r="AW68" s="144"/>
      <c r="AX68" s="144"/>
      <c r="AY68" s="144"/>
      <c r="AZ68" s="144"/>
      <c r="BA68" s="144"/>
      <c r="BB68" s="144"/>
      <c r="BC68" s="144"/>
      <c r="BD68" s="144"/>
      <c r="BE68" s="144"/>
      <c r="BF68" s="144"/>
      <c r="BG68" s="144"/>
      <c r="BH68" s="144"/>
      <c r="BI68" s="144"/>
      <c r="BJ68" s="144"/>
      <c r="BK68" s="144"/>
      <c r="BL68" s="144"/>
      <c r="BM68" s="144"/>
      <c r="BN68" s="144"/>
      <c r="BO68" s="144"/>
      <c r="BP68" s="144"/>
      <c r="BQ68" s="144"/>
      <c r="BR68" s="144"/>
      <c r="BS68" s="144"/>
      <c r="BT68" s="144"/>
      <c r="BU68" s="144"/>
      <c r="BV68" s="144"/>
      <c r="BW68" s="144"/>
      <c r="BX68" s="144"/>
      <c r="BY68" s="144"/>
      <c r="BZ68" s="144"/>
      <c r="CA68" s="144"/>
      <c r="CB68" s="144"/>
      <c r="CC68" s="144"/>
      <c r="CD68" s="144"/>
      <c r="CE68" s="144"/>
      <c r="CF68" s="144"/>
      <c r="CG68" s="144"/>
      <c r="CH68" s="144"/>
    </row>
    <row r="69" spans="1:86" x14ac:dyDescent="0.3">
      <c r="A69" s="89" t="s">
        <v>256</v>
      </c>
      <c r="B69" s="89" t="s">
        <v>424</v>
      </c>
      <c r="C69" s="89" t="s">
        <v>392</v>
      </c>
      <c r="D69" s="2" t="s">
        <v>351</v>
      </c>
      <c r="E69" s="99" t="e">
        <f t="shared" si="0"/>
        <v>#DIV/0!</v>
      </c>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c r="AK69" s="144"/>
      <c r="AL69" s="144"/>
      <c r="AM69" s="144"/>
      <c r="AN69" s="144"/>
      <c r="AO69" s="144"/>
      <c r="AP69" s="144"/>
      <c r="AQ69" s="144"/>
      <c r="AR69" s="144"/>
      <c r="AS69" s="144"/>
      <c r="AT69" s="144"/>
      <c r="AU69" s="144"/>
      <c r="AV69" s="144"/>
      <c r="AW69" s="144"/>
      <c r="AX69" s="144"/>
      <c r="AY69" s="144"/>
      <c r="AZ69" s="144"/>
      <c r="BA69" s="144"/>
      <c r="BB69" s="144"/>
      <c r="BC69" s="144"/>
      <c r="BD69" s="144"/>
      <c r="BE69" s="144"/>
      <c r="BF69" s="144"/>
      <c r="BG69" s="144"/>
      <c r="BH69" s="144"/>
      <c r="BI69" s="144"/>
      <c r="BJ69" s="144"/>
      <c r="BK69" s="144"/>
      <c r="BL69" s="144"/>
      <c r="BM69" s="144"/>
      <c r="BN69" s="144"/>
      <c r="BO69" s="144"/>
      <c r="BP69" s="144"/>
      <c r="BQ69" s="144"/>
      <c r="BR69" s="144"/>
      <c r="BS69" s="144"/>
      <c r="BT69" s="144"/>
      <c r="BU69" s="144"/>
      <c r="BV69" s="144"/>
      <c r="BW69" s="144"/>
      <c r="BX69" s="144"/>
      <c r="BY69" s="144"/>
      <c r="BZ69" s="144"/>
      <c r="CA69" s="144"/>
      <c r="CB69" s="144"/>
      <c r="CC69" s="144"/>
      <c r="CD69" s="144"/>
      <c r="CE69" s="144"/>
      <c r="CF69" s="144"/>
      <c r="CG69" s="144"/>
      <c r="CH69" s="144"/>
    </row>
    <row r="70" spans="1:86" x14ac:dyDescent="0.3">
      <c r="A70" s="89" t="s">
        <v>256</v>
      </c>
      <c r="B70" s="89" t="s">
        <v>424</v>
      </c>
      <c r="C70" s="89" t="s">
        <v>392</v>
      </c>
      <c r="D70" s="2" t="s">
        <v>352</v>
      </c>
      <c r="E70" s="99" t="e">
        <f t="shared" ref="E70:E83" si="1">(INDEX($F70:$XFD70,1,$E$2)-INDEX($F70:$XFD70,1,$E$1))/INDEX($F70:$XFD70,1,$E$1)</f>
        <v>#DIV/0!</v>
      </c>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144"/>
      <c r="AU70" s="144"/>
      <c r="AV70" s="144"/>
      <c r="AW70" s="144"/>
      <c r="AX70" s="144"/>
      <c r="AY70" s="144"/>
      <c r="AZ70" s="144"/>
      <c r="BA70" s="144"/>
      <c r="BB70" s="144"/>
      <c r="BC70" s="144"/>
      <c r="BD70" s="144"/>
      <c r="BE70" s="144"/>
      <c r="BF70" s="144"/>
      <c r="BG70" s="144"/>
      <c r="BH70" s="144"/>
      <c r="BI70" s="144"/>
      <c r="BJ70" s="144"/>
      <c r="BK70" s="144"/>
      <c r="BL70" s="144"/>
      <c r="BM70" s="144"/>
      <c r="BN70" s="144"/>
      <c r="BO70" s="144"/>
      <c r="BP70" s="144"/>
      <c r="BQ70" s="144"/>
      <c r="BR70" s="144"/>
      <c r="BS70" s="144"/>
      <c r="BT70" s="144"/>
      <c r="BU70" s="144"/>
      <c r="BV70" s="144"/>
      <c r="BW70" s="144"/>
      <c r="BX70" s="144"/>
      <c r="BY70" s="144"/>
      <c r="BZ70" s="144"/>
      <c r="CA70" s="144"/>
      <c r="CB70" s="144"/>
      <c r="CC70" s="144"/>
      <c r="CD70" s="144"/>
      <c r="CE70" s="144"/>
      <c r="CF70" s="144"/>
      <c r="CG70" s="144"/>
      <c r="CH70" s="144"/>
    </row>
    <row r="71" spans="1:86" x14ac:dyDescent="0.3">
      <c r="A71" s="89" t="s">
        <v>256</v>
      </c>
      <c r="B71" s="89" t="s">
        <v>424</v>
      </c>
      <c r="C71" s="89" t="s">
        <v>372</v>
      </c>
      <c r="D71" s="2" t="s">
        <v>370</v>
      </c>
      <c r="E71" s="99" t="e">
        <f t="shared" si="1"/>
        <v>#DIV/0!</v>
      </c>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c r="AV71" s="144"/>
      <c r="AW71" s="144"/>
      <c r="AX71" s="144"/>
      <c r="AY71" s="144"/>
      <c r="AZ71" s="144"/>
      <c r="BA71" s="144"/>
      <c r="BB71" s="144"/>
      <c r="BC71" s="144"/>
      <c r="BD71" s="144"/>
      <c r="BE71" s="144"/>
      <c r="BF71" s="144"/>
      <c r="BG71" s="144"/>
      <c r="BH71" s="144"/>
      <c r="BI71" s="144"/>
      <c r="BJ71" s="144"/>
      <c r="BK71" s="144"/>
      <c r="BL71" s="144"/>
      <c r="BM71" s="144"/>
      <c r="BN71" s="144"/>
      <c r="BO71" s="144"/>
      <c r="BP71" s="144"/>
      <c r="BQ71" s="144"/>
      <c r="BR71" s="144"/>
      <c r="BS71" s="144"/>
      <c r="BT71" s="144"/>
      <c r="BU71" s="144"/>
      <c r="BV71" s="144"/>
      <c r="BW71" s="144"/>
      <c r="BX71" s="144"/>
      <c r="BY71" s="144"/>
      <c r="BZ71" s="144"/>
      <c r="CA71" s="144"/>
      <c r="CB71" s="144"/>
      <c r="CC71" s="144"/>
      <c r="CD71" s="144"/>
      <c r="CE71" s="144"/>
      <c r="CF71" s="144"/>
      <c r="CG71" s="144"/>
      <c r="CH71" s="144"/>
    </row>
    <row r="72" spans="1:86" x14ac:dyDescent="0.3">
      <c r="A72" s="89" t="s">
        <v>256</v>
      </c>
      <c r="B72" s="89" t="s">
        <v>424</v>
      </c>
      <c r="C72" s="89" t="s">
        <v>372</v>
      </c>
      <c r="D72" s="2" t="s">
        <v>371</v>
      </c>
      <c r="E72" s="99" t="e">
        <f t="shared" si="1"/>
        <v>#DIV/0!</v>
      </c>
      <c r="F72" s="172"/>
      <c r="G72" s="172"/>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2"/>
      <c r="AL72" s="172"/>
      <c r="AM72" s="172"/>
      <c r="AN72" s="172"/>
      <c r="AO72" s="172"/>
      <c r="AP72" s="172"/>
      <c r="AQ72" s="172"/>
      <c r="AR72" s="172"/>
      <c r="AS72" s="172"/>
      <c r="AT72" s="172"/>
      <c r="AU72" s="172"/>
      <c r="AV72" s="172"/>
      <c r="AW72" s="172"/>
      <c r="AX72" s="172"/>
      <c r="AY72" s="172"/>
      <c r="AZ72" s="172"/>
      <c r="BA72" s="172"/>
      <c r="BB72" s="172"/>
      <c r="BC72" s="172"/>
      <c r="BD72" s="172"/>
      <c r="BE72" s="172"/>
      <c r="BF72" s="172"/>
      <c r="BG72" s="172"/>
      <c r="BH72" s="172"/>
      <c r="BI72" s="172"/>
      <c r="BJ72" s="172"/>
      <c r="BK72" s="172"/>
      <c r="BL72" s="172"/>
      <c r="BM72" s="172"/>
      <c r="BN72" s="172"/>
      <c r="BO72" s="172"/>
      <c r="BP72" s="172"/>
      <c r="BQ72" s="172"/>
      <c r="BR72" s="172"/>
      <c r="BS72" s="172"/>
      <c r="BT72" s="172"/>
      <c r="BU72" s="172"/>
      <c r="BV72" s="172"/>
      <c r="BW72" s="172"/>
      <c r="BX72" s="172"/>
      <c r="BY72" s="172"/>
      <c r="BZ72" s="172"/>
      <c r="CA72" s="172"/>
      <c r="CB72" s="172"/>
      <c r="CC72" s="172"/>
      <c r="CD72" s="172"/>
      <c r="CE72" s="172"/>
      <c r="CF72" s="172"/>
      <c r="CG72" s="172"/>
      <c r="CH72" s="172"/>
    </row>
    <row r="73" spans="1:86" x14ac:dyDescent="0.3">
      <c r="A73" s="89" t="s">
        <v>259</v>
      </c>
      <c r="B73" s="89" t="s">
        <v>424</v>
      </c>
      <c r="C73" s="89" t="s">
        <v>392</v>
      </c>
      <c r="D73" s="2" t="s">
        <v>407</v>
      </c>
      <c r="E73" s="99" t="e">
        <f t="shared" si="1"/>
        <v>#DIV/0!</v>
      </c>
      <c r="F73" s="173"/>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c r="AW73" s="173"/>
      <c r="AX73" s="173"/>
      <c r="AY73" s="173"/>
      <c r="AZ73" s="173"/>
      <c r="BA73" s="173"/>
      <c r="BB73" s="173"/>
      <c r="BC73" s="173"/>
      <c r="BD73" s="173"/>
      <c r="BE73" s="173"/>
      <c r="BF73" s="173"/>
      <c r="BG73" s="173"/>
      <c r="BH73" s="173"/>
      <c r="BI73" s="173"/>
      <c r="BJ73" s="173"/>
      <c r="BK73" s="173"/>
      <c r="BL73" s="173"/>
      <c r="BM73" s="173"/>
      <c r="BN73" s="173"/>
      <c r="BO73" s="173"/>
      <c r="BP73" s="173"/>
      <c r="BQ73" s="173"/>
      <c r="BR73" s="173"/>
      <c r="BS73" s="173"/>
      <c r="BT73" s="173"/>
      <c r="BU73" s="173"/>
      <c r="BV73" s="173"/>
      <c r="BW73" s="173"/>
      <c r="BX73" s="173"/>
      <c r="BY73" s="173"/>
      <c r="BZ73" s="173"/>
      <c r="CA73" s="173"/>
      <c r="CB73" s="173"/>
      <c r="CC73" s="173"/>
      <c r="CD73" s="173"/>
      <c r="CE73" s="173"/>
      <c r="CF73" s="173"/>
      <c r="CG73" s="173"/>
      <c r="CH73" s="173"/>
    </row>
    <row r="74" spans="1:86" x14ac:dyDescent="0.3">
      <c r="A74" s="89" t="s">
        <v>259</v>
      </c>
      <c r="B74" s="89" t="s">
        <v>424</v>
      </c>
      <c r="C74" s="89" t="s">
        <v>392</v>
      </c>
      <c r="D74" s="2" t="s">
        <v>408</v>
      </c>
      <c r="E74" s="99" t="e">
        <f t="shared" si="1"/>
        <v>#DIV/0!</v>
      </c>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c r="AW74" s="173"/>
      <c r="AX74" s="173"/>
      <c r="AY74" s="173"/>
      <c r="AZ74" s="173"/>
      <c r="BA74" s="173"/>
      <c r="BB74" s="173"/>
      <c r="BC74" s="173"/>
      <c r="BD74" s="173"/>
      <c r="BE74" s="173"/>
      <c r="BF74" s="173"/>
      <c r="BG74" s="173"/>
      <c r="BH74" s="173"/>
      <c r="BI74" s="173"/>
      <c r="BJ74" s="173"/>
      <c r="BK74" s="173"/>
      <c r="BL74" s="173"/>
      <c r="BM74" s="173"/>
      <c r="BN74" s="173"/>
      <c r="BO74" s="173"/>
      <c r="BP74" s="173"/>
      <c r="BQ74" s="173"/>
      <c r="BR74" s="173"/>
      <c r="BS74" s="173"/>
      <c r="BT74" s="173"/>
      <c r="BU74" s="173"/>
      <c r="BV74" s="173"/>
      <c r="BW74" s="173"/>
      <c r="BX74" s="173"/>
      <c r="BY74" s="173"/>
      <c r="BZ74" s="173"/>
      <c r="CA74" s="173"/>
      <c r="CB74" s="173"/>
      <c r="CC74" s="173"/>
      <c r="CD74" s="173"/>
      <c r="CE74" s="173"/>
      <c r="CF74" s="173"/>
      <c r="CG74" s="173"/>
      <c r="CH74" s="173"/>
    </row>
    <row r="75" spans="1:86" x14ac:dyDescent="0.3">
      <c r="A75" s="89" t="s">
        <v>259</v>
      </c>
      <c r="B75" s="89" t="s">
        <v>424</v>
      </c>
      <c r="C75" s="89" t="s">
        <v>392</v>
      </c>
      <c r="D75" s="2" t="s">
        <v>409</v>
      </c>
      <c r="E75" s="99" t="e">
        <f t="shared" si="1"/>
        <v>#DIV/0!</v>
      </c>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c r="AX75" s="173"/>
      <c r="AY75" s="173"/>
      <c r="AZ75" s="173"/>
      <c r="BA75" s="173"/>
      <c r="BB75" s="173"/>
      <c r="BC75" s="173"/>
      <c r="BD75" s="173"/>
      <c r="BE75" s="173"/>
      <c r="BF75" s="173"/>
      <c r="BG75" s="173"/>
      <c r="BH75" s="173"/>
      <c r="BI75" s="173"/>
      <c r="BJ75" s="173"/>
      <c r="BK75" s="173"/>
      <c r="BL75" s="173"/>
      <c r="BM75" s="173"/>
      <c r="BN75" s="173"/>
      <c r="BO75" s="173"/>
      <c r="BP75" s="173"/>
      <c r="BQ75" s="173"/>
      <c r="BR75" s="173"/>
      <c r="BS75" s="173"/>
      <c r="BT75" s="173"/>
      <c r="BU75" s="173"/>
      <c r="BV75" s="173"/>
      <c r="BW75" s="173"/>
      <c r="BX75" s="173"/>
      <c r="BY75" s="173"/>
      <c r="BZ75" s="173"/>
      <c r="CA75" s="173"/>
      <c r="CB75" s="173"/>
      <c r="CC75" s="173"/>
      <c r="CD75" s="173"/>
      <c r="CE75" s="173"/>
      <c r="CF75" s="173"/>
      <c r="CG75" s="173"/>
      <c r="CH75" s="173"/>
    </row>
    <row r="76" spans="1:86" x14ac:dyDescent="0.3">
      <c r="A76" s="89" t="s">
        <v>259</v>
      </c>
      <c r="B76" s="89" t="s">
        <v>424</v>
      </c>
      <c r="C76" s="89" t="s">
        <v>392</v>
      </c>
      <c r="D76" s="2" t="s">
        <v>410</v>
      </c>
      <c r="E76" s="99" t="e">
        <f t="shared" si="1"/>
        <v>#DIV/0!</v>
      </c>
      <c r="F76" s="173"/>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c r="AW76" s="173"/>
      <c r="AX76" s="173"/>
      <c r="AY76" s="173"/>
      <c r="AZ76" s="173"/>
      <c r="BA76" s="173"/>
      <c r="BB76" s="173"/>
      <c r="BC76" s="173"/>
      <c r="BD76" s="173"/>
      <c r="BE76" s="173"/>
      <c r="BF76" s="173"/>
      <c r="BG76" s="173"/>
      <c r="BH76" s="173"/>
      <c r="BI76" s="173"/>
      <c r="BJ76" s="173"/>
      <c r="BK76" s="173"/>
      <c r="BL76" s="173"/>
      <c r="BM76" s="173"/>
      <c r="BN76" s="173"/>
      <c r="BO76" s="173"/>
      <c r="BP76" s="173"/>
      <c r="BQ76" s="173"/>
      <c r="BR76" s="173"/>
      <c r="BS76" s="173"/>
      <c r="BT76" s="173"/>
      <c r="BU76" s="173"/>
      <c r="BV76" s="173"/>
      <c r="BW76" s="173"/>
      <c r="BX76" s="173"/>
      <c r="BY76" s="173"/>
      <c r="BZ76" s="173"/>
      <c r="CA76" s="173"/>
      <c r="CB76" s="173"/>
      <c r="CC76" s="173"/>
      <c r="CD76" s="173"/>
      <c r="CE76" s="173"/>
      <c r="CF76" s="173"/>
      <c r="CG76" s="173"/>
      <c r="CH76" s="173"/>
    </row>
    <row r="77" spans="1:86" x14ac:dyDescent="0.3">
      <c r="A77" s="89" t="s">
        <v>259</v>
      </c>
      <c r="B77" s="89" t="s">
        <v>424</v>
      </c>
      <c r="C77" s="89" t="s">
        <v>392</v>
      </c>
      <c r="D77" s="2" t="s">
        <v>411</v>
      </c>
      <c r="E77" s="99" t="e">
        <f t="shared" si="1"/>
        <v>#DIV/0!</v>
      </c>
      <c r="F77" s="173"/>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c r="AW77" s="173"/>
      <c r="AX77" s="173"/>
      <c r="AY77" s="173"/>
      <c r="AZ77" s="173"/>
      <c r="BA77" s="173"/>
      <c r="BB77" s="173"/>
      <c r="BC77" s="173"/>
      <c r="BD77" s="173"/>
      <c r="BE77" s="173"/>
      <c r="BF77" s="173"/>
      <c r="BG77" s="173"/>
      <c r="BH77" s="173"/>
      <c r="BI77" s="173"/>
      <c r="BJ77" s="173"/>
      <c r="BK77" s="173"/>
      <c r="BL77" s="173"/>
      <c r="BM77" s="173"/>
      <c r="BN77" s="173"/>
      <c r="BO77" s="173"/>
      <c r="BP77" s="173"/>
      <c r="BQ77" s="173"/>
      <c r="BR77" s="173"/>
      <c r="BS77" s="173"/>
      <c r="BT77" s="173"/>
      <c r="BU77" s="173"/>
      <c r="BV77" s="173"/>
      <c r="BW77" s="173"/>
      <c r="BX77" s="173"/>
      <c r="BY77" s="173"/>
      <c r="BZ77" s="173"/>
      <c r="CA77" s="173"/>
      <c r="CB77" s="173"/>
      <c r="CC77" s="173"/>
      <c r="CD77" s="173"/>
      <c r="CE77" s="173"/>
      <c r="CF77" s="173"/>
      <c r="CG77" s="173"/>
      <c r="CH77" s="173"/>
    </row>
    <row r="78" spans="1:86" x14ac:dyDescent="0.3">
      <c r="A78" s="89" t="s">
        <v>259</v>
      </c>
      <c r="B78" s="89" t="s">
        <v>424</v>
      </c>
      <c r="C78" s="89" t="s">
        <v>392</v>
      </c>
      <c r="D78" s="2" t="s">
        <v>412</v>
      </c>
      <c r="E78" s="99" t="e">
        <f t="shared" si="1"/>
        <v>#DIV/0!</v>
      </c>
      <c r="F78" s="173"/>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c r="AW78" s="173"/>
      <c r="AX78" s="173"/>
      <c r="AY78" s="173"/>
      <c r="AZ78" s="173"/>
      <c r="BA78" s="173"/>
      <c r="BB78" s="173"/>
      <c r="BC78" s="173"/>
      <c r="BD78" s="173"/>
      <c r="BE78" s="173"/>
      <c r="BF78" s="173"/>
      <c r="BG78" s="173"/>
      <c r="BH78" s="173"/>
      <c r="BI78" s="173"/>
      <c r="BJ78" s="173"/>
      <c r="BK78" s="173"/>
      <c r="BL78" s="173"/>
      <c r="BM78" s="173"/>
      <c r="BN78" s="173"/>
      <c r="BO78" s="173"/>
      <c r="BP78" s="173"/>
      <c r="BQ78" s="173"/>
      <c r="BR78" s="173"/>
      <c r="BS78" s="173"/>
      <c r="BT78" s="173"/>
      <c r="BU78" s="173"/>
      <c r="BV78" s="173"/>
      <c r="BW78" s="173"/>
      <c r="BX78" s="173"/>
      <c r="BY78" s="173"/>
      <c r="BZ78" s="173"/>
      <c r="CA78" s="173"/>
      <c r="CB78" s="173"/>
      <c r="CC78" s="173"/>
      <c r="CD78" s="173"/>
      <c r="CE78" s="173"/>
      <c r="CF78" s="173"/>
      <c r="CG78" s="173"/>
      <c r="CH78" s="173"/>
    </row>
    <row r="79" spans="1:86" x14ac:dyDescent="0.3">
      <c r="A79" s="89" t="s">
        <v>259</v>
      </c>
      <c r="B79" s="89" t="s">
        <v>424</v>
      </c>
      <c r="C79" s="89" t="s">
        <v>392</v>
      </c>
      <c r="D79" s="2" t="s">
        <v>413</v>
      </c>
      <c r="E79" s="99" t="e">
        <f t="shared" si="1"/>
        <v>#DIV/0!</v>
      </c>
      <c r="F79" s="173"/>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c r="AW79" s="173"/>
      <c r="AX79" s="173"/>
      <c r="AY79" s="173"/>
      <c r="AZ79" s="173"/>
      <c r="BA79" s="173"/>
      <c r="BB79" s="173"/>
      <c r="BC79" s="173"/>
      <c r="BD79" s="173"/>
      <c r="BE79" s="173"/>
      <c r="BF79" s="173"/>
      <c r="BG79" s="173"/>
      <c r="BH79" s="173"/>
      <c r="BI79" s="173"/>
      <c r="BJ79" s="173"/>
      <c r="BK79" s="173"/>
      <c r="BL79" s="173"/>
      <c r="BM79" s="173"/>
      <c r="BN79" s="173"/>
      <c r="BO79" s="173"/>
      <c r="BP79" s="173"/>
      <c r="BQ79" s="173"/>
      <c r="BR79" s="173"/>
      <c r="BS79" s="173"/>
      <c r="BT79" s="173"/>
      <c r="BU79" s="173"/>
      <c r="BV79" s="173"/>
      <c r="BW79" s="173"/>
      <c r="BX79" s="173"/>
      <c r="BY79" s="173"/>
      <c r="BZ79" s="173"/>
      <c r="CA79" s="173"/>
      <c r="CB79" s="173"/>
      <c r="CC79" s="173"/>
      <c r="CD79" s="173"/>
      <c r="CE79" s="173"/>
      <c r="CF79" s="173"/>
      <c r="CG79" s="173"/>
      <c r="CH79" s="173"/>
    </row>
    <row r="80" spans="1:86" x14ac:dyDescent="0.3">
      <c r="A80" s="89" t="s">
        <v>259</v>
      </c>
      <c r="B80" s="89" t="s">
        <v>424</v>
      </c>
      <c r="C80" s="89" t="s">
        <v>392</v>
      </c>
      <c r="D80" s="2" t="s">
        <v>414</v>
      </c>
      <c r="E80" s="99" t="e">
        <f t="shared" si="1"/>
        <v>#DIV/0!</v>
      </c>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c r="AW80" s="173"/>
      <c r="AX80" s="173"/>
      <c r="AY80" s="173"/>
      <c r="AZ80" s="173"/>
      <c r="BA80" s="173"/>
      <c r="BB80" s="173"/>
      <c r="BC80" s="173"/>
      <c r="BD80" s="173"/>
      <c r="BE80" s="173"/>
      <c r="BF80" s="173"/>
      <c r="BG80" s="173"/>
      <c r="BH80" s="173"/>
      <c r="BI80" s="173"/>
      <c r="BJ80" s="173"/>
      <c r="BK80" s="173"/>
      <c r="BL80" s="173"/>
      <c r="BM80" s="173"/>
      <c r="BN80" s="173"/>
      <c r="BO80" s="173"/>
      <c r="BP80" s="173"/>
      <c r="BQ80" s="173"/>
      <c r="BR80" s="173"/>
      <c r="BS80" s="173"/>
      <c r="BT80" s="173"/>
      <c r="BU80" s="173"/>
      <c r="BV80" s="173"/>
      <c r="BW80" s="173"/>
      <c r="BX80" s="173"/>
      <c r="BY80" s="173"/>
      <c r="BZ80" s="173"/>
      <c r="CA80" s="173"/>
      <c r="CB80" s="173"/>
      <c r="CC80" s="173"/>
      <c r="CD80" s="173"/>
      <c r="CE80" s="173"/>
      <c r="CF80" s="173"/>
      <c r="CG80" s="173"/>
      <c r="CH80" s="173"/>
    </row>
    <row r="81" spans="1:86" x14ac:dyDescent="0.3">
      <c r="A81" s="89" t="s">
        <v>259</v>
      </c>
      <c r="B81" s="89" t="s">
        <v>424</v>
      </c>
      <c r="C81" s="89" t="s">
        <v>392</v>
      </c>
      <c r="D81" s="2" t="s">
        <v>415</v>
      </c>
      <c r="E81" s="99" t="e">
        <f t="shared" si="1"/>
        <v>#DIV/0!</v>
      </c>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3"/>
      <c r="AY81" s="173"/>
      <c r="AZ81" s="173"/>
      <c r="BA81" s="173"/>
      <c r="BB81" s="173"/>
      <c r="BC81" s="173"/>
      <c r="BD81" s="173"/>
      <c r="BE81" s="173"/>
      <c r="BF81" s="173"/>
      <c r="BG81" s="173"/>
      <c r="BH81" s="173"/>
      <c r="BI81" s="173"/>
      <c r="BJ81" s="173"/>
      <c r="BK81" s="173"/>
      <c r="BL81" s="173"/>
      <c r="BM81" s="173"/>
      <c r="BN81" s="173"/>
      <c r="BO81" s="173"/>
      <c r="BP81" s="173"/>
      <c r="BQ81" s="173"/>
      <c r="BR81" s="173"/>
      <c r="BS81" s="173"/>
      <c r="BT81" s="173"/>
      <c r="BU81" s="173"/>
      <c r="BV81" s="173"/>
      <c r="BW81" s="173"/>
      <c r="BX81" s="173"/>
      <c r="BY81" s="173"/>
      <c r="BZ81" s="173"/>
      <c r="CA81" s="173"/>
      <c r="CB81" s="173"/>
      <c r="CC81" s="173"/>
      <c r="CD81" s="173"/>
      <c r="CE81" s="173"/>
      <c r="CF81" s="173"/>
      <c r="CG81" s="173"/>
      <c r="CH81" s="173"/>
    </row>
    <row r="82" spans="1:86" x14ac:dyDescent="0.3">
      <c r="A82" s="89" t="s">
        <v>259</v>
      </c>
      <c r="B82" s="89" t="s">
        <v>424</v>
      </c>
      <c r="C82" s="89" t="s">
        <v>392</v>
      </c>
      <c r="D82" s="2" t="s">
        <v>416</v>
      </c>
      <c r="E82" s="99" t="e">
        <f t="shared" si="1"/>
        <v>#DIV/0!</v>
      </c>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3"/>
      <c r="BL82" s="173"/>
      <c r="BM82" s="173"/>
      <c r="BN82" s="173"/>
      <c r="BO82" s="173"/>
      <c r="BP82" s="173"/>
      <c r="BQ82" s="173"/>
      <c r="BR82" s="173"/>
      <c r="BS82" s="173"/>
      <c r="BT82" s="173"/>
      <c r="BU82" s="173"/>
      <c r="BV82" s="173"/>
      <c r="BW82" s="173"/>
      <c r="BX82" s="173"/>
      <c r="BY82" s="173"/>
      <c r="BZ82" s="173"/>
      <c r="CA82" s="173"/>
      <c r="CB82" s="173"/>
      <c r="CC82" s="173"/>
      <c r="CD82" s="173"/>
      <c r="CE82" s="173"/>
      <c r="CF82" s="173"/>
      <c r="CG82" s="173"/>
      <c r="CH82" s="173"/>
    </row>
    <row r="83" spans="1:86" ht="12.9" thickBot="1" x14ac:dyDescent="0.35">
      <c r="A83" s="90" t="s">
        <v>259</v>
      </c>
      <c r="B83" s="89" t="s">
        <v>424</v>
      </c>
      <c r="C83" s="90" t="s">
        <v>365</v>
      </c>
      <c r="D83" s="131" t="s">
        <v>353</v>
      </c>
      <c r="E83" s="99" t="e">
        <f t="shared" si="1"/>
        <v>#DIV/0!</v>
      </c>
      <c r="F83" s="174"/>
      <c r="G83" s="174"/>
      <c r="H83" s="180"/>
      <c r="I83" s="174"/>
      <c r="J83" s="174"/>
      <c r="K83" s="174"/>
      <c r="L83" s="174"/>
      <c r="M83" s="174"/>
      <c r="N83" s="174"/>
      <c r="O83" s="174"/>
      <c r="P83" s="174"/>
      <c r="Q83" s="174"/>
      <c r="R83" s="174"/>
      <c r="S83" s="174"/>
      <c r="T83" s="174"/>
      <c r="U83" s="174"/>
      <c r="V83" s="174"/>
      <c r="W83" s="174"/>
      <c r="X83" s="174"/>
      <c r="Y83" s="174"/>
      <c r="Z83" s="174"/>
      <c r="AA83" s="174"/>
      <c r="AB83" s="174"/>
      <c r="AC83" s="174"/>
      <c r="AD83" s="174"/>
      <c r="AE83" s="174"/>
      <c r="AF83" s="174"/>
      <c r="AG83" s="174"/>
      <c r="AH83" s="174"/>
      <c r="AI83" s="174"/>
      <c r="AJ83" s="174"/>
      <c r="AK83" s="174"/>
      <c r="AL83" s="174"/>
      <c r="AM83" s="174"/>
      <c r="AN83" s="174"/>
      <c r="AO83" s="174"/>
      <c r="AP83" s="174"/>
      <c r="AQ83" s="174"/>
      <c r="AR83" s="174"/>
      <c r="AS83" s="174"/>
      <c r="AT83" s="174"/>
      <c r="AU83" s="174"/>
      <c r="AV83" s="174"/>
      <c r="AW83" s="174"/>
      <c r="AX83" s="174"/>
      <c r="AY83" s="174"/>
      <c r="AZ83" s="174"/>
      <c r="BA83" s="174"/>
      <c r="BB83" s="174"/>
      <c r="BC83" s="174"/>
      <c r="BD83" s="174"/>
      <c r="BE83" s="174"/>
      <c r="BF83" s="174"/>
      <c r="BG83" s="174"/>
      <c r="BH83" s="174"/>
      <c r="BI83" s="174"/>
      <c r="BJ83" s="174"/>
      <c r="BK83" s="174"/>
      <c r="BL83" s="174"/>
      <c r="BM83" s="174"/>
      <c r="BN83" s="174"/>
      <c r="BO83" s="174"/>
      <c r="BP83" s="174"/>
      <c r="BQ83" s="174"/>
      <c r="BR83" s="174"/>
      <c r="BS83" s="174"/>
      <c r="BT83" s="174"/>
      <c r="BU83" s="174"/>
      <c r="BV83" s="174"/>
      <c r="BW83" s="174"/>
      <c r="BX83" s="174"/>
      <c r="BY83" s="174"/>
      <c r="BZ83" s="174"/>
      <c r="CA83" s="174"/>
      <c r="CB83" s="174"/>
      <c r="CC83" s="174"/>
      <c r="CD83" s="174"/>
      <c r="CE83" s="174"/>
      <c r="CF83" s="174"/>
      <c r="CG83" s="174"/>
      <c r="CH83" s="174"/>
    </row>
    <row r="84" spans="1:86" s="133" customFormat="1" x14ac:dyDescent="0.3">
      <c r="A84" s="133" t="s">
        <v>374</v>
      </c>
      <c r="B84" s="133" t="s">
        <v>424</v>
      </c>
      <c r="C84" s="133" t="s">
        <v>366</v>
      </c>
      <c r="D84" s="134" t="s">
        <v>391</v>
      </c>
      <c r="E84" s="135"/>
      <c r="F84" s="183"/>
      <c r="G84" s="183"/>
      <c r="H84" s="181"/>
      <c r="I84" s="166"/>
      <c r="J84" s="166"/>
      <c r="K84" s="166"/>
      <c r="L84" s="166"/>
      <c r="M84" s="166"/>
      <c r="N84" s="166"/>
      <c r="O84" s="166"/>
      <c r="P84" s="166"/>
      <c r="Q84" s="166"/>
      <c r="R84" s="166"/>
      <c r="S84" s="166"/>
      <c r="T84" s="166"/>
      <c r="U84" s="166"/>
      <c r="V84" s="166"/>
      <c r="W84" s="166"/>
      <c r="X84" s="166"/>
      <c r="Y84" s="166"/>
      <c r="Z84" s="166"/>
      <c r="AA84" s="166"/>
      <c r="AB84" s="166"/>
      <c r="AC84" s="166"/>
      <c r="AD84" s="166"/>
      <c r="AE84" s="166"/>
      <c r="AF84" s="166"/>
      <c r="AG84" s="166"/>
      <c r="AH84" s="166"/>
      <c r="AI84" s="166"/>
      <c r="AJ84" s="166"/>
      <c r="AK84" s="166"/>
      <c r="AL84" s="166"/>
      <c r="AM84" s="166"/>
      <c r="AN84" s="166"/>
      <c r="AO84" s="166"/>
      <c r="AP84" s="166"/>
      <c r="AQ84" s="166"/>
      <c r="AR84" s="166"/>
      <c r="AS84" s="166"/>
      <c r="AT84" s="166"/>
      <c r="AU84" s="166"/>
      <c r="AV84" s="166"/>
      <c r="AW84" s="166"/>
      <c r="AX84" s="166"/>
      <c r="AY84" s="166"/>
      <c r="AZ84" s="166"/>
      <c r="BA84" s="166"/>
      <c r="BB84" s="166"/>
      <c r="BC84" s="166"/>
      <c r="BD84" s="166"/>
      <c r="BE84" s="166"/>
      <c r="BF84" s="166"/>
      <c r="BG84" s="166"/>
      <c r="BH84" s="166"/>
      <c r="BI84" s="166"/>
      <c r="BJ84" s="166"/>
      <c r="BK84" s="166"/>
      <c r="BL84" s="166"/>
      <c r="BM84" s="166"/>
      <c r="BN84" s="166"/>
      <c r="BO84" s="166"/>
      <c r="BP84" s="166"/>
      <c r="BQ84" s="166"/>
      <c r="BR84" s="166"/>
      <c r="BS84" s="166"/>
      <c r="BT84" s="166"/>
      <c r="BU84" s="166"/>
      <c r="BV84" s="166"/>
      <c r="BW84" s="166"/>
      <c r="BX84" s="166"/>
      <c r="BY84" s="166"/>
      <c r="BZ84" s="166"/>
      <c r="CA84" s="166"/>
      <c r="CB84" s="166"/>
      <c r="CC84" s="166"/>
      <c r="CD84" s="166"/>
      <c r="CE84" s="166"/>
      <c r="CF84" s="166"/>
      <c r="CG84" s="166"/>
      <c r="CH84" s="166"/>
    </row>
    <row r="85" spans="1:86" s="133" customFormat="1" x14ac:dyDescent="0.3">
      <c r="A85" s="133" t="s">
        <v>374</v>
      </c>
      <c r="B85" s="133" t="s">
        <v>424</v>
      </c>
      <c r="C85" s="133" t="s">
        <v>366</v>
      </c>
      <c r="D85" s="134" t="s">
        <v>381</v>
      </c>
      <c r="E85" s="135"/>
      <c r="F85" s="183"/>
      <c r="G85" s="183"/>
      <c r="H85" s="181"/>
      <c r="I85" s="166"/>
      <c r="J85" s="166"/>
      <c r="K85" s="166"/>
      <c r="L85" s="166"/>
      <c r="M85" s="166"/>
      <c r="N85" s="166"/>
      <c r="O85" s="166"/>
      <c r="P85" s="166"/>
      <c r="Q85" s="166"/>
      <c r="R85" s="166"/>
      <c r="S85" s="166"/>
      <c r="T85" s="166"/>
      <c r="U85" s="166"/>
      <c r="V85" s="166"/>
      <c r="W85" s="166"/>
      <c r="X85" s="166"/>
      <c r="Y85" s="166"/>
      <c r="Z85" s="166"/>
      <c r="AA85" s="166"/>
      <c r="AB85" s="166"/>
      <c r="AC85" s="166"/>
      <c r="AD85" s="166"/>
      <c r="AE85" s="166"/>
      <c r="AF85" s="166"/>
      <c r="AG85" s="166"/>
      <c r="AH85" s="166"/>
      <c r="AI85" s="166"/>
      <c r="AJ85" s="166"/>
      <c r="AK85" s="166"/>
      <c r="AL85" s="166"/>
      <c r="AM85" s="166"/>
      <c r="AN85" s="166"/>
      <c r="AO85" s="166"/>
      <c r="AP85" s="166"/>
      <c r="AQ85" s="166"/>
      <c r="AR85" s="166"/>
      <c r="AS85" s="166"/>
      <c r="AT85" s="166"/>
      <c r="AU85" s="166"/>
      <c r="AV85" s="166"/>
      <c r="AW85" s="166"/>
      <c r="AX85" s="166"/>
      <c r="AY85" s="166"/>
      <c r="AZ85" s="166"/>
      <c r="BA85" s="166"/>
      <c r="BB85" s="166"/>
      <c r="BC85" s="166"/>
      <c r="BD85" s="166"/>
      <c r="BE85" s="166"/>
      <c r="BF85" s="166"/>
      <c r="BG85" s="166"/>
      <c r="BH85" s="166"/>
      <c r="BI85" s="166"/>
      <c r="BJ85" s="166"/>
      <c r="BK85" s="166"/>
      <c r="BL85" s="166"/>
      <c r="BM85" s="166"/>
      <c r="BN85" s="166"/>
      <c r="BO85" s="166"/>
      <c r="BP85" s="166"/>
      <c r="BQ85" s="166"/>
      <c r="BR85" s="166"/>
      <c r="BS85" s="166"/>
      <c r="BT85" s="166"/>
      <c r="BU85" s="166"/>
      <c r="BV85" s="166"/>
      <c r="BW85" s="166"/>
      <c r="BX85" s="166"/>
      <c r="BY85" s="166"/>
      <c r="BZ85" s="166"/>
      <c r="CA85" s="166"/>
      <c r="CB85" s="166"/>
      <c r="CC85" s="166"/>
      <c r="CD85" s="166"/>
      <c r="CE85" s="166"/>
      <c r="CF85" s="166"/>
      <c r="CG85" s="166"/>
      <c r="CH85" s="166"/>
    </row>
    <row r="86" spans="1:86" s="133" customFormat="1" ht="12.9" thickBot="1" x14ac:dyDescent="0.35">
      <c r="A86" s="133" t="s">
        <v>374</v>
      </c>
      <c r="B86" s="133" t="s">
        <v>424</v>
      </c>
      <c r="C86" s="133" t="s">
        <v>366</v>
      </c>
      <c r="D86" s="134" t="s">
        <v>382</v>
      </c>
      <c r="E86" s="135"/>
      <c r="F86" s="183"/>
      <c r="G86" s="183"/>
      <c r="H86" s="181"/>
      <c r="I86" s="166"/>
      <c r="J86" s="166"/>
      <c r="K86" s="166"/>
      <c r="L86" s="166"/>
      <c r="M86" s="166"/>
      <c r="N86" s="166"/>
      <c r="O86" s="166"/>
      <c r="P86" s="166"/>
      <c r="Q86" s="166"/>
      <c r="R86" s="166"/>
      <c r="S86" s="166"/>
      <c r="T86" s="166"/>
      <c r="U86" s="166"/>
      <c r="V86" s="166"/>
      <c r="W86" s="166"/>
      <c r="X86" s="166"/>
      <c r="Y86" s="166"/>
      <c r="Z86" s="166"/>
      <c r="AA86" s="166"/>
      <c r="AB86" s="166"/>
      <c r="AC86" s="166"/>
      <c r="AD86" s="166"/>
      <c r="AE86" s="166"/>
      <c r="AF86" s="166"/>
      <c r="AG86" s="166"/>
      <c r="AH86" s="166"/>
      <c r="AI86" s="166"/>
      <c r="AJ86" s="166"/>
      <c r="AK86" s="166"/>
      <c r="AL86" s="166"/>
      <c r="AM86" s="166"/>
      <c r="AN86" s="166"/>
      <c r="AO86" s="166"/>
      <c r="AP86" s="166"/>
      <c r="AQ86" s="166"/>
      <c r="AR86" s="166"/>
      <c r="AS86" s="166"/>
      <c r="AT86" s="166"/>
      <c r="AU86" s="166"/>
      <c r="AV86" s="166"/>
      <c r="AW86" s="166"/>
      <c r="AX86" s="166"/>
      <c r="AY86" s="166"/>
      <c r="AZ86" s="166"/>
      <c r="BA86" s="166"/>
      <c r="BB86" s="166"/>
      <c r="BC86" s="166"/>
      <c r="BD86" s="166"/>
      <c r="BE86" s="166"/>
      <c r="BF86" s="166"/>
      <c r="BG86" s="166"/>
      <c r="BH86" s="166"/>
      <c r="BI86" s="166"/>
      <c r="BJ86" s="166"/>
      <c r="BK86" s="166"/>
      <c r="BL86" s="166"/>
      <c r="BM86" s="166"/>
      <c r="BN86" s="166"/>
      <c r="BO86" s="166"/>
      <c r="BP86" s="166"/>
      <c r="BQ86" s="166"/>
      <c r="BR86" s="166"/>
      <c r="BS86" s="166"/>
      <c r="BT86" s="166"/>
      <c r="BU86" s="166"/>
      <c r="BV86" s="166"/>
      <c r="BW86" s="166"/>
      <c r="BX86" s="166"/>
      <c r="BY86" s="166"/>
      <c r="BZ86" s="166"/>
      <c r="CA86" s="166"/>
      <c r="CB86" s="166"/>
      <c r="CC86" s="166"/>
      <c r="CD86" s="166"/>
      <c r="CE86" s="166"/>
      <c r="CF86" s="166"/>
      <c r="CG86" s="166"/>
      <c r="CH86" s="166"/>
    </row>
    <row r="87" spans="1:86" ht="12.9" thickBot="1" x14ac:dyDescent="0.35">
      <c r="A87" s="89" t="s">
        <v>374</v>
      </c>
      <c r="B87" s="89" t="s">
        <v>424</v>
      </c>
      <c r="C87" s="89" t="s">
        <v>373</v>
      </c>
      <c r="D87" s="2" t="s">
        <v>367</v>
      </c>
      <c r="E87" s="156" t="e">
        <f>(INDEX($H87:$XFD87,1,$E$2)-INDEX($H87:$XFD87,1,$E$1))/INDEX($H87:$XFD87,1,$E$1)</f>
        <v>#DIV/0!</v>
      </c>
      <c r="F87" s="167"/>
      <c r="G87" s="167"/>
      <c r="H87" s="182"/>
      <c r="I87" s="167"/>
      <c r="J87" s="167"/>
      <c r="K87" s="167"/>
      <c r="L87" s="167"/>
      <c r="M87" s="167"/>
      <c r="N87" s="167"/>
      <c r="O87" s="167"/>
      <c r="P87" s="167"/>
      <c r="Q87" s="167"/>
      <c r="R87" s="167"/>
      <c r="S87" s="167"/>
      <c r="T87" s="167"/>
      <c r="U87" s="167"/>
      <c r="V87" s="167"/>
      <c r="W87" s="167"/>
      <c r="X87" s="167"/>
      <c r="Y87" s="167"/>
      <c r="Z87" s="167"/>
      <c r="AA87" s="167"/>
      <c r="AB87" s="167"/>
      <c r="AC87" s="167"/>
      <c r="AD87" s="167"/>
      <c r="AE87" s="167"/>
      <c r="AF87" s="167"/>
      <c r="AG87" s="167"/>
      <c r="AH87" s="167"/>
      <c r="AI87" s="167"/>
      <c r="AJ87" s="167"/>
      <c r="AK87" s="167"/>
      <c r="AL87" s="167"/>
      <c r="AM87" s="167"/>
      <c r="AN87" s="167"/>
      <c r="AO87" s="167"/>
      <c r="AP87" s="167"/>
      <c r="AQ87" s="167"/>
      <c r="AR87" s="167"/>
      <c r="AS87" s="167"/>
      <c r="AT87" s="167"/>
      <c r="AU87" s="167"/>
      <c r="AV87" s="167"/>
      <c r="AW87" s="167"/>
      <c r="AX87" s="167"/>
      <c r="AY87" s="167"/>
      <c r="AZ87" s="167"/>
      <c r="BA87" s="167"/>
      <c r="BB87" s="167"/>
      <c r="BC87" s="167"/>
      <c r="BD87" s="167"/>
      <c r="BE87" s="167"/>
      <c r="BF87" s="167"/>
      <c r="BG87" s="167"/>
      <c r="BH87" s="167"/>
      <c r="BI87" s="167"/>
      <c r="BJ87" s="167"/>
      <c r="BK87" s="167"/>
      <c r="BL87" s="167"/>
      <c r="BM87" s="167"/>
      <c r="BN87" s="167"/>
      <c r="BO87" s="167"/>
      <c r="BP87" s="167"/>
      <c r="BQ87" s="167"/>
      <c r="BR87" s="167"/>
      <c r="BS87" s="167"/>
      <c r="BT87" s="167"/>
      <c r="BU87" s="167"/>
      <c r="BV87" s="167"/>
      <c r="BW87" s="167"/>
      <c r="BX87" s="167"/>
      <c r="BY87" s="167"/>
      <c r="BZ87" s="167"/>
      <c r="CA87" s="167"/>
      <c r="CB87" s="167"/>
      <c r="CC87" s="167"/>
      <c r="CD87" s="167"/>
      <c r="CE87" s="167"/>
      <c r="CF87" s="167"/>
      <c r="CG87" s="167"/>
      <c r="CH87" s="167"/>
    </row>
    <row r="88" spans="1:86" x14ac:dyDescent="0.3">
      <c r="A88" s="89" t="s">
        <v>374</v>
      </c>
      <c r="B88" s="89" t="s">
        <v>424</v>
      </c>
      <c r="D88" s="89" t="s">
        <v>419</v>
      </c>
      <c r="F88" s="185"/>
      <c r="G88" s="177"/>
      <c r="H88" s="177"/>
      <c r="I88" s="177"/>
      <c r="J88" s="177"/>
      <c r="K88" s="177"/>
      <c r="L88" s="177"/>
      <c r="M88" s="177"/>
      <c r="N88" s="177"/>
      <c r="O88" s="177"/>
      <c r="P88" s="177"/>
      <c r="Q88" s="177"/>
      <c r="R88" s="177"/>
      <c r="S88" s="177"/>
      <c r="T88" s="177"/>
      <c r="U88" s="177"/>
      <c r="V88" s="177"/>
      <c r="W88" s="177"/>
      <c r="X88" s="177"/>
      <c r="Y88" s="177"/>
      <c r="Z88" s="177"/>
      <c r="AA88" s="177"/>
      <c r="AB88" s="177"/>
      <c r="AC88" s="177"/>
      <c r="AD88" s="142"/>
      <c r="AE88" s="142"/>
      <c r="AF88" s="142"/>
      <c r="AG88" s="142"/>
      <c r="AH88" s="142"/>
      <c r="AI88" s="142"/>
      <c r="AJ88" s="142"/>
      <c r="AK88" s="142"/>
      <c r="AL88" s="142"/>
      <c r="AM88" s="142"/>
      <c r="AN88" s="142"/>
      <c r="AO88" s="142"/>
      <c r="AP88" s="142"/>
      <c r="AQ88" s="142"/>
      <c r="AR88" s="142"/>
      <c r="AS88" s="142"/>
      <c r="AT88" s="142"/>
      <c r="AU88" s="142"/>
      <c r="AV88" s="142"/>
      <c r="AW88" s="142"/>
      <c r="AX88" s="142"/>
      <c r="AY88" s="142"/>
      <c r="AZ88" s="142"/>
      <c r="BA88" s="142"/>
      <c r="BB88" s="142"/>
      <c r="BC88" s="142"/>
      <c r="BD88" s="142"/>
      <c r="BE88" s="142"/>
      <c r="BF88" s="142"/>
      <c r="BG88" s="142"/>
      <c r="BH88" s="142"/>
      <c r="BI88" s="142"/>
      <c r="BJ88" s="142"/>
      <c r="BK88" s="142"/>
      <c r="BL88" s="142"/>
      <c r="BM88" s="142"/>
      <c r="BN88" s="142"/>
      <c r="BO88" s="142"/>
      <c r="BP88" s="142"/>
      <c r="BQ88" s="142"/>
      <c r="BR88" s="142"/>
      <c r="BS88" s="142"/>
      <c r="BT88" s="142"/>
      <c r="BU88" s="142"/>
      <c r="BV88" s="142"/>
      <c r="BW88" s="142"/>
      <c r="BX88" s="142"/>
      <c r="BY88" s="142"/>
      <c r="BZ88" s="142"/>
      <c r="CA88" s="142"/>
      <c r="CB88" s="142"/>
      <c r="CC88" s="142"/>
      <c r="CD88" s="142"/>
      <c r="CE88" s="142"/>
      <c r="CF88" s="142"/>
      <c r="CG88" s="142"/>
      <c r="CH88" s="142"/>
    </row>
    <row r="89" spans="1:86" x14ac:dyDescent="0.3">
      <c r="A89" s="89" t="s">
        <v>374</v>
      </c>
      <c r="B89" s="89" t="s">
        <v>424</v>
      </c>
      <c r="D89" s="89" t="s">
        <v>420</v>
      </c>
      <c r="F89" s="185"/>
      <c r="G89" s="177"/>
      <c r="H89" s="177"/>
      <c r="I89" s="177"/>
      <c r="J89" s="177"/>
      <c r="K89" s="177"/>
      <c r="L89" s="177"/>
      <c r="M89" s="177"/>
      <c r="N89" s="177"/>
      <c r="O89" s="177"/>
      <c r="P89" s="177"/>
      <c r="Q89" s="177"/>
      <c r="R89" s="177"/>
      <c r="S89" s="177"/>
      <c r="T89" s="177"/>
      <c r="U89" s="177"/>
      <c r="V89" s="177"/>
      <c r="W89" s="177"/>
      <c r="X89" s="177"/>
      <c r="Y89" s="177"/>
      <c r="Z89" s="177"/>
      <c r="AA89" s="177"/>
      <c r="AB89" s="177"/>
      <c r="AC89" s="177"/>
      <c r="AD89" s="142"/>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c r="BF89" s="142"/>
      <c r="BG89" s="142"/>
      <c r="BH89" s="142"/>
      <c r="BI89" s="142"/>
      <c r="BJ89" s="142"/>
      <c r="BK89" s="142"/>
      <c r="BL89" s="142"/>
      <c r="BM89" s="142"/>
      <c r="BN89" s="142"/>
      <c r="BO89" s="142"/>
      <c r="BP89" s="142"/>
      <c r="BQ89" s="142"/>
      <c r="BR89" s="142"/>
      <c r="BS89" s="142"/>
      <c r="BT89" s="142"/>
      <c r="BU89" s="142"/>
      <c r="BV89" s="142"/>
      <c r="BW89" s="142"/>
      <c r="BX89" s="142"/>
      <c r="BY89" s="142"/>
      <c r="BZ89" s="142"/>
      <c r="CA89" s="142"/>
      <c r="CB89" s="142"/>
      <c r="CC89" s="142"/>
      <c r="CD89" s="142"/>
      <c r="CE89" s="142"/>
      <c r="CF89" s="142"/>
      <c r="CG89" s="142"/>
      <c r="CH89" s="142"/>
    </row>
    <row r="90" spans="1:86" x14ac:dyDescent="0.3">
      <c r="A90" s="89" t="s">
        <v>374</v>
      </c>
      <c r="B90" s="89" t="s">
        <v>424</v>
      </c>
      <c r="D90" s="89" t="s">
        <v>421</v>
      </c>
      <c r="F90" s="185"/>
      <c r="G90" s="177"/>
      <c r="H90" s="177"/>
      <c r="I90" s="177"/>
      <c r="J90" s="177"/>
      <c r="K90" s="177"/>
      <c r="L90" s="177"/>
      <c r="M90" s="177"/>
      <c r="N90" s="177"/>
      <c r="O90" s="177"/>
      <c r="P90" s="177"/>
      <c r="Q90" s="177"/>
      <c r="R90" s="177"/>
      <c r="S90" s="177"/>
      <c r="T90" s="177"/>
      <c r="U90" s="177"/>
      <c r="V90" s="177"/>
      <c r="W90" s="177"/>
      <c r="X90" s="177"/>
      <c r="Y90" s="177"/>
      <c r="Z90" s="177"/>
      <c r="AA90" s="177"/>
      <c r="AB90" s="177"/>
      <c r="AC90" s="177"/>
      <c r="AD90" s="142"/>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c r="CG90" s="142"/>
      <c r="CH90" s="142"/>
    </row>
    <row r="91" spans="1:86" x14ac:dyDescent="0.3">
      <c r="R91" s="168"/>
      <c r="S91" s="143"/>
    </row>
    <row r="92" spans="1:86" x14ac:dyDescent="0.3">
      <c r="R92" s="169"/>
      <c r="S92" s="143"/>
      <c r="Y92" s="176"/>
    </row>
    <row r="93" spans="1:86" x14ac:dyDescent="0.3">
      <c r="R93" s="169"/>
      <c r="S93" s="143"/>
      <c r="Y93" s="176"/>
    </row>
  </sheetData>
  <customSheetViews>
    <customSheetView guid="{9BF7FAF1-D686-4A6B-A2BE-0DAD43841920}" scale="70" fitToPage="1">
      <pane xSplit="5" ySplit="5" topLeftCell="F63" activePane="bottomRight" state="frozen"/>
      <selection pane="bottomRight" activeCell="F84" sqref="F84"/>
      <pageMargins left="0.25" right="0.25" top="0.75" bottom="0.75" header="0.3" footer="0.3"/>
      <printOptions headings="1"/>
      <pageSetup fitToHeight="0" orientation="portrait" r:id="rId1"/>
    </customSheetView>
    <customSheetView guid="{D5524E47-947F-4D9F-AE8B-3F0380261994}" scale="70" fitToPage="1">
      <pane xSplit="5" ySplit="6.0277777777777777" topLeftCell="F63" activePane="bottomRight" state="frozen"/>
      <selection pane="bottomRight" activeCell="F84" sqref="F84"/>
      <pageMargins left="0.25" right="0.25" top="0.75" bottom="0.75" header="0.3" footer="0.3"/>
      <printOptions headings="1"/>
      <pageSetup fitToHeight="0" orientation="portrait" r:id="rId2"/>
    </customSheetView>
    <customSheetView guid="{88B031DE-0423-45A5-B384-E560A52FDD07}" scale="70" fitToPage="1">
      <pane xSplit="5" ySplit="5" topLeftCell="F63" activePane="bottomRight" state="frozen"/>
      <selection pane="bottomRight" activeCell="F84" sqref="F84"/>
      <pageMargins left="0.25" right="0.25" top="0.75" bottom="0.75" header="0.3" footer="0.3"/>
      <printOptions headings="1"/>
      <pageSetup fitToHeight="0" orientation="portrait" r:id="rId3"/>
    </customSheetView>
    <customSheetView guid="{782F5CFE-DE26-4D5A-B82E-30A424B0A39B}" scale="70" fitToPage="1">
      <pane xSplit="5" ySplit="5" topLeftCell="F63" activePane="bottomRight" state="frozen"/>
      <selection pane="bottomRight" activeCell="F84" sqref="F84"/>
      <pageMargins left="0.25" right="0.25" top="0.75" bottom="0.75" header="0.3" footer="0.3"/>
      <printOptions headings="1"/>
      <pageSetup fitToHeight="0" orientation="portrait" r:id="rId4"/>
    </customSheetView>
  </customSheetViews>
  <printOptions headings="1"/>
  <pageMargins left="0.25" right="0.25" top="0.75" bottom="0.75" header="0.3" footer="0.3"/>
  <pageSetup fitToHeight="0" orientation="portrait" r:id="rId5"/>
</worksheet>
</file>

<file path=docMetadata/LabelInfo.xml><?xml version="1.0" encoding="utf-8"?>
<clbl:labelList xmlns:clbl="http://schemas.microsoft.com/office/2020/mipLabelMetadata">
  <clbl:label id="{91735711-3074-40fb-abee-245951e65a67}" enabled="1" method="Standard" siteId="{490bf92a-5045-4d52-9812-6b2f8bf300d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Updates to Spreadsheet</vt:lpstr>
      <vt:lpstr>Input</vt:lpstr>
      <vt:lpstr>Attach 2</vt:lpstr>
      <vt:lpstr>Attach 3</vt:lpstr>
      <vt:lpstr>Attach 4 P1</vt:lpstr>
      <vt:lpstr>Attach 4 P2</vt:lpstr>
      <vt:lpstr>Attach 4 P3</vt:lpstr>
      <vt:lpstr>Attach 4 P4</vt:lpstr>
      <vt:lpstr>Attach 4 P5</vt:lpstr>
      <vt:lpstr>Attach 4 P6</vt:lpstr>
      <vt:lpstr>Attach 4 Pg5 olddnu</vt:lpstr>
      <vt:lpstr>Attach 4 Pg 4 (4-5)old dnu</vt:lpstr>
      <vt:lpstr>Full Step Overview </vt:lpstr>
      <vt:lpstr>'Attach 2'!Print_Area</vt:lpstr>
      <vt:lpstr>'Attach 3'!Print_Area</vt:lpstr>
      <vt:lpstr>'Attach 4 P1'!Print_Area</vt:lpstr>
      <vt:lpstr>'Attach 4 P2'!Print_Area</vt:lpstr>
      <vt:lpstr>'Attach 4 P3'!Print_Area</vt:lpstr>
      <vt:lpstr>'Attach 4 P4'!Print_Area</vt:lpstr>
      <vt:lpstr>'Attach 4 P5'!Print_Area</vt:lpstr>
      <vt:lpstr>'Attach 4 P6'!Print_Area</vt:lpstr>
      <vt:lpstr>'Attach 4 Pg 4 (4-5)old dnu'!Print_Area</vt:lpstr>
      <vt:lpstr>'Attach 4 Pg5 olddnu'!Print_Area</vt:lpstr>
      <vt:lpstr>'Attach 3'!Print_Titles</vt:lpstr>
      <vt:lpstr>'Attach 4 P4'!Print_Titles</vt:lpstr>
      <vt:lpstr>'Attach 4 P5'!Print_Titles</vt:lpstr>
      <vt:lpstr>'Attach 4 Pg 4 (4-5)old dnu'!Print_Titles</vt:lpstr>
      <vt:lpstr>'Attach 4 Pg5 olddnu'!Print_Titles</vt:lpstr>
    </vt:vector>
  </TitlesOfParts>
  <Company>PSEG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PSE&amp;G BGS-FP Bid Factors for 2009-10</dc:title>
  <dc:subject>BGS Worksheet</dc:subject>
  <dc:creator>Bob Taylor/Myron Filewicz</dc:creator>
  <dc:description>Worksheet incorporating NERA input, primarily Energy Forward Prices, Capacity Prices, Congestion Factors, and Ancillary Costs and Summer Winter factors.  The calculations in this model are identical to last years, although the Marginal Losses have been updated.</dc:description>
  <cp:lastModifiedBy>Honan, Danielle</cp:lastModifiedBy>
  <cp:lastPrinted>2024-03-15T18:47:58Z</cp:lastPrinted>
  <dcterms:created xsi:type="dcterms:W3CDTF">2002-02-27T17:48:59Z</dcterms:created>
  <dcterms:modified xsi:type="dcterms:W3CDTF">2024-07-01T19:13:56Z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735711-3074-40fb-abee-245951e65a67_Enabled">
    <vt:lpwstr>true</vt:lpwstr>
  </property>
  <property fmtid="{D5CDD505-2E9C-101B-9397-08002B2CF9AE}" pid="3" name="MSIP_Label_91735711-3074-40fb-abee-245951e65a67_SetDate">
    <vt:lpwstr>2023-11-17T04:04:31Z</vt:lpwstr>
  </property>
  <property fmtid="{D5CDD505-2E9C-101B-9397-08002B2CF9AE}" pid="4" name="MSIP_Label_91735711-3074-40fb-abee-245951e65a67_Method">
    <vt:lpwstr>Standard</vt:lpwstr>
  </property>
  <property fmtid="{D5CDD505-2E9C-101B-9397-08002B2CF9AE}" pid="5" name="MSIP_Label_91735711-3074-40fb-abee-245951e65a67_Name">
    <vt:lpwstr>Internal Use Editable</vt:lpwstr>
  </property>
  <property fmtid="{D5CDD505-2E9C-101B-9397-08002B2CF9AE}" pid="6" name="MSIP_Label_91735711-3074-40fb-abee-245951e65a67_SiteId">
    <vt:lpwstr>490bf92a-5045-4d52-9812-6b2f8bf300da</vt:lpwstr>
  </property>
  <property fmtid="{D5CDD505-2E9C-101B-9397-08002B2CF9AE}" pid="7" name="MSIP_Label_91735711-3074-40fb-abee-245951e65a67_ActionId">
    <vt:lpwstr>477969c4-edb1-4875-be88-0d3b50814278</vt:lpwstr>
  </property>
  <property fmtid="{D5CDD505-2E9C-101B-9397-08002B2CF9AE}" pid="8" name="MSIP_Label_91735711-3074-40fb-abee-245951e65a67_ContentBits">
    <vt:lpwstr>0</vt:lpwstr>
  </property>
  <property fmtid="{D5CDD505-2E9C-101B-9397-08002B2CF9AE}" pid="9" name="MSIP_Label_38f1469a-2c2a-4aee-b92b-090d4c5468ff_Enabled">
    <vt:lpwstr>true</vt:lpwstr>
  </property>
  <property fmtid="{D5CDD505-2E9C-101B-9397-08002B2CF9AE}" pid="10" name="MSIP_Label_38f1469a-2c2a-4aee-b92b-090d4c5468ff_SetDate">
    <vt:lpwstr>2024-06-26T16:23:02Z</vt:lpwstr>
  </property>
  <property fmtid="{D5CDD505-2E9C-101B-9397-08002B2CF9AE}" pid="11" name="MSIP_Label_38f1469a-2c2a-4aee-b92b-090d4c5468ff_Method">
    <vt:lpwstr>Standard</vt:lpwstr>
  </property>
  <property fmtid="{D5CDD505-2E9C-101B-9397-08002B2CF9AE}" pid="12" name="MSIP_Label_38f1469a-2c2a-4aee-b92b-090d4c5468ff_Name">
    <vt:lpwstr>Confidential - Unmarked</vt:lpwstr>
  </property>
  <property fmtid="{D5CDD505-2E9C-101B-9397-08002B2CF9AE}" pid="13" name="MSIP_Label_38f1469a-2c2a-4aee-b92b-090d4c5468ff_SiteId">
    <vt:lpwstr>2a6e6092-73e4-4752-b1a5-477a17f5056d</vt:lpwstr>
  </property>
  <property fmtid="{D5CDD505-2E9C-101B-9397-08002B2CF9AE}" pid="14" name="MSIP_Label_38f1469a-2c2a-4aee-b92b-090d4c5468ff_ActionId">
    <vt:lpwstr>95e392c6-a67d-430a-ae9f-92febc3e280b</vt:lpwstr>
  </property>
  <property fmtid="{D5CDD505-2E9C-101B-9397-08002B2CF9AE}" pid="15" name="MSIP_Label_38f1469a-2c2a-4aee-b92b-090d4c5468ff_ContentBits">
    <vt:lpwstr>0</vt:lpwstr>
  </property>
</Properties>
</file>