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nera-dcfs\WORK\Projects\Energy\BGS 24-25 (A) (121824)\2025 Auction\3 RSCP Rates\1 July Filing\2 Received from EDCs\to post\"/>
    </mc:Choice>
  </mc:AlternateContent>
  <xr:revisionPtr revIDLastSave="0" documentId="13_ncr:1_{FD6173FA-BB0D-4C69-9CD9-AC09D75AC3FE}" xr6:coauthVersionLast="47" xr6:coauthVersionMax="47" xr10:uidLastSave="{00000000-0000-0000-0000-000000000000}"/>
  <bookViews>
    <workbookView xWindow="15005" yWindow="-17370" windowWidth="30900" windowHeight="16860" tabRatio="852" xr2:uid="{FFCD7060-73EC-4583-855C-8E3C368AD128}"/>
  </bookViews>
  <sheets>
    <sheet name="BGS PTY21 Cost Alloc" sheetId="11" r:id="rId1"/>
    <sheet name="BGS PTY22 Cost Alloc" sheetId="13" r:id="rId2"/>
    <sheet name="BGS PTY23 Cost Alloc" sheetId="10" r:id="rId3"/>
    <sheet name="Composite Cost Allocation" sheetId="14" r:id="rId4"/>
    <sheet name="Capacity Price Ladder" sheetId="29" state="hidden" r:id="rId5"/>
    <sheet name="Attachment 3 - 23-24 (remove)" sheetId="26" state="hidden" r:id="rId6"/>
    <sheet name="Attachment 3 - 25-26" sheetId="30" r:id="rId7"/>
    <sheet name="Attachment 3 - 26-27" sheetId="31" r:id="rId8"/>
    <sheet name="Attachment 3 - 27-28" sheetId="28" r:id="rId9"/>
    <sheet name="Attachment 4" sheetId="32" r:id="rId10"/>
  </sheets>
  <definedNames>
    <definedName name="_xlnm.Print_Area" localSheetId="5">'Attachment 3 - 23-24 (remove)'!$A$1:$G$55</definedName>
    <definedName name="_xlnm.Print_Area" localSheetId="6">'Attachment 3 - 25-26'!$A$1:$G$53</definedName>
    <definedName name="_xlnm.Print_Area" localSheetId="7">'Attachment 3 - 26-27'!$A$1:$G$53</definedName>
    <definedName name="_xlnm.Print_Area" localSheetId="8">'Attachment 3 - 27-28'!$A$1:$G$56</definedName>
    <definedName name="_xlnm.Print_Area" localSheetId="0">'BGS PTY21 Cost Alloc'!$A$1:$J$328</definedName>
    <definedName name="_xlnm.Print_Area" localSheetId="1">'BGS PTY22 Cost Alloc'!$A$1:$J$328</definedName>
    <definedName name="_xlnm.Print_Area" localSheetId="2">'BGS PTY23 Cost Alloc'!$A$1:$L$317</definedName>
    <definedName name="_xlnm.Print_Area" localSheetId="3">'Composite Cost Allocation'!$A$1:$J$183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28" l="1"/>
  <c r="C33" i="28"/>
  <c r="D33" i="31"/>
  <c r="C33" i="31"/>
  <c r="C13" i="32" l="1"/>
  <c r="C17" i="32" s="1"/>
  <c r="E16" i="30"/>
  <c r="E15" i="30"/>
  <c r="E14" i="30"/>
  <c r="E12" i="30"/>
  <c r="E10" i="30"/>
  <c r="C16" i="32" l="1"/>
  <c r="D16" i="31"/>
  <c r="D15" i="31"/>
  <c r="D14" i="31"/>
  <c r="D12" i="31"/>
  <c r="D10" i="31"/>
  <c r="F72" i="10" l="1"/>
  <c r="D14" i="30" l="1"/>
  <c r="D12" i="30"/>
  <c r="D10" i="30"/>
  <c r="C38" i="31" l="1"/>
  <c r="C14" i="3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C10" i="31"/>
  <c r="D38" i="31" l="1"/>
  <c r="E38" i="31"/>
  <c r="C15" i="31" l="1"/>
  <c r="C16" i="31" s="1"/>
  <c r="Z72" i="10" l="1"/>
  <c r="E68" i="26" l="1"/>
  <c r="D68" i="26"/>
  <c r="C68" i="26"/>
  <c r="D14" i="26" l="1"/>
  <c r="C14" i="30"/>
  <c r="C14" i="28"/>
  <c r="D16" i="26"/>
  <c r="C14" i="26"/>
  <c r="Y60" i="10" l="1"/>
  <c r="AC60" i="10"/>
  <c r="G60" i="10" s="1"/>
  <c r="AG60" i="10"/>
  <c r="K15" i="26" l="1"/>
  <c r="K16" i="26"/>
  <c r="C38" i="30"/>
  <c r="E38" i="30" s="1"/>
  <c r="C15" i="30" s="1"/>
  <c r="A11" i="30"/>
  <c r="A12" i="30" s="1"/>
  <c r="A13" i="30" s="1"/>
  <c r="A14" i="30" s="1"/>
  <c r="A15" i="30" s="1"/>
  <c r="A16" i="30" s="1"/>
  <c r="A17" i="30" s="1"/>
  <c r="A18" i="30" s="1"/>
  <c r="A19" i="30" s="1"/>
  <c r="A20" i="30" s="1"/>
  <c r="C10" i="30"/>
  <c r="C16" i="30" l="1"/>
  <c r="D15" i="30"/>
  <c r="D16" i="30" s="1"/>
  <c r="D38" i="30"/>
  <c r="AF76" i="10" l="1"/>
  <c r="D12" i="26" l="1"/>
  <c r="D10" i="26"/>
  <c r="C38" i="28" l="1"/>
  <c r="E38" i="28" s="1"/>
  <c r="C15" i="28" s="1"/>
  <c r="A11" i="28"/>
  <c r="A12" i="28" s="1"/>
  <c r="A13" i="28" s="1"/>
  <c r="A14" i="28" s="1"/>
  <c r="A15" i="28" s="1"/>
  <c r="A16" i="28" s="1"/>
  <c r="A17" i="28" s="1"/>
  <c r="A18" i="28" s="1"/>
  <c r="A19" i="28" s="1"/>
  <c r="A20" i="28" s="1"/>
  <c r="C10" i="28"/>
  <c r="P21" i="26"/>
  <c r="P22" i="26" s="1"/>
  <c r="D38" i="28" l="1"/>
  <c r="C16" i="28"/>
  <c r="Q16" i="26" l="1"/>
  <c r="G192" i="10" l="1"/>
  <c r="Q15" i="26" l="1"/>
  <c r="C10" i="26" l="1"/>
  <c r="C40" i="26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E40" i="26" l="1"/>
  <c r="C15" i="26" s="1"/>
  <c r="D15" i="26" s="1"/>
  <c r="D40" i="26"/>
  <c r="H192" i="10" l="1"/>
  <c r="D192" i="13" l="1"/>
  <c r="E192" i="13" s="1"/>
  <c r="D193" i="11" l="1"/>
  <c r="B328" i="11" l="1"/>
  <c r="B328" i="13"/>
  <c r="F187" i="10" l="1"/>
  <c r="X95" i="10" l="1"/>
  <c r="U178" i="10" l="1"/>
  <c r="U185" i="10" l="1"/>
  <c r="U177" i="10"/>
  <c r="X87" i="10" l="1"/>
  <c r="E95" i="10"/>
  <c r="I60" i="10"/>
  <c r="I60" i="11" s="1"/>
  <c r="I61" i="10"/>
  <c r="I61" i="13" s="1"/>
  <c r="I62" i="10"/>
  <c r="I62" i="13" s="1"/>
  <c r="I63" i="10"/>
  <c r="I63" i="13" s="1"/>
  <c r="I64" i="10"/>
  <c r="I64" i="11" s="1"/>
  <c r="I65" i="10"/>
  <c r="I66" i="10"/>
  <c r="I67" i="10"/>
  <c r="I67" i="13" s="1"/>
  <c r="I68" i="10"/>
  <c r="I68" i="11" s="1"/>
  <c r="I69" i="10"/>
  <c r="I69" i="13" s="1"/>
  <c r="I70" i="10"/>
  <c r="I70" i="13" s="1"/>
  <c r="I71" i="10"/>
  <c r="I71" i="11" s="1"/>
  <c r="W72" i="10"/>
  <c r="E110" i="14"/>
  <c r="R95" i="10"/>
  <c r="F65" i="10"/>
  <c r="F65" i="11" s="1"/>
  <c r="F66" i="10"/>
  <c r="F66" i="11" s="1"/>
  <c r="F67" i="10"/>
  <c r="F67" i="13" s="1"/>
  <c r="F68" i="10"/>
  <c r="F68" i="11" s="1"/>
  <c r="S93" i="10"/>
  <c r="S94" i="10"/>
  <c r="Q95" i="10"/>
  <c r="F60" i="10"/>
  <c r="F60" i="13" s="1"/>
  <c r="F61" i="10"/>
  <c r="F61" i="11" s="1"/>
  <c r="F62" i="10"/>
  <c r="F62" i="11" s="1"/>
  <c r="F63" i="10"/>
  <c r="F63" i="11" s="1"/>
  <c r="F64" i="10"/>
  <c r="F64" i="11" s="1"/>
  <c r="F69" i="10"/>
  <c r="F69" i="11" s="1"/>
  <c r="F70" i="10"/>
  <c r="F70" i="11" s="1"/>
  <c r="F71" i="10"/>
  <c r="F71" i="11" s="1"/>
  <c r="E94" i="11"/>
  <c r="E95" i="11" s="1"/>
  <c r="AC61" i="10"/>
  <c r="AC62" i="10"/>
  <c r="AC63" i="10"/>
  <c r="AC64" i="10"/>
  <c r="AC65" i="10"/>
  <c r="AC66" i="10"/>
  <c r="AC67" i="10"/>
  <c r="AC68" i="10"/>
  <c r="AC69" i="10"/>
  <c r="AC70" i="10"/>
  <c r="AC71" i="10"/>
  <c r="AL72" i="10"/>
  <c r="AK72" i="10"/>
  <c r="E94" i="13"/>
  <c r="E95" i="13" s="1"/>
  <c r="F87" i="13"/>
  <c r="D87" i="13"/>
  <c r="F87" i="11"/>
  <c r="D87" i="11"/>
  <c r="E180" i="11"/>
  <c r="C311" i="11" s="1"/>
  <c r="AD72" i="10"/>
  <c r="E179" i="11"/>
  <c r="C310" i="11" s="1"/>
  <c r="T30" i="10"/>
  <c r="T30" i="11" s="1"/>
  <c r="Q30" i="10"/>
  <c r="Q30" i="13" s="1"/>
  <c r="X72" i="10"/>
  <c r="E177" i="13"/>
  <c r="C310" i="13" s="1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I90" i="11"/>
  <c r="I89" i="11"/>
  <c r="I88" i="11"/>
  <c r="H90" i="11"/>
  <c r="H89" i="11"/>
  <c r="H88" i="11"/>
  <c r="I87" i="11"/>
  <c r="H87" i="11"/>
  <c r="I86" i="11"/>
  <c r="I85" i="11"/>
  <c r="H86" i="11"/>
  <c r="H85" i="11"/>
  <c r="I83" i="11"/>
  <c r="I82" i="11"/>
  <c r="I81" i="11"/>
  <c r="I80" i="11"/>
  <c r="H83" i="11"/>
  <c r="H82" i="11"/>
  <c r="H81" i="11"/>
  <c r="H80" i="11"/>
  <c r="Y65" i="10"/>
  <c r="Y66" i="10"/>
  <c r="Y67" i="10"/>
  <c r="Y68" i="10"/>
  <c r="Y61" i="10"/>
  <c r="Y62" i="10"/>
  <c r="Y63" i="10"/>
  <c r="Y64" i="10"/>
  <c r="Y69" i="10"/>
  <c r="Y70" i="10"/>
  <c r="Y71" i="10"/>
  <c r="H85" i="10"/>
  <c r="H86" i="10" s="1"/>
  <c r="H87" i="10" s="1"/>
  <c r="H80" i="10"/>
  <c r="H81" i="10"/>
  <c r="H82" i="10"/>
  <c r="H83" i="10"/>
  <c r="G95" i="10"/>
  <c r="H88" i="10"/>
  <c r="H89" i="10"/>
  <c r="H90" i="10"/>
  <c r="F95" i="10"/>
  <c r="H95" i="10"/>
  <c r="I95" i="10"/>
  <c r="I163" i="14"/>
  <c r="H163" i="14"/>
  <c r="G163" i="14"/>
  <c r="F163" i="14"/>
  <c r="E163" i="14"/>
  <c r="AF72" i="10"/>
  <c r="AE71" i="11"/>
  <c r="AE70" i="11"/>
  <c r="W55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C320" i="11"/>
  <c r="C319" i="11"/>
  <c r="C318" i="11"/>
  <c r="B102" i="11"/>
  <c r="B165" i="11"/>
  <c r="B57" i="11"/>
  <c r="H30" i="11"/>
  <c r="E30" i="11"/>
  <c r="E10" i="11"/>
  <c r="B3" i="11"/>
  <c r="E193" i="11"/>
  <c r="C315" i="11" s="1"/>
  <c r="C314" i="11"/>
  <c r="C313" i="11"/>
  <c r="D83" i="11"/>
  <c r="D79" i="11"/>
  <c r="D80" i="11"/>
  <c r="D81" i="11"/>
  <c r="D82" i="11"/>
  <c r="F83" i="11"/>
  <c r="F79" i="11"/>
  <c r="F80" i="11"/>
  <c r="F81" i="11"/>
  <c r="F82" i="11"/>
  <c r="D90" i="11"/>
  <c r="D88" i="11"/>
  <c r="D89" i="11"/>
  <c r="F90" i="11"/>
  <c r="F88" i="11"/>
  <c r="F89" i="11"/>
  <c r="W64" i="11"/>
  <c r="W60" i="11"/>
  <c r="W61" i="11"/>
  <c r="W62" i="11"/>
  <c r="X62" i="11"/>
  <c r="W63" i="11"/>
  <c r="W69" i="11"/>
  <c r="W70" i="11"/>
  <c r="W71" i="11"/>
  <c r="D84" i="11"/>
  <c r="D85" i="11"/>
  <c r="D86" i="11"/>
  <c r="F84" i="11"/>
  <c r="F85" i="11"/>
  <c r="F86" i="11"/>
  <c r="F94" i="11"/>
  <c r="F95" i="11" s="1"/>
  <c r="G94" i="11"/>
  <c r="G95" i="11" s="1"/>
  <c r="H94" i="11"/>
  <c r="H95" i="11" s="1"/>
  <c r="I94" i="11"/>
  <c r="I95" i="11" s="1"/>
  <c r="W68" i="11"/>
  <c r="W65" i="11"/>
  <c r="W66" i="11"/>
  <c r="W67" i="11"/>
  <c r="I293" i="11"/>
  <c r="H293" i="11"/>
  <c r="G293" i="11"/>
  <c r="F293" i="11"/>
  <c r="E293" i="11"/>
  <c r="B286" i="11"/>
  <c r="B285" i="11"/>
  <c r="I263" i="11"/>
  <c r="H263" i="11"/>
  <c r="G263" i="11"/>
  <c r="F263" i="11"/>
  <c r="E263" i="11"/>
  <c r="B239" i="11"/>
  <c r="B238" i="11"/>
  <c r="I217" i="11"/>
  <c r="H217" i="11"/>
  <c r="G217" i="11"/>
  <c r="F217" i="11"/>
  <c r="E217" i="11"/>
  <c r="B209" i="11"/>
  <c r="B208" i="11"/>
  <c r="I198" i="11"/>
  <c r="H198" i="11"/>
  <c r="G198" i="11"/>
  <c r="F198" i="11"/>
  <c r="E198" i="11"/>
  <c r="C184" i="11"/>
  <c r="H175" i="11"/>
  <c r="I166" i="11"/>
  <c r="H166" i="11"/>
  <c r="G166" i="11"/>
  <c r="F166" i="11"/>
  <c r="E166" i="11"/>
  <c r="E150" i="11"/>
  <c r="W162" i="11" s="1"/>
  <c r="H150" i="11"/>
  <c r="Z150" i="11" s="1"/>
  <c r="I150" i="11"/>
  <c r="G150" i="11"/>
  <c r="F150" i="11"/>
  <c r="B144" i="11"/>
  <c r="B143" i="11"/>
  <c r="I128" i="11"/>
  <c r="H128" i="11"/>
  <c r="G128" i="11"/>
  <c r="F128" i="11"/>
  <c r="E128" i="11"/>
  <c r="I110" i="11"/>
  <c r="H110" i="11"/>
  <c r="G110" i="11"/>
  <c r="F110" i="11"/>
  <c r="E110" i="11"/>
  <c r="B104" i="11"/>
  <c r="B103" i="11"/>
  <c r="X95" i="11"/>
  <c r="Y95" i="11" s="1"/>
  <c r="Z95" i="11"/>
  <c r="Y94" i="11"/>
  <c r="Z94" i="11"/>
  <c r="I92" i="11"/>
  <c r="H92" i="11"/>
  <c r="G92" i="11"/>
  <c r="F92" i="11"/>
  <c r="E92" i="11"/>
  <c r="X86" i="11"/>
  <c r="Y86" i="11"/>
  <c r="Z86" i="11"/>
  <c r="X85" i="11"/>
  <c r="Y85" i="11"/>
  <c r="Z85" i="11"/>
  <c r="X84" i="11"/>
  <c r="Y84" i="11"/>
  <c r="Z84" i="11"/>
  <c r="X83" i="11"/>
  <c r="Y83" i="11"/>
  <c r="Z83" i="11"/>
  <c r="X82" i="11"/>
  <c r="Y82" i="11"/>
  <c r="Z82" i="11"/>
  <c r="X81" i="11"/>
  <c r="Y81" i="11"/>
  <c r="Z81" i="11"/>
  <c r="X80" i="11"/>
  <c r="Y80" i="11"/>
  <c r="Z80" i="11"/>
  <c r="X79" i="11"/>
  <c r="Y79" i="11"/>
  <c r="Z79" i="11"/>
  <c r="T13" i="11"/>
  <c r="T31" i="11" s="1"/>
  <c r="Q13" i="11"/>
  <c r="Q79" i="11" s="1"/>
  <c r="X78" i="11"/>
  <c r="Y78" i="11"/>
  <c r="Z78" i="11"/>
  <c r="AB65" i="11"/>
  <c r="AB66" i="11"/>
  <c r="AB67" i="11"/>
  <c r="AB68" i="11"/>
  <c r="X77" i="11"/>
  <c r="Y77" i="11"/>
  <c r="Z77" i="11"/>
  <c r="X76" i="11"/>
  <c r="Y76" i="11"/>
  <c r="Z76" i="11"/>
  <c r="X75" i="11"/>
  <c r="Y75" i="11"/>
  <c r="Z75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B60" i="11"/>
  <c r="AB61" i="11"/>
  <c r="AB62" i="11"/>
  <c r="AB63" i="11"/>
  <c r="AB64" i="11"/>
  <c r="AB69" i="11"/>
  <c r="AB70" i="11"/>
  <c r="AB71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X60" i="11"/>
  <c r="X61" i="11"/>
  <c r="X63" i="11"/>
  <c r="X64" i="11"/>
  <c r="X65" i="11"/>
  <c r="X66" i="11"/>
  <c r="X67" i="11"/>
  <c r="X68" i="11"/>
  <c r="X69" i="11"/>
  <c r="X70" i="11"/>
  <c r="X71" i="11"/>
  <c r="Q69" i="11"/>
  <c r="U13" i="11"/>
  <c r="U58" i="11" s="1"/>
  <c r="S13" i="11"/>
  <c r="S58" i="11" s="1"/>
  <c r="R13" i="11"/>
  <c r="R31" i="11" s="1"/>
  <c r="Q58" i="11"/>
  <c r="I58" i="11"/>
  <c r="G58" i="11"/>
  <c r="F58" i="11"/>
  <c r="E58" i="11"/>
  <c r="B53" i="11"/>
  <c r="B52" i="11"/>
  <c r="I31" i="11"/>
  <c r="H31" i="11"/>
  <c r="G31" i="11"/>
  <c r="F31" i="11"/>
  <c r="E31" i="11"/>
  <c r="AE72" i="11"/>
  <c r="AE71" i="13"/>
  <c r="AE70" i="13"/>
  <c r="W55" i="13"/>
  <c r="V71" i="13"/>
  <c r="V70" i="13"/>
  <c r="V69" i="13"/>
  <c r="V68" i="13"/>
  <c r="V67" i="13"/>
  <c r="V66" i="13"/>
  <c r="V65" i="13"/>
  <c r="V64" i="13"/>
  <c r="V63" i="13"/>
  <c r="V62" i="13"/>
  <c r="V61" i="13"/>
  <c r="V60" i="13"/>
  <c r="C320" i="13"/>
  <c r="C319" i="13"/>
  <c r="C318" i="13"/>
  <c r="D84" i="13"/>
  <c r="D85" i="13"/>
  <c r="D86" i="13"/>
  <c r="F84" i="13"/>
  <c r="F85" i="13"/>
  <c r="F86" i="13"/>
  <c r="C315" i="13"/>
  <c r="F94" i="13"/>
  <c r="F95" i="13" s="1"/>
  <c r="H94" i="13"/>
  <c r="H95" i="13" s="1"/>
  <c r="I94" i="13"/>
  <c r="I95" i="13" s="1"/>
  <c r="H85" i="13"/>
  <c r="H86" i="13" s="1"/>
  <c r="H87" i="13" s="1"/>
  <c r="I85" i="13"/>
  <c r="I86" i="13" s="1"/>
  <c r="I87" i="13" s="1"/>
  <c r="D83" i="13"/>
  <c r="D79" i="13"/>
  <c r="D80" i="13"/>
  <c r="D81" i="13"/>
  <c r="D82" i="13"/>
  <c r="F83" i="13"/>
  <c r="F79" i="13"/>
  <c r="F80" i="13"/>
  <c r="F81" i="13"/>
  <c r="F82" i="13"/>
  <c r="D90" i="13"/>
  <c r="D88" i="13"/>
  <c r="D89" i="13"/>
  <c r="F90" i="13"/>
  <c r="F88" i="13"/>
  <c r="F89" i="13"/>
  <c r="E178" i="13"/>
  <c r="C311" i="13" s="1"/>
  <c r="H80" i="13"/>
  <c r="H81" i="13"/>
  <c r="H82" i="13"/>
  <c r="H83" i="13"/>
  <c r="I80" i="13"/>
  <c r="I81" i="13"/>
  <c r="I82" i="13"/>
  <c r="I83" i="13"/>
  <c r="B102" i="13"/>
  <c r="B163" i="13"/>
  <c r="B57" i="13"/>
  <c r="H30" i="13"/>
  <c r="E30" i="13"/>
  <c r="E10" i="13"/>
  <c r="I90" i="13"/>
  <c r="H90" i="13"/>
  <c r="I89" i="13"/>
  <c r="H89" i="13"/>
  <c r="I88" i="13"/>
  <c r="H88" i="13"/>
  <c r="B3" i="13"/>
  <c r="H92" i="13"/>
  <c r="W68" i="13"/>
  <c r="W65" i="13"/>
  <c r="W66" i="13"/>
  <c r="W67" i="13"/>
  <c r="W64" i="13"/>
  <c r="W60" i="13"/>
  <c r="W61" i="13"/>
  <c r="W62" i="13"/>
  <c r="W63" i="13"/>
  <c r="W71" i="13"/>
  <c r="W69" i="13"/>
  <c r="X84" i="13"/>
  <c r="Y84" i="13"/>
  <c r="Z84" i="13"/>
  <c r="W70" i="13"/>
  <c r="B286" i="13"/>
  <c r="B285" i="13"/>
  <c r="G94" i="13"/>
  <c r="G95" i="13" s="1"/>
  <c r="I293" i="13"/>
  <c r="H293" i="13"/>
  <c r="G293" i="13"/>
  <c r="F293" i="13"/>
  <c r="E293" i="13"/>
  <c r="Z86" i="13"/>
  <c r="Z85" i="13"/>
  <c r="Z83" i="13"/>
  <c r="Z82" i="13"/>
  <c r="Z81" i="13"/>
  <c r="Z80" i="13"/>
  <c r="Z79" i="13"/>
  <c r="Z78" i="13"/>
  <c r="Z77" i="13"/>
  <c r="Z76" i="13"/>
  <c r="Z75" i="13"/>
  <c r="Y86" i="13"/>
  <c r="Y85" i="13"/>
  <c r="Y83" i="13"/>
  <c r="Y82" i="13"/>
  <c r="Y81" i="13"/>
  <c r="Y80" i="13"/>
  <c r="Y79" i="13"/>
  <c r="Y78" i="13"/>
  <c r="Y77" i="13"/>
  <c r="Y76" i="13"/>
  <c r="Y75" i="13"/>
  <c r="X75" i="13"/>
  <c r="X86" i="13"/>
  <c r="X85" i="13"/>
  <c r="Y94" i="13"/>
  <c r="Z94" i="13"/>
  <c r="X95" i="13"/>
  <c r="Y95" i="13" s="1"/>
  <c r="Z95" i="13"/>
  <c r="X83" i="13"/>
  <c r="X82" i="13"/>
  <c r="X81" i="13"/>
  <c r="X80" i="13"/>
  <c r="X79" i="13"/>
  <c r="X78" i="13"/>
  <c r="X77" i="13"/>
  <c r="X76" i="13"/>
  <c r="AD71" i="13"/>
  <c r="AD70" i="13"/>
  <c r="AD69" i="13"/>
  <c r="AD68" i="13"/>
  <c r="AD67" i="13"/>
  <c r="AD66" i="13"/>
  <c r="AD65" i="13"/>
  <c r="AD64" i="13"/>
  <c r="AD63" i="13"/>
  <c r="AD62" i="13"/>
  <c r="AD61" i="13"/>
  <c r="AD60" i="13"/>
  <c r="AE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Z71" i="13"/>
  <c r="Z70" i="13"/>
  <c r="Z69" i="13"/>
  <c r="Z68" i="13"/>
  <c r="Z67" i="13"/>
  <c r="Z66" i="13"/>
  <c r="Z65" i="13"/>
  <c r="Z64" i="13"/>
  <c r="Z63" i="13"/>
  <c r="Z62" i="13"/>
  <c r="Z61" i="13"/>
  <c r="Z60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I196" i="13"/>
  <c r="H196" i="13"/>
  <c r="G196" i="13"/>
  <c r="F196" i="13"/>
  <c r="E196" i="13"/>
  <c r="I263" i="13"/>
  <c r="H263" i="13"/>
  <c r="G263" i="13"/>
  <c r="F263" i="13"/>
  <c r="E263" i="13"/>
  <c r="H215" i="13"/>
  <c r="H128" i="13"/>
  <c r="H110" i="13"/>
  <c r="H149" i="13"/>
  <c r="Q150" i="13" s="1"/>
  <c r="H164" i="13"/>
  <c r="E149" i="13"/>
  <c r="Z162" i="13" s="1"/>
  <c r="Q13" i="13"/>
  <c r="Q79" i="13" s="1"/>
  <c r="C183" i="13"/>
  <c r="B237" i="13"/>
  <c r="B236" i="13"/>
  <c r="C314" i="13"/>
  <c r="C313" i="13"/>
  <c r="I215" i="13"/>
  <c r="G215" i="13"/>
  <c r="F215" i="13"/>
  <c r="E215" i="13"/>
  <c r="B207" i="13"/>
  <c r="B206" i="13"/>
  <c r="H173" i="13"/>
  <c r="I164" i="13"/>
  <c r="G164" i="13"/>
  <c r="F164" i="13"/>
  <c r="E164" i="13"/>
  <c r="I149" i="13"/>
  <c r="G149" i="13"/>
  <c r="F149" i="13"/>
  <c r="B144" i="13"/>
  <c r="B143" i="13"/>
  <c r="I128" i="13"/>
  <c r="G128" i="13"/>
  <c r="F128" i="13"/>
  <c r="E128" i="13"/>
  <c r="I110" i="13"/>
  <c r="G110" i="13"/>
  <c r="F110" i="13"/>
  <c r="E110" i="13"/>
  <c r="B104" i="13"/>
  <c r="B103" i="13"/>
  <c r="I92" i="13"/>
  <c r="G92" i="13"/>
  <c r="F92" i="13"/>
  <c r="E92" i="13"/>
  <c r="U13" i="13"/>
  <c r="U58" i="13" s="1"/>
  <c r="T13" i="13"/>
  <c r="T58" i="13" s="1"/>
  <c r="S13" i="13"/>
  <c r="S58" i="13" s="1"/>
  <c r="R13" i="13"/>
  <c r="R58" i="13" s="1"/>
  <c r="I58" i="13"/>
  <c r="G58" i="13"/>
  <c r="F58" i="13"/>
  <c r="E58" i="13"/>
  <c r="B53" i="13"/>
  <c r="B52" i="13"/>
  <c r="I31" i="13"/>
  <c r="H31" i="13"/>
  <c r="G31" i="13"/>
  <c r="F31" i="13"/>
  <c r="E31" i="13"/>
  <c r="Y94" i="10"/>
  <c r="Z94" i="10"/>
  <c r="W75" i="10"/>
  <c r="V75" i="10" s="1"/>
  <c r="W76" i="10"/>
  <c r="V76" i="10" s="1"/>
  <c r="W77" i="10"/>
  <c r="V77" i="10" s="1"/>
  <c r="W78" i="10"/>
  <c r="V78" i="10" s="1"/>
  <c r="W79" i="10"/>
  <c r="V79" i="10" s="1"/>
  <c r="W80" i="10"/>
  <c r="V80" i="10" s="1"/>
  <c r="W81" i="10"/>
  <c r="V81" i="10" s="1"/>
  <c r="W82" i="10"/>
  <c r="V82" i="10" s="1"/>
  <c r="W83" i="10"/>
  <c r="V83" i="10" s="1"/>
  <c r="W84" i="10"/>
  <c r="V84" i="10" s="1"/>
  <c r="W85" i="10"/>
  <c r="V85" i="10" s="1"/>
  <c r="W86" i="10"/>
  <c r="V86" i="10" s="1"/>
  <c r="Y95" i="10"/>
  <c r="Z95" i="10"/>
  <c r="Z87" i="10"/>
  <c r="Y87" i="10"/>
  <c r="H92" i="10"/>
  <c r="D87" i="10"/>
  <c r="E87" i="10" s="1"/>
  <c r="E84" i="10"/>
  <c r="D85" i="10"/>
  <c r="E85" i="10" s="1"/>
  <c r="D86" i="10"/>
  <c r="E86" i="10" s="1"/>
  <c r="I85" i="10"/>
  <c r="I86" i="10" s="1"/>
  <c r="I87" i="10" s="1"/>
  <c r="Q163" i="10"/>
  <c r="W163" i="10" s="1"/>
  <c r="D83" i="10"/>
  <c r="E83" i="10" s="1"/>
  <c r="E79" i="10"/>
  <c r="D80" i="10"/>
  <c r="E80" i="10" s="1"/>
  <c r="D81" i="10"/>
  <c r="E81" i="10" s="1"/>
  <c r="D82" i="10"/>
  <c r="E82" i="10" s="1"/>
  <c r="I80" i="10"/>
  <c r="I81" i="10"/>
  <c r="I82" i="10"/>
  <c r="I83" i="10"/>
  <c r="D90" i="10"/>
  <c r="E90" i="10" s="1"/>
  <c r="I90" i="10"/>
  <c r="D88" i="10"/>
  <c r="E88" i="10" s="1"/>
  <c r="D89" i="10"/>
  <c r="E89" i="10" s="1"/>
  <c r="I88" i="10"/>
  <c r="I89" i="10"/>
  <c r="Q168" i="10"/>
  <c r="W168" i="10" s="1"/>
  <c r="B277" i="10"/>
  <c r="B276" i="10"/>
  <c r="I191" i="10"/>
  <c r="H191" i="10"/>
  <c r="G191" i="10"/>
  <c r="F191" i="10"/>
  <c r="E191" i="10"/>
  <c r="I255" i="10"/>
  <c r="H255" i="10"/>
  <c r="G255" i="10"/>
  <c r="F255" i="10"/>
  <c r="E255" i="10"/>
  <c r="H209" i="10"/>
  <c r="Q63" i="10"/>
  <c r="Q67" i="10"/>
  <c r="AD77" i="10"/>
  <c r="H128" i="10"/>
  <c r="H110" i="10"/>
  <c r="H148" i="10"/>
  <c r="AC148" i="10" s="1"/>
  <c r="H162" i="10"/>
  <c r="E148" i="10"/>
  <c r="Z159" i="10" s="1"/>
  <c r="Q13" i="10"/>
  <c r="Q79" i="10" s="1"/>
  <c r="C301" i="10"/>
  <c r="AX181" i="10"/>
  <c r="C178" i="10"/>
  <c r="B231" i="10"/>
  <c r="B230" i="10"/>
  <c r="C300" i="10"/>
  <c r="C305" i="10"/>
  <c r="C304" i="10"/>
  <c r="C303" i="10"/>
  <c r="I209" i="10"/>
  <c r="G209" i="10"/>
  <c r="F209" i="10"/>
  <c r="E209" i="10"/>
  <c r="B201" i="10"/>
  <c r="B200" i="10"/>
  <c r="H170" i="10"/>
  <c r="I162" i="10"/>
  <c r="G162" i="10"/>
  <c r="F162" i="10"/>
  <c r="E162" i="10"/>
  <c r="I148" i="10"/>
  <c r="G148" i="10"/>
  <c r="F148" i="10"/>
  <c r="B144" i="10"/>
  <c r="B143" i="10"/>
  <c r="I128" i="10"/>
  <c r="G128" i="10"/>
  <c r="F128" i="10"/>
  <c r="E128" i="10"/>
  <c r="I110" i="10"/>
  <c r="G110" i="10"/>
  <c r="F110" i="10"/>
  <c r="E110" i="10"/>
  <c r="B104" i="10"/>
  <c r="B103" i="10"/>
  <c r="I92" i="10"/>
  <c r="G92" i="10"/>
  <c r="F92" i="10"/>
  <c r="E92" i="10"/>
  <c r="U13" i="10"/>
  <c r="U58" i="10" s="1"/>
  <c r="T13" i="10"/>
  <c r="T79" i="10" s="1"/>
  <c r="S13" i="10"/>
  <c r="S31" i="10" s="1"/>
  <c r="R13" i="10"/>
  <c r="R58" i="10" s="1"/>
  <c r="AB72" i="10"/>
  <c r="I58" i="10"/>
  <c r="G58" i="10"/>
  <c r="F58" i="10"/>
  <c r="E58" i="10"/>
  <c r="B53" i="10"/>
  <c r="B52" i="10"/>
  <c r="I31" i="10"/>
  <c r="H31" i="10"/>
  <c r="G31" i="10"/>
  <c r="F31" i="10"/>
  <c r="E31" i="10"/>
  <c r="B3" i="14"/>
  <c r="F131" i="14"/>
  <c r="G131" i="14"/>
  <c r="H131" i="14"/>
  <c r="I131" i="14"/>
  <c r="E131" i="14"/>
  <c r="B156" i="14"/>
  <c r="B155" i="14"/>
  <c r="B53" i="14"/>
  <c r="B52" i="14"/>
  <c r="B51" i="14"/>
  <c r="B50" i="14"/>
  <c r="B49" i="14"/>
  <c r="B48" i="14"/>
  <c r="B47" i="14"/>
  <c r="T150" i="13"/>
  <c r="Q162" i="13"/>
  <c r="T150" i="11"/>
  <c r="R58" i="11"/>
  <c r="AC162" i="11"/>
  <c r="Q31" i="11" l="1"/>
  <c r="E97" i="11"/>
  <c r="AC150" i="11"/>
  <c r="S31" i="11"/>
  <c r="T162" i="11"/>
  <c r="W162" i="13"/>
  <c r="Z162" i="11"/>
  <c r="Q162" i="11"/>
  <c r="T162" i="13"/>
  <c r="U31" i="10"/>
  <c r="Q150" i="11"/>
  <c r="AA94" i="11"/>
  <c r="R31" i="13"/>
  <c r="W150" i="11"/>
  <c r="AC162" i="13"/>
  <c r="AA95" i="11"/>
  <c r="AH71" i="11"/>
  <c r="Z150" i="13"/>
  <c r="S31" i="13"/>
  <c r="U31" i="13"/>
  <c r="U31" i="11"/>
  <c r="T79" i="11"/>
  <c r="W150" i="13"/>
  <c r="AC150" i="13"/>
  <c r="Y67" i="13"/>
  <c r="T159" i="10"/>
  <c r="AA94" i="13"/>
  <c r="H97" i="10"/>
  <c r="T31" i="13"/>
  <c r="Q69" i="13"/>
  <c r="T79" i="13"/>
  <c r="AA95" i="13"/>
  <c r="T58" i="11"/>
  <c r="T69" i="11"/>
  <c r="T69" i="13"/>
  <c r="T148" i="10"/>
  <c r="AC159" i="10"/>
  <c r="AA65" i="13"/>
  <c r="F60" i="11"/>
  <c r="R60" i="11" s="1"/>
  <c r="AA70" i="11"/>
  <c r="AA62" i="13"/>
  <c r="Q31" i="13"/>
  <c r="Q58" i="13"/>
  <c r="E97" i="13"/>
  <c r="Q58" i="10"/>
  <c r="AA95" i="10"/>
  <c r="F70" i="13"/>
  <c r="F66" i="13"/>
  <c r="S95" i="10"/>
  <c r="AA94" i="10"/>
  <c r="AB82" i="10" s="1"/>
  <c r="AC82" i="10" s="1"/>
  <c r="F65" i="13"/>
  <c r="F61" i="13"/>
  <c r="Q31" i="10"/>
  <c r="G97" i="10"/>
  <c r="I70" i="11"/>
  <c r="F69" i="13"/>
  <c r="W148" i="10"/>
  <c r="G60" i="11"/>
  <c r="AC60" i="13"/>
  <c r="AC60" i="11"/>
  <c r="I97" i="10"/>
  <c r="Q69" i="10"/>
  <c r="R31" i="10"/>
  <c r="Z148" i="10"/>
  <c r="T31" i="10"/>
  <c r="Q148" i="10"/>
  <c r="F68" i="13"/>
  <c r="I69" i="11"/>
  <c r="G65" i="10"/>
  <c r="AC65" i="11"/>
  <c r="AC65" i="13"/>
  <c r="G61" i="10"/>
  <c r="G61" i="11" s="1"/>
  <c r="AC61" i="11"/>
  <c r="AC61" i="13"/>
  <c r="G71" i="10"/>
  <c r="G71" i="11" s="1"/>
  <c r="AC71" i="11"/>
  <c r="AC71" i="13"/>
  <c r="G68" i="10"/>
  <c r="G68" i="13" s="1"/>
  <c r="AC68" i="11"/>
  <c r="AC68" i="13"/>
  <c r="G64" i="10"/>
  <c r="G64" i="11" s="1"/>
  <c r="AC64" i="11"/>
  <c r="AC64" i="13"/>
  <c r="Y67" i="11"/>
  <c r="Y64" i="11"/>
  <c r="I63" i="11"/>
  <c r="G70" i="10"/>
  <c r="G70" i="13" s="1"/>
  <c r="AC70" i="11"/>
  <c r="AC70" i="13"/>
  <c r="G67" i="10"/>
  <c r="G67" i="11" s="1"/>
  <c r="AC67" i="11"/>
  <c r="AC67" i="13"/>
  <c r="G63" i="10"/>
  <c r="G63" i="13" s="1"/>
  <c r="AC63" i="11"/>
  <c r="AC63" i="13"/>
  <c r="Y64" i="13"/>
  <c r="W79" i="13"/>
  <c r="V79" i="13" s="1"/>
  <c r="G69" i="10"/>
  <c r="G69" i="11" s="1"/>
  <c r="AC69" i="11"/>
  <c r="AC69" i="13"/>
  <c r="G66" i="10"/>
  <c r="G66" i="13" s="1"/>
  <c r="AC66" i="11"/>
  <c r="AC66" i="13"/>
  <c r="G62" i="10"/>
  <c r="G62" i="11" s="1"/>
  <c r="AC62" i="11"/>
  <c r="AC62" i="13"/>
  <c r="Y65" i="11"/>
  <c r="Y62" i="13"/>
  <c r="Y71" i="13"/>
  <c r="Y60" i="11"/>
  <c r="W86" i="13"/>
  <c r="V86" i="13" s="1"/>
  <c r="Y60" i="13"/>
  <c r="W78" i="11"/>
  <c r="V78" i="11" s="1"/>
  <c r="W81" i="11"/>
  <c r="V81" i="11" s="1"/>
  <c r="W82" i="11"/>
  <c r="V82" i="11" s="1"/>
  <c r="W86" i="11"/>
  <c r="V86" i="11" s="1"/>
  <c r="Y62" i="11"/>
  <c r="Y70" i="13"/>
  <c r="W77" i="13"/>
  <c r="V77" i="13" s="1"/>
  <c r="W75" i="13"/>
  <c r="V75" i="13" s="1"/>
  <c r="Y63" i="13"/>
  <c r="Y68" i="13"/>
  <c r="W79" i="11"/>
  <c r="V79" i="11" s="1"/>
  <c r="Q167" i="13"/>
  <c r="W167" i="13" s="1"/>
  <c r="Y71" i="11"/>
  <c r="AD77" i="11"/>
  <c r="W85" i="11"/>
  <c r="V85" i="11" s="1"/>
  <c r="Y66" i="11"/>
  <c r="T69" i="10"/>
  <c r="W78" i="13"/>
  <c r="V78" i="13" s="1"/>
  <c r="W84" i="11"/>
  <c r="V84" i="11" s="1"/>
  <c r="Y69" i="11"/>
  <c r="I64" i="13"/>
  <c r="S58" i="10"/>
  <c r="E97" i="10"/>
  <c r="Q63" i="13"/>
  <c r="Q159" i="10"/>
  <c r="T58" i="10"/>
  <c r="Y65" i="13"/>
  <c r="AB72" i="13"/>
  <c r="AD77" i="13"/>
  <c r="AD72" i="11"/>
  <c r="Y68" i="11"/>
  <c r="Y72" i="10"/>
  <c r="I68" i="13"/>
  <c r="I71" i="13"/>
  <c r="I67" i="11"/>
  <c r="I60" i="13"/>
  <c r="W82" i="13"/>
  <c r="V82" i="13" s="1"/>
  <c r="Y61" i="11"/>
  <c r="F62" i="13"/>
  <c r="W159" i="10"/>
  <c r="Z72" i="13"/>
  <c r="T30" i="13"/>
  <c r="Q30" i="11"/>
  <c r="R64" i="10"/>
  <c r="U60" i="10"/>
  <c r="H97" i="11"/>
  <c r="F97" i="11"/>
  <c r="G97" i="11"/>
  <c r="W83" i="13"/>
  <c r="V83" i="13" s="1"/>
  <c r="W84" i="13"/>
  <c r="V84" i="13" s="1"/>
  <c r="Y70" i="11"/>
  <c r="AB72" i="11"/>
  <c r="W80" i="11"/>
  <c r="V80" i="11" s="1"/>
  <c r="Q172" i="13"/>
  <c r="W172" i="13" s="1"/>
  <c r="W76" i="13"/>
  <c r="V76" i="13" s="1"/>
  <c r="W80" i="13"/>
  <c r="V80" i="13" s="1"/>
  <c r="W85" i="13"/>
  <c r="V85" i="13" s="1"/>
  <c r="W81" i="13"/>
  <c r="V81" i="13" s="1"/>
  <c r="X72" i="11"/>
  <c r="Z72" i="11"/>
  <c r="W76" i="11"/>
  <c r="V76" i="11" s="1"/>
  <c r="W77" i="11"/>
  <c r="V77" i="11" s="1"/>
  <c r="W83" i="11"/>
  <c r="V83" i="11" s="1"/>
  <c r="Y63" i="11"/>
  <c r="E237" i="10"/>
  <c r="Q63" i="11"/>
  <c r="W72" i="11"/>
  <c r="AD72" i="13"/>
  <c r="Q172" i="11"/>
  <c r="W172" i="11" s="1"/>
  <c r="E243" i="13"/>
  <c r="X72" i="13"/>
  <c r="Y69" i="13"/>
  <c r="Q67" i="13"/>
  <c r="E245" i="11"/>
  <c r="E116" i="14"/>
  <c r="AC72" i="10"/>
  <c r="W75" i="11"/>
  <c r="V75" i="11" s="1"/>
  <c r="W87" i="10"/>
  <c r="V87" i="10"/>
  <c r="I66" i="13"/>
  <c r="I66" i="11"/>
  <c r="I62" i="11"/>
  <c r="I110" i="14"/>
  <c r="U64" i="10"/>
  <c r="I65" i="13"/>
  <c r="I65" i="11"/>
  <c r="I61" i="11"/>
  <c r="I72" i="10"/>
  <c r="T95" i="10"/>
  <c r="F71" i="13"/>
  <c r="F67" i="11"/>
  <c r="R60" i="10"/>
  <c r="F64" i="13"/>
  <c r="F63" i="13"/>
  <c r="Q167" i="11"/>
  <c r="W167" i="11" s="1"/>
  <c r="Y66" i="13"/>
  <c r="Y61" i="13"/>
  <c r="Q67" i="11"/>
  <c r="W72" i="13"/>
  <c r="AG66" i="10" l="1"/>
  <c r="AG64" i="10"/>
  <c r="AG71" i="10"/>
  <c r="AG69" i="10"/>
  <c r="AG69" i="13" s="1"/>
  <c r="AG67" i="10"/>
  <c r="AG67" i="11" s="1"/>
  <c r="AG65" i="10"/>
  <c r="H65" i="10" s="1"/>
  <c r="H65" i="13" s="1"/>
  <c r="AG63" i="10"/>
  <c r="AG63" i="11" s="1"/>
  <c r="AG61" i="10"/>
  <c r="AG61" i="13" s="1"/>
  <c r="AG68" i="10"/>
  <c r="H68" i="10" s="1"/>
  <c r="AG62" i="10"/>
  <c r="AG62" i="13" s="1"/>
  <c r="I97" i="11"/>
  <c r="AB83" i="11"/>
  <c r="AC83" i="11" s="1"/>
  <c r="AB78" i="11"/>
  <c r="AC78" i="11" s="1"/>
  <c r="AB77" i="11"/>
  <c r="AC77" i="11" s="1"/>
  <c r="AB86" i="11"/>
  <c r="AC86" i="11" s="1"/>
  <c r="AH71" i="13"/>
  <c r="T176" i="10"/>
  <c r="T180" i="10" s="1"/>
  <c r="T184" i="10"/>
  <c r="T188" i="10" s="1"/>
  <c r="AB76" i="11"/>
  <c r="AC76" i="11" s="1"/>
  <c r="AB80" i="11"/>
  <c r="AC80" i="11" s="1"/>
  <c r="AB84" i="11"/>
  <c r="AC84" i="11" s="1"/>
  <c r="AB85" i="11"/>
  <c r="AC85" i="11" s="1"/>
  <c r="AB79" i="11"/>
  <c r="AC79" i="11" s="1"/>
  <c r="AB82" i="11"/>
  <c r="AC82" i="11" s="1"/>
  <c r="AB75" i="11"/>
  <c r="AC75" i="11" s="1"/>
  <c r="AB81" i="11"/>
  <c r="AC81" i="11" s="1"/>
  <c r="AH72" i="10"/>
  <c r="AG70" i="10"/>
  <c r="AG70" i="11" s="1"/>
  <c r="AH70" i="13"/>
  <c r="AH70" i="11"/>
  <c r="AB80" i="13"/>
  <c r="AC80" i="13" s="1"/>
  <c r="AB77" i="13"/>
  <c r="AC77" i="13" s="1"/>
  <c r="AB86" i="13"/>
  <c r="AC86" i="13" s="1"/>
  <c r="AB76" i="13"/>
  <c r="AC76" i="13" s="1"/>
  <c r="AB82" i="13"/>
  <c r="AC82" i="13" s="1"/>
  <c r="AB78" i="13"/>
  <c r="AC78" i="13" s="1"/>
  <c r="AB81" i="13"/>
  <c r="AC81" i="13" s="1"/>
  <c r="AB84" i="13"/>
  <c r="AC84" i="13" s="1"/>
  <c r="AB79" i="13"/>
  <c r="AC79" i="13" s="1"/>
  <c r="AB85" i="13"/>
  <c r="AC85" i="13" s="1"/>
  <c r="AB83" i="13"/>
  <c r="AC83" i="13" s="1"/>
  <c r="AB75" i="13"/>
  <c r="AC75" i="13" s="1"/>
  <c r="AG63" i="13"/>
  <c r="H63" i="10"/>
  <c r="H63" i="13" s="1"/>
  <c r="I168" i="11"/>
  <c r="G71" i="13"/>
  <c r="AF86" i="10"/>
  <c r="F97" i="10"/>
  <c r="AB86" i="10"/>
  <c r="AC86" i="10" s="1"/>
  <c r="AA65" i="11"/>
  <c r="AF81" i="10"/>
  <c r="AF78" i="10"/>
  <c r="E65" i="10"/>
  <c r="Q176" i="10"/>
  <c r="Q180" i="10" s="1"/>
  <c r="G67" i="13"/>
  <c r="G65" i="11"/>
  <c r="E243" i="10"/>
  <c r="AG61" i="11"/>
  <c r="H61" i="10"/>
  <c r="H61" i="13" s="1"/>
  <c r="I166" i="13"/>
  <c r="G60" i="13"/>
  <c r="E62" i="10"/>
  <c r="AA62" i="11"/>
  <c r="E70" i="10"/>
  <c r="AA70" i="13"/>
  <c r="G63" i="11"/>
  <c r="G62" i="13"/>
  <c r="AB83" i="10"/>
  <c r="AC83" i="10" s="1"/>
  <c r="AB75" i="10"/>
  <c r="AC75" i="10" s="1"/>
  <c r="AB76" i="10"/>
  <c r="AC76" i="10" s="1"/>
  <c r="AB77" i="10"/>
  <c r="AC77" i="10" s="1"/>
  <c r="AB78" i="10"/>
  <c r="AC78" i="10" s="1"/>
  <c r="AB79" i="10"/>
  <c r="AC79" i="10" s="1"/>
  <c r="AB80" i="10"/>
  <c r="AC80" i="10" s="1"/>
  <c r="AB84" i="10"/>
  <c r="AC84" i="10" s="1"/>
  <c r="AB81" i="10"/>
  <c r="AC81" i="10" s="1"/>
  <c r="AB85" i="10"/>
  <c r="AC85" i="10" s="1"/>
  <c r="G110" i="14"/>
  <c r="G65" i="13"/>
  <c r="R64" i="13"/>
  <c r="F294" i="13"/>
  <c r="G64" i="13"/>
  <c r="S64" i="10"/>
  <c r="G70" i="11"/>
  <c r="G66" i="11"/>
  <c r="G72" i="10"/>
  <c r="G61" i="13"/>
  <c r="G69" i="13"/>
  <c r="S60" i="10"/>
  <c r="G68" i="11"/>
  <c r="Y72" i="11"/>
  <c r="U60" i="13"/>
  <c r="E249" i="13"/>
  <c r="I116" i="14"/>
  <c r="E251" i="11"/>
  <c r="I72" i="11"/>
  <c r="U60" i="11"/>
  <c r="I237" i="10"/>
  <c r="I247" i="10" s="1"/>
  <c r="I243" i="13"/>
  <c r="I253" i="13" s="1"/>
  <c r="I245" i="11"/>
  <c r="I255" i="11" s="1"/>
  <c r="I120" i="14"/>
  <c r="U64" i="11"/>
  <c r="I294" i="11"/>
  <c r="I294" i="13"/>
  <c r="U64" i="13"/>
  <c r="I72" i="13"/>
  <c r="F294" i="11"/>
  <c r="F72" i="11"/>
  <c r="F295" i="11" s="1"/>
  <c r="R66" i="10"/>
  <c r="R65" i="10"/>
  <c r="R64" i="11"/>
  <c r="F72" i="13"/>
  <c r="R60" i="13"/>
  <c r="Y72" i="13"/>
  <c r="AG68" i="13"/>
  <c r="H69" i="10"/>
  <c r="H71" i="10"/>
  <c r="AG71" i="11"/>
  <c r="AG71" i="13"/>
  <c r="AG66" i="13"/>
  <c r="H66" i="10"/>
  <c r="AG66" i="11"/>
  <c r="H68" i="13"/>
  <c r="H68" i="11"/>
  <c r="AG60" i="11"/>
  <c r="H60" i="10"/>
  <c r="AG60" i="13"/>
  <c r="AG64" i="13"/>
  <c r="H64" i="10"/>
  <c r="AG64" i="11"/>
  <c r="AA69" i="11"/>
  <c r="AA69" i="13"/>
  <c r="AF85" i="10"/>
  <c r="E69" i="10"/>
  <c r="E66" i="10"/>
  <c r="AF82" i="10"/>
  <c r="AA66" i="13"/>
  <c r="AA66" i="11"/>
  <c r="AF77" i="10"/>
  <c r="AA61" i="13"/>
  <c r="AA61" i="11"/>
  <c r="E61" i="10"/>
  <c r="E67" i="10"/>
  <c r="AA67" i="11"/>
  <c r="AF83" i="10"/>
  <c r="AA67" i="13"/>
  <c r="AA68" i="13"/>
  <c r="AF84" i="10"/>
  <c r="E68" i="10"/>
  <c r="AA68" i="11"/>
  <c r="AA60" i="13"/>
  <c r="AA60" i="11"/>
  <c r="E60" i="10"/>
  <c r="AA72" i="10"/>
  <c r="AF87" i="10"/>
  <c r="E71" i="10"/>
  <c r="AA71" i="11"/>
  <c r="AA71" i="13"/>
  <c r="AA64" i="11"/>
  <c r="AA64" i="13"/>
  <c r="E64" i="10"/>
  <c r="AF80" i="10"/>
  <c r="AF79" i="10"/>
  <c r="E63" i="10"/>
  <c r="AA63" i="13"/>
  <c r="AA63" i="11"/>
  <c r="AG69" i="11" l="1"/>
  <c r="AG68" i="11"/>
  <c r="H62" i="10"/>
  <c r="H62" i="11" s="1"/>
  <c r="AG65" i="13"/>
  <c r="H67" i="10"/>
  <c r="H67" i="11" s="1"/>
  <c r="H65" i="11"/>
  <c r="AG62" i="11"/>
  <c r="AG65" i="11"/>
  <c r="AG67" i="13"/>
  <c r="T179" i="10"/>
  <c r="H33" i="13"/>
  <c r="T33" i="13" s="1"/>
  <c r="H34" i="13"/>
  <c r="T34" i="13" s="1"/>
  <c r="T35" i="10"/>
  <c r="H39" i="11"/>
  <c r="T39" i="11" s="1"/>
  <c r="H43" i="13"/>
  <c r="T43" i="13" s="1"/>
  <c r="H111" i="14"/>
  <c r="Q37" i="10"/>
  <c r="E41" i="11"/>
  <c r="Q41" i="11" s="1"/>
  <c r="E38" i="13"/>
  <c r="E39" i="13"/>
  <c r="Q39" i="13" s="1"/>
  <c r="E42" i="13"/>
  <c r="Q42" i="13" s="1"/>
  <c r="E40" i="13"/>
  <c r="Q40" i="13" s="1"/>
  <c r="E34" i="13"/>
  <c r="Q34" i="13" s="1"/>
  <c r="Q20" i="10"/>
  <c r="E20" i="11"/>
  <c r="Q20" i="11" s="1"/>
  <c r="E20" i="13"/>
  <c r="Q20" i="13" s="1"/>
  <c r="G17" i="11"/>
  <c r="S17" i="11" s="1"/>
  <c r="G17" i="13"/>
  <c r="S17" i="13" s="1"/>
  <c r="S17" i="10"/>
  <c r="Q18" i="10"/>
  <c r="E18" i="13"/>
  <c r="Q18" i="13" s="1"/>
  <c r="E18" i="11"/>
  <c r="Q18" i="11" s="1"/>
  <c r="F20" i="13"/>
  <c r="R20" i="10"/>
  <c r="F20" i="11"/>
  <c r="F113" i="10"/>
  <c r="F131" i="10" s="1"/>
  <c r="H25" i="13"/>
  <c r="T25" i="13" s="1"/>
  <c r="T25" i="10"/>
  <c r="H25" i="11"/>
  <c r="T25" i="11" s="1"/>
  <c r="I25" i="11"/>
  <c r="U25" i="11" s="1"/>
  <c r="U25" i="10"/>
  <c r="I25" i="13"/>
  <c r="U25" i="13" s="1"/>
  <c r="G22" i="13"/>
  <c r="S22" i="13" s="1"/>
  <c r="G22" i="11"/>
  <c r="S22" i="11" s="1"/>
  <c r="S22" i="10"/>
  <c r="F22" i="11"/>
  <c r="R22" i="11" s="1"/>
  <c r="F22" i="13"/>
  <c r="R22" i="13" s="1"/>
  <c r="R22" i="10"/>
  <c r="Q23" i="10"/>
  <c r="E23" i="11"/>
  <c r="Q23" i="11" s="1"/>
  <c r="E23" i="13"/>
  <c r="Q23" i="13" s="1"/>
  <c r="R18" i="10"/>
  <c r="F18" i="11"/>
  <c r="R18" i="11" s="1"/>
  <c r="F18" i="13"/>
  <c r="R18" i="13" s="1"/>
  <c r="H22" i="13"/>
  <c r="T22" i="13" s="1"/>
  <c r="T22" i="10"/>
  <c r="H22" i="11"/>
  <c r="T22" i="11" s="1"/>
  <c r="I17" i="13"/>
  <c r="U17" i="13" s="1"/>
  <c r="I17" i="11"/>
  <c r="U17" i="11" s="1"/>
  <c r="U17" i="10"/>
  <c r="G20" i="13"/>
  <c r="S20" i="13" s="1"/>
  <c r="S20" i="10"/>
  <c r="G20" i="11"/>
  <c r="S20" i="11" s="1"/>
  <c r="E16" i="11"/>
  <c r="Q16" i="11" s="1"/>
  <c r="Q16" i="10"/>
  <c r="E16" i="13"/>
  <c r="Q16" i="13" s="1"/>
  <c r="F23" i="13"/>
  <c r="R23" i="13" s="1"/>
  <c r="R23" i="10"/>
  <c r="F23" i="11"/>
  <c r="R23" i="11" s="1"/>
  <c r="T20" i="10"/>
  <c r="H20" i="11"/>
  <c r="T20" i="11" s="1"/>
  <c r="H20" i="13"/>
  <c r="T20" i="13" s="1"/>
  <c r="I22" i="11"/>
  <c r="U22" i="11" s="1"/>
  <c r="I22" i="13"/>
  <c r="U22" i="13" s="1"/>
  <c r="U22" i="10"/>
  <c r="S18" i="10"/>
  <c r="G18" i="11"/>
  <c r="S18" i="11" s="1"/>
  <c r="G18" i="13"/>
  <c r="S18" i="13" s="1"/>
  <c r="E21" i="13"/>
  <c r="Q21" i="13" s="1"/>
  <c r="Q21" i="10"/>
  <c r="E21" i="11"/>
  <c r="Q21" i="11" s="1"/>
  <c r="F16" i="13"/>
  <c r="R16" i="13" s="1"/>
  <c r="R16" i="10"/>
  <c r="F16" i="11"/>
  <c r="R16" i="11" s="1"/>
  <c r="T18" i="10"/>
  <c r="H18" i="13"/>
  <c r="T18" i="13" s="1"/>
  <c r="H18" i="11"/>
  <c r="T18" i="11" s="1"/>
  <c r="I20" i="13"/>
  <c r="I20" i="11"/>
  <c r="U20" i="10"/>
  <c r="I113" i="10"/>
  <c r="I131" i="10" s="1"/>
  <c r="G23" i="11"/>
  <c r="S23" i="11" s="1"/>
  <c r="S23" i="10"/>
  <c r="G23" i="13"/>
  <c r="S23" i="13" s="1"/>
  <c r="E26" i="11"/>
  <c r="Q26" i="11" s="1"/>
  <c r="Q26" i="10"/>
  <c r="E26" i="13"/>
  <c r="Q26" i="13" s="1"/>
  <c r="F21" i="13"/>
  <c r="R21" i="13" s="1"/>
  <c r="R21" i="10"/>
  <c r="F21" i="11"/>
  <c r="R21" i="11" s="1"/>
  <c r="H23" i="11"/>
  <c r="T23" i="11" s="1"/>
  <c r="T23" i="10"/>
  <c r="H23" i="13"/>
  <c r="T23" i="13" s="1"/>
  <c r="U18" i="10"/>
  <c r="I18" i="13"/>
  <c r="U18" i="13" s="1"/>
  <c r="I18" i="11"/>
  <c r="U18" i="11" s="1"/>
  <c r="G16" i="11"/>
  <c r="S16" i="11" s="1"/>
  <c r="G16" i="13"/>
  <c r="S16" i="13" s="1"/>
  <c r="S16" i="10"/>
  <c r="G113" i="10"/>
  <c r="G131" i="10" s="1"/>
  <c r="E19" i="13"/>
  <c r="Q19" i="13" s="1"/>
  <c r="E19" i="11"/>
  <c r="Q19" i="11" s="1"/>
  <c r="Q19" i="10"/>
  <c r="R26" i="10"/>
  <c r="F26" i="13"/>
  <c r="R26" i="13" s="1"/>
  <c r="F26" i="11"/>
  <c r="R26" i="11" s="1"/>
  <c r="H16" i="11"/>
  <c r="T16" i="11" s="1"/>
  <c r="H16" i="13"/>
  <c r="T16" i="13" s="1"/>
  <c r="T16" i="10"/>
  <c r="I23" i="11"/>
  <c r="U23" i="11" s="1"/>
  <c r="U23" i="10"/>
  <c r="I23" i="13"/>
  <c r="U23" i="13" s="1"/>
  <c r="S21" i="10"/>
  <c r="G21" i="13"/>
  <c r="S21" i="13" s="1"/>
  <c r="G21" i="11"/>
  <c r="S21" i="11" s="1"/>
  <c r="Q24" i="10"/>
  <c r="E24" i="11"/>
  <c r="Q24" i="11" s="1"/>
  <c r="E24" i="13"/>
  <c r="Q24" i="13" s="1"/>
  <c r="F19" i="11"/>
  <c r="R19" i="11" s="1"/>
  <c r="F19" i="13"/>
  <c r="R19" i="13" s="1"/>
  <c r="R19" i="10"/>
  <c r="T21" i="10"/>
  <c r="H21" i="11"/>
  <c r="T21" i="11" s="1"/>
  <c r="H21" i="13"/>
  <c r="T21" i="13" s="1"/>
  <c r="I16" i="11"/>
  <c r="U16" i="11" s="1"/>
  <c r="I16" i="13"/>
  <c r="U16" i="13" s="1"/>
  <c r="U16" i="10"/>
  <c r="S26" i="10"/>
  <c r="G26" i="13"/>
  <c r="S26" i="13" s="1"/>
  <c r="G26" i="11"/>
  <c r="S26" i="11" s="1"/>
  <c r="I19" i="13"/>
  <c r="U19" i="13" s="1"/>
  <c r="I19" i="11"/>
  <c r="U19" i="11" s="1"/>
  <c r="U19" i="10"/>
  <c r="E17" i="11"/>
  <c r="Q17" i="11" s="1"/>
  <c r="E17" i="13"/>
  <c r="Q17" i="13" s="1"/>
  <c r="Q17" i="10"/>
  <c r="F24" i="13"/>
  <c r="R24" i="13" s="1"/>
  <c r="F24" i="11"/>
  <c r="R24" i="11" s="1"/>
  <c r="R24" i="10"/>
  <c r="H26" i="13"/>
  <c r="T26" i="13" s="1"/>
  <c r="T26" i="10"/>
  <c r="H26" i="11"/>
  <c r="T26" i="11" s="1"/>
  <c r="U21" i="10"/>
  <c r="I21" i="13"/>
  <c r="U21" i="13" s="1"/>
  <c r="I21" i="11"/>
  <c r="U21" i="11" s="1"/>
  <c r="G19" i="11"/>
  <c r="S19" i="11" s="1"/>
  <c r="S19" i="10"/>
  <c r="G19" i="13"/>
  <c r="S19" i="13" s="1"/>
  <c r="G117" i="10"/>
  <c r="G135" i="10" s="1"/>
  <c r="E22" i="13"/>
  <c r="Q22" i="13" s="1"/>
  <c r="E22" i="11"/>
  <c r="Q22" i="11" s="1"/>
  <c r="Q22" i="10"/>
  <c r="F17" i="13"/>
  <c r="R17" i="13" s="1"/>
  <c r="R17" i="10"/>
  <c r="F17" i="11"/>
  <c r="R17" i="11" s="1"/>
  <c r="H19" i="13"/>
  <c r="T19" i="13" s="1"/>
  <c r="T19" i="10"/>
  <c r="H19" i="11"/>
  <c r="T19" i="11" s="1"/>
  <c r="I26" i="11"/>
  <c r="U26" i="11" s="1"/>
  <c r="U26" i="10"/>
  <c r="I26" i="13"/>
  <c r="U26" i="13" s="1"/>
  <c r="G24" i="11"/>
  <c r="S24" i="11" s="1"/>
  <c r="G24" i="13"/>
  <c r="S24" i="13" s="1"/>
  <c r="S24" i="10"/>
  <c r="Q15" i="10"/>
  <c r="E15" i="13"/>
  <c r="Q15" i="13" s="1"/>
  <c r="E15" i="11"/>
  <c r="Q15" i="11" s="1"/>
  <c r="R15" i="10"/>
  <c r="F15" i="11"/>
  <c r="F15" i="13"/>
  <c r="F117" i="10"/>
  <c r="F135" i="10" s="1"/>
  <c r="T15" i="10"/>
  <c r="H15" i="13"/>
  <c r="T15" i="13" s="1"/>
  <c r="H15" i="11"/>
  <c r="T15" i="11" s="1"/>
  <c r="U15" i="10"/>
  <c r="I15" i="13"/>
  <c r="I15" i="11"/>
  <c r="I117" i="10"/>
  <c r="I135" i="10" s="1"/>
  <c r="G15" i="13"/>
  <c r="S15" i="13" s="1"/>
  <c r="G15" i="11"/>
  <c r="S15" i="11" s="1"/>
  <c r="S15" i="10"/>
  <c r="H17" i="11"/>
  <c r="T17" i="11" s="1"/>
  <c r="H17" i="13"/>
  <c r="T17" i="13" s="1"/>
  <c r="T17" i="10"/>
  <c r="Q25" i="10"/>
  <c r="E25" i="11"/>
  <c r="Q25" i="11" s="1"/>
  <c r="E25" i="13"/>
  <c r="Q25" i="13" s="1"/>
  <c r="F25" i="11"/>
  <c r="R25" i="11" s="1"/>
  <c r="R25" i="10"/>
  <c r="F25" i="13"/>
  <c r="R25" i="13" s="1"/>
  <c r="H24" i="13"/>
  <c r="T24" i="13" s="1"/>
  <c r="T24" i="10"/>
  <c r="H24" i="11"/>
  <c r="T24" i="11" s="1"/>
  <c r="I24" i="11"/>
  <c r="U24" i="11" s="1"/>
  <c r="I24" i="13"/>
  <c r="U24" i="13" s="1"/>
  <c r="U24" i="10"/>
  <c r="S25" i="10"/>
  <c r="G25" i="11"/>
  <c r="S25" i="11" s="1"/>
  <c r="G25" i="13"/>
  <c r="S25" i="13" s="1"/>
  <c r="AH72" i="13"/>
  <c r="AG72" i="10"/>
  <c r="AG70" i="13"/>
  <c r="AG72" i="13" s="1"/>
  <c r="H70" i="10"/>
  <c r="T60" i="10" s="1"/>
  <c r="S184" i="10"/>
  <c r="S188" i="10" s="1"/>
  <c r="AH72" i="11"/>
  <c r="H62" i="13"/>
  <c r="H63" i="11"/>
  <c r="H168" i="11"/>
  <c r="H166" i="13"/>
  <c r="E65" i="13"/>
  <c r="M65" i="13" s="1"/>
  <c r="M70" i="10"/>
  <c r="Q179" i="10"/>
  <c r="T34" i="10"/>
  <c r="H34" i="11"/>
  <c r="T34" i="11" s="1"/>
  <c r="H35" i="11"/>
  <c r="T35" i="11" s="1"/>
  <c r="T40" i="10"/>
  <c r="H41" i="11"/>
  <c r="T41" i="11" s="1"/>
  <c r="H35" i="13"/>
  <c r="T35" i="13" s="1"/>
  <c r="E35" i="11"/>
  <c r="Q35" i="11" s="1"/>
  <c r="E41" i="13"/>
  <c r="Q41" i="13" s="1"/>
  <c r="E37" i="11"/>
  <c r="Q37" i="11" s="1"/>
  <c r="J65" i="10"/>
  <c r="E37" i="13"/>
  <c r="Q37" i="13" s="1"/>
  <c r="E65" i="11"/>
  <c r="M65" i="10"/>
  <c r="R176" i="10"/>
  <c r="R180" i="10" s="1"/>
  <c r="F97" i="13"/>
  <c r="H61" i="11"/>
  <c r="J62" i="10"/>
  <c r="F168" i="11"/>
  <c r="Q184" i="10"/>
  <c r="Q188" i="10" s="1"/>
  <c r="F166" i="13"/>
  <c r="P184" i="10"/>
  <c r="P188" i="10" s="1"/>
  <c r="E166" i="13"/>
  <c r="E168" i="11"/>
  <c r="S60" i="11"/>
  <c r="E70" i="13"/>
  <c r="M70" i="13" s="1"/>
  <c r="E70" i="11"/>
  <c r="M70" i="11" s="1"/>
  <c r="M62" i="10"/>
  <c r="E62" i="13"/>
  <c r="M62" i="13" s="1"/>
  <c r="E62" i="11"/>
  <c r="G97" i="13"/>
  <c r="AB87" i="10"/>
  <c r="G237" i="10"/>
  <c r="G247" i="10" s="1"/>
  <c r="G245" i="11"/>
  <c r="G255" i="11" s="1"/>
  <c r="G120" i="14"/>
  <c r="G243" i="13"/>
  <c r="G253" i="13" s="1"/>
  <c r="AC87" i="10"/>
  <c r="G294" i="11"/>
  <c r="S64" i="13"/>
  <c r="H67" i="13"/>
  <c r="G294" i="13"/>
  <c r="G72" i="11"/>
  <c r="G295" i="11" s="1"/>
  <c r="G116" i="14"/>
  <c r="G72" i="13"/>
  <c r="G295" i="13" s="1"/>
  <c r="S60" i="13"/>
  <c r="S64" i="11"/>
  <c r="J164" i="10"/>
  <c r="C11" i="31" s="1"/>
  <c r="R184" i="10"/>
  <c r="AC72" i="11"/>
  <c r="AC72" i="13"/>
  <c r="G166" i="13"/>
  <c r="G168" i="11"/>
  <c r="I295" i="11"/>
  <c r="I295" i="13"/>
  <c r="F113" i="14"/>
  <c r="R65" i="11"/>
  <c r="R65" i="13"/>
  <c r="E180" i="10"/>
  <c r="E181" i="10" s="1"/>
  <c r="F114" i="14"/>
  <c r="R66" i="11"/>
  <c r="R66" i="13"/>
  <c r="F295" i="13"/>
  <c r="H69" i="11"/>
  <c r="H69" i="13"/>
  <c r="H71" i="11"/>
  <c r="H71" i="13"/>
  <c r="H64" i="13"/>
  <c r="H64" i="11"/>
  <c r="H60" i="11"/>
  <c r="H60" i="13"/>
  <c r="AG72" i="11"/>
  <c r="H66" i="11"/>
  <c r="H66" i="13"/>
  <c r="H113" i="10"/>
  <c r="H131" i="10" s="1"/>
  <c r="T64" i="10"/>
  <c r="T75" i="10"/>
  <c r="T76" i="10"/>
  <c r="M69" i="10"/>
  <c r="E69" i="11"/>
  <c r="E69" i="13"/>
  <c r="J69" i="10"/>
  <c r="E61" i="11"/>
  <c r="J61" i="10"/>
  <c r="M61" i="10"/>
  <c r="E61" i="13"/>
  <c r="E66" i="13"/>
  <c r="E66" i="11"/>
  <c r="J66" i="10"/>
  <c r="M66" i="10"/>
  <c r="E60" i="11"/>
  <c r="Q60" i="10"/>
  <c r="E117" i="10"/>
  <c r="E135" i="10" s="1"/>
  <c r="Q71" i="10"/>
  <c r="Q72" i="10"/>
  <c r="T166" i="10" s="1"/>
  <c r="E72" i="10"/>
  <c r="E60" i="13"/>
  <c r="J60" i="10"/>
  <c r="M60" i="10"/>
  <c r="AA72" i="11"/>
  <c r="E63" i="13"/>
  <c r="J63" i="10"/>
  <c r="M63" i="10"/>
  <c r="E63" i="11"/>
  <c r="M64" i="10"/>
  <c r="E64" i="11"/>
  <c r="J64" i="10"/>
  <c r="E64" i="13"/>
  <c r="AA72" i="13"/>
  <c r="E71" i="13"/>
  <c r="E71" i="11"/>
  <c r="M71" i="10"/>
  <c r="J71" i="10"/>
  <c r="Q38" i="13"/>
  <c r="E68" i="11"/>
  <c r="E68" i="13"/>
  <c r="M68" i="10"/>
  <c r="J68" i="10"/>
  <c r="E67" i="11"/>
  <c r="E67" i="13"/>
  <c r="Q64" i="10"/>
  <c r="J67" i="10"/>
  <c r="Q76" i="10"/>
  <c r="M67" i="10"/>
  <c r="E113" i="10"/>
  <c r="E131" i="10" s="1"/>
  <c r="Q75" i="10"/>
  <c r="C13" i="31" l="1"/>
  <c r="C17" i="31" s="1"/>
  <c r="D11" i="31"/>
  <c r="D13" i="31" s="1"/>
  <c r="D17" i="31" s="1"/>
  <c r="Q41" i="10"/>
  <c r="E112" i="10"/>
  <c r="E130" i="10" s="1"/>
  <c r="C11" i="30"/>
  <c r="E11" i="30" s="1"/>
  <c r="E13" i="30" s="1"/>
  <c r="E17" i="30" s="1"/>
  <c r="C11" i="28"/>
  <c r="C11" i="26"/>
  <c r="D11" i="26" s="1"/>
  <c r="D13" i="26" s="1"/>
  <c r="E42" i="11"/>
  <c r="Q42" i="11" s="1"/>
  <c r="G113" i="11"/>
  <c r="G131" i="11" s="1"/>
  <c r="H38" i="11"/>
  <c r="T38" i="11" s="1"/>
  <c r="T38" i="10"/>
  <c r="H38" i="13"/>
  <c r="T38" i="13" s="1"/>
  <c r="H44" i="11"/>
  <c r="T44" i="11" s="1"/>
  <c r="H44" i="13"/>
  <c r="T44" i="13" s="1"/>
  <c r="H42" i="13"/>
  <c r="T42" i="13" s="1"/>
  <c r="T42" i="10"/>
  <c r="H37" i="11"/>
  <c r="T37" i="11" s="1"/>
  <c r="H37" i="13"/>
  <c r="T37" i="13" s="1"/>
  <c r="T43" i="10"/>
  <c r="H43" i="11"/>
  <c r="T43" i="11" s="1"/>
  <c r="T44" i="10"/>
  <c r="H41" i="13"/>
  <c r="T41" i="13" s="1"/>
  <c r="T41" i="10"/>
  <c r="H42" i="11"/>
  <c r="T42" i="11" s="1"/>
  <c r="H40" i="11"/>
  <c r="T40" i="11" s="1"/>
  <c r="H40" i="13"/>
  <c r="T40" i="13" s="1"/>
  <c r="T39" i="10"/>
  <c r="H39" i="13"/>
  <c r="T39" i="13" s="1"/>
  <c r="H36" i="13"/>
  <c r="T36" i="13" s="1"/>
  <c r="T36" i="10"/>
  <c r="H36" i="11"/>
  <c r="T36" i="11" s="1"/>
  <c r="T65" i="10"/>
  <c r="Q150" i="10" s="1"/>
  <c r="T37" i="10"/>
  <c r="T33" i="10"/>
  <c r="H33" i="11"/>
  <c r="T33" i="11" s="1"/>
  <c r="E38" i="11"/>
  <c r="Q38" i="11" s="1"/>
  <c r="R161" i="10"/>
  <c r="E111" i="14"/>
  <c r="E238" i="10" s="1"/>
  <c r="E43" i="11"/>
  <c r="Q43" i="11" s="1"/>
  <c r="E43" i="13"/>
  <c r="Q43" i="13" s="1"/>
  <c r="Q43" i="10"/>
  <c r="Q34" i="10"/>
  <c r="R166" i="10"/>
  <c r="E34" i="11"/>
  <c r="Q34" i="11" s="1"/>
  <c r="Q42" i="10"/>
  <c r="E40" i="11"/>
  <c r="Q40" i="11" s="1"/>
  <c r="E44" i="13"/>
  <c r="Q44" i="13" s="1"/>
  <c r="Q44" i="10"/>
  <c r="E44" i="11"/>
  <c r="Q44" i="11" s="1"/>
  <c r="E36" i="11"/>
  <c r="Q36" i="11" s="1"/>
  <c r="E36" i="13"/>
  <c r="Q36" i="13" s="1"/>
  <c r="Q36" i="10"/>
  <c r="Q40" i="10"/>
  <c r="E39" i="11"/>
  <c r="Q39" i="11" s="1"/>
  <c r="Q35" i="10"/>
  <c r="E35" i="13"/>
  <c r="Q35" i="13" s="1"/>
  <c r="Q38" i="10"/>
  <c r="Q39" i="10"/>
  <c r="Q33" i="10"/>
  <c r="E33" i="13"/>
  <c r="Q33" i="13" s="1"/>
  <c r="E33" i="11"/>
  <c r="Q33" i="11" s="1"/>
  <c r="E116" i="10"/>
  <c r="E134" i="10" s="1"/>
  <c r="AC169" i="10" s="1"/>
  <c r="H112" i="10"/>
  <c r="H130" i="10" s="1"/>
  <c r="I112" i="10"/>
  <c r="I130" i="10" s="1"/>
  <c r="G117" i="11"/>
  <c r="G135" i="11" s="1"/>
  <c r="G118" i="11"/>
  <c r="G136" i="11" s="1"/>
  <c r="G116" i="11"/>
  <c r="G134" i="11" s="1"/>
  <c r="G156" i="11" s="1"/>
  <c r="G112" i="13"/>
  <c r="G130" i="13" s="1"/>
  <c r="G151" i="13" s="1"/>
  <c r="G116" i="10"/>
  <c r="G134" i="10" s="1"/>
  <c r="G153" i="10" s="1"/>
  <c r="G118" i="13"/>
  <c r="G136" i="13" s="1"/>
  <c r="F116" i="10"/>
  <c r="F134" i="10" s="1"/>
  <c r="F153" i="10" s="1"/>
  <c r="G112" i="10"/>
  <c r="G130" i="10" s="1"/>
  <c r="G113" i="13"/>
  <c r="G131" i="13" s="1"/>
  <c r="E118" i="10"/>
  <c r="E136" i="10" s="1"/>
  <c r="E114" i="10"/>
  <c r="E132" i="10" s="1"/>
  <c r="H114" i="10"/>
  <c r="H132" i="10" s="1"/>
  <c r="G114" i="11"/>
  <c r="G132" i="11" s="1"/>
  <c r="I114" i="10"/>
  <c r="I132" i="10" s="1"/>
  <c r="G114" i="13"/>
  <c r="G132" i="13" s="1"/>
  <c r="U15" i="13"/>
  <c r="I118" i="13" s="1"/>
  <c r="I136" i="13" s="1"/>
  <c r="I117" i="13"/>
  <c r="I135" i="13" s="1"/>
  <c r="R20" i="11"/>
  <c r="F114" i="11" s="1"/>
  <c r="F132" i="11" s="1"/>
  <c r="F113" i="11"/>
  <c r="F131" i="11" s="1"/>
  <c r="I118" i="10"/>
  <c r="I136" i="10" s="1"/>
  <c r="F114" i="10"/>
  <c r="F132" i="10" s="1"/>
  <c r="R20" i="13"/>
  <c r="F114" i="13" s="1"/>
  <c r="F132" i="13" s="1"/>
  <c r="F113" i="13"/>
  <c r="F131" i="13" s="1"/>
  <c r="U20" i="11"/>
  <c r="I114" i="11" s="1"/>
  <c r="I132" i="11" s="1"/>
  <c r="I113" i="11"/>
  <c r="I131" i="11" s="1"/>
  <c r="G112" i="11"/>
  <c r="G130" i="11" s="1"/>
  <c r="G152" i="11" s="1"/>
  <c r="U20" i="13"/>
  <c r="I114" i="13" s="1"/>
  <c r="I132" i="13" s="1"/>
  <c r="I113" i="13"/>
  <c r="I131" i="13" s="1"/>
  <c r="R15" i="13"/>
  <c r="F118" i="13" s="1"/>
  <c r="F136" i="13" s="1"/>
  <c r="F117" i="13"/>
  <c r="F135" i="13" s="1"/>
  <c r="G117" i="13"/>
  <c r="G135" i="13" s="1"/>
  <c r="G118" i="10"/>
  <c r="G136" i="10" s="1"/>
  <c r="G116" i="13"/>
  <c r="G134" i="13" s="1"/>
  <c r="G155" i="13" s="1"/>
  <c r="R15" i="11"/>
  <c r="F118" i="11" s="1"/>
  <c r="F136" i="11" s="1"/>
  <c r="F117" i="11"/>
  <c r="F135" i="11" s="1"/>
  <c r="G114" i="10"/>
  <c r="G132" i="10" s="1"/>
  <c r="F118" i="10"/>
  <c r="F136" i="10" s="1"/>
  <c r="I116" i="10"/>
  <c r="I134" i="10" s="1"/>
  <c r="I153" i="10" s="1"/>
  <c r="F112" i="10"/>
  <c r="U15" i="11"/>
  <c r="I118" i="11" s="1"/>
  <c r="I136" i="11" s="1"/>
  <c r="I117" i="11"/>
  <c r="I135" i="11" s="1"/>
  <c r="Q166" i="10"/>
  <c r="W166" i="10" s="1"/>
  <c r="D17" i="26"/>
  <c r="H117" i="10"/>
  <c r="H135" i="10" s="1"/>
  <c r="J135" i="10" s="1"/>
  <c r="J70" i="10"/>
  <c r="H118" i="10"/>
  <c r="H136" i="10" s="1"/>
  <c r="H70" i="11"/>
  <c r="T71" i="11" s="1"/>
  <c r="H116" i="10"/>
  <c r="H134" i="10" s="1"/>
  <c r="AC156" i="10" s="1"/>
  <c r="H72" i="10"/>
  <c r="T61" i="10"/>
  <c r="Q154" i="10" s="1"/>
  <c r="H70" i="13"/>
  <c r="T71" i="10"/>
  <c r="T72" i="10"/>
  <c r="J65" i="13"/>
  <c r="R179" i="10"/>
  <c r="T65" i="11"/>
  <c r="Q153" i="11" s="1"/>
  <c r="H174" i="10"/>
  <c r="F197" i="10" s="1"/>
  <c r="M65" i="11"/>
  <c r="J65" i="11"/>
  <c r="P176" i="10"/>
  <c r="P180" i="10" s="1"/>
  <c r="J166" i="13"/>
  <c r="H178" i="13" s="1"/>
  <c r="F203" i="13" s="1"/>
  <c r="G121" i="14"/>
  <c r="G122" i="14" s="1"/>
  <c r="J168" i="11"/>
  <c r="H179" i="11" s="1"/>
  <c r="G203" i="11" s="1"/>
  <c r="G251" i="11"/>
  <c r="G256" i="11" s="1"/>
  <c r="G257" i="11" s="1"/>
  <c r="J62" i="13"/>
  <c r="J62" i="11"/>
  <c r="M62" i="11"/>
  <c r="I97" i="13"/>
  <c r="H97" i="13"/>
  <c r="G243" i="10"/>
  <c r="G248" i="10" s="1"/>
  <c r="G249" i="10" s="1"/>
  <c r="G249" i="13"/>
  <c r="G254" i="13" s="1"/>
  <c r="G255" i="13" s="1"/>
  <c r="R188" i="10"/>
  <c r="U184" i="10"/>
  <c r="U188" i="10" s="1"/>
  <c r="H173" i="10"/>
  <c r="E195" i="10" s="1"/>
  <c r="E186" i="11"/>
  <c r="E187" i="11" s="1"/>
  <c r="F248" i="11"/>
  <c r="F120" i="14"/>
  <c r="F240" i="10"/>
  <c r="F246" i="13"/>
  <c r="F116" i="14"/>
  <c r="F249" i="11"/>
  <c r="F241" i="10"/>
  <c r="F247" i="13"/>
  <c r="E185" i="13"/>
  <c r="E186" i="13" s="1"/>
  <c r="T76" i="13"/>
  <c r="H112" i="13"/>
  <c r="H113" i="13"/>
  <c r="H131" i="13" s="1"/>
  <c r="H114" i="13"/>
  <c r="H132" i="13" s="1"/>
  <c r="H294" i="13"/>
  <c r="T75" i="13"/>
  <c r="T64" i="13"/>
  <c r="T77" i="10"/>
  <c r="T151" i="10" s="1"/>
  <c r="H112" i="11"/>
  <c r="T64" i="11"/>
  <c r="H114" i="11"/>
  <c r="H132" i="11" s="1"/>
  <c r="H294" i="11"/>
  <c r="T76" i="11"/>
  <c r="T75" i="11"/>
  <c r="H113" i="11"/>
  <c r="H131" i="11" s="1"/>
  <c r="T150" i="10"/>
  <c r="U76" i="10"/>
  <c r="H244" i="13"/>
  <c r="H238" i="10"/>
  <c r="H117" i="14"/>
  <c r="H112" i="14"/>
  <c r="H246" i="11"/>
  <c r="J66" i="11"/>
  <c r="M66" i="11"/>
  <c r="M69" i="13"/>
  <c r="J69" i="13"/>
  <c r="M61" i="11"/>
  <c r="J61" i="11"/>
  <c r="M61" i="13"/>
  <c r="J61" i="13"/>
  <c r="M66" i="13"/>
  <c r="J66" i="13"/>
  <c r="J69" i="11"/>
  <c r="M69" i="11"/>
  <c r="J131" i="10"/>
  <c r="M67" i="11"/>
  <c r="E294" i="11"/>
  <c r="J67" i="11"/>
  <c r="Q76" i="11"/>
  <c r="Q64" i="11"/>
  <c r="E113" i="11"/>
  <c r="E131" i="11" s="1"/>
  <c r="E114" i="11"/>
  <c r="E132" i="11" s="1"/>
  <c r="Q75" i="11"/>
  <c r="E112" i="11"/>
  <c r="M68" i="13"/>
  <c r="J68" i="13"/>
  <c r="M71" i="11"/>
  <c r="J71" i="11"/>
  <c r="J63" i="13"/>
  <c r="M63" i="13"/>
  <c r="M72" i="10"/>
  <c r="Q61" i="10"/>
  <c r="Q82" i="10" s="1"/>
  <c r="Q161" i="10"/>
  <c r="Q65" i="10"/>
  <c r="Q86" i="10" s="1"/>
  <c r="M68" i="11"/>
  <c r="J68" i="11"/>
  <c r="M71" i="13"/>
  <c r="J71" i="13"/>
  <c r="J64" i="13"/>
  <c r="M64" i="13"/>
  <c r="J63" i="11"/>
  <c r="M63" i="11"/>
  <c r="R72" i="10"/>
  <c r="R76" i="10"/>
  <c r="T161" i="10"/>
  <c r="R165" i="13"/>
  <c r="E72" i="13"/>
  <c r="E118" i="13"/>
  <c r="E136" i="13" s="1"/>
  <c r="E116" i="13"/>
  <c r="E134" i="13" s="1"/>
  <c r="Q71" i="13"/>
  <c r="J60" i="13"/>
  <c r="Q60" i="13"/>
  <c r="E117" i="13"/>
  <c r="E135" i="13" s="1"/>
  <c r="Q72" i="13"/>
  <c r="M60" i="13"/>
  <c r="Q77" i="10"/>
  <c r="T162" i="10" s="1"/>
  <c r="J67" i="13"/>
  <c r="M67" i="13"/>
  <c r="E113" i="13"/>
  <c r="E131" i="13" s="1"/>
  <c r="Q64" i="13"/>
  <c r="E112" i="13"/>
  <c r="E294" i="13"/>
  <c r="Q76" i="13"/>
  <c r="Q75" i="13"/>
  <c r="E114" i="13"/>
  <c r="E132" i="13" s="1"/>
  <c r="R166" i="13"/>
  <c r="J64" i="11"/>
  <c r="M64" i="11"/>
  <c r="Q73" i="10"/>
  <c r="T167" i="10" s="1"/>
  <c r="Q71" i="11"/>
  <c r="M60" i="11"/>
  <c r="Q60" i="11"/>
  <c r="E72" i="11"/>
  <c r="J60" i="11"/>
  <c r="Q72" i="11"/>
  <c r="E118" i="11"/>
  <c r="E136" i="11" s="1"/>
  <c r="E116" i="11"/>
  <c r="E134" i="11" s="1"/>
  <c r="E117" i="11"/>
  <c r="E135" i="11" s="1"/>
  <c r="F112" i="11" l="1"/>
  <c r="C13" i="30"/>
  <c r="C17" i="30" s="1"/>
  <c r="D11" i="30"/>
  <c r="D13" i="30" s="1"/>
  <c r="D17" i="30" s="1"/>
  <c r="E246" i="11"/>
  <c r="E117" i="14"/>
  <c r="E250" i="13" s="1"/>
  <c r="E112" i="14"/>
  <c r="E239" i="10" s="1"/>
  <c r="E247" i="10" s="1"/>
  <c r="E244" i="13"/>
  <c r="E120" i="10"/>
  <c r="E153" i="10"/>
  <c r="Z168" i="10" s="1"/>
  <c r="Q87" i="10"/>
  <c r="Q66" i="10"/>
  <c r="R166" i="11"/>
  <c r="T65" i="13"/>
  <c r="U65" i="13" s="1"/>
  <c r="G159" i="13"/>
  <c r="G160" i="11"/>
  <c r="J70" i="11"/>
  <c r="T66" i="10"/>
  <c r="Q151" i="10" s="1"/>
  <c r="W151" i="10" s="1"/>
  <c r="H151" i="10" s="1"/>
  <c r="H213" i="10" s="1"/>
  <c r="W150" i="10"/>
  <c r="H150" i="10" s="1"/>
  <c r="Z150" i="10" s="1"/>
  <c r="U65" i="10"/>
  <c r="T86" i="10"/>
  <c r="T87" i="10" s="1"/>
  <c r="T61" i="13"/>
  <c r="Q157" i="13" s="1"/>
  <c r="H204" i="13" s="1"/>
  <c r="R171" i="13"/>
  <c r="R167" i="10"/>
  <c r="R168" i="10" s="1"/>
  <c r="R165" i="11"/>
  <c r="E204" i="11" s="1"/>
  <c r="Q162" i="10"/>
  <c r="U161" i="10" s="1"/>
  <c r="X161" i="10" s="1"/>
  <c r="E150" i="10" s="1"/>
  <c r="R162" i="10"/>
  <c r="R163" i="10" s="1"/>
  <c r="R170" i="13"/>
  <c r="E204" i="13" s="1"/>
  <c r="R171" i="11"/>
  <c r="Q167" i="10"/>
  <c r="U166" i="10" s="1"/>
  <c r="X166" i="10" s="1"/>
  <c r="E154" i="10" s="1"/>
  <c r="Z166" i="10" s="1"/>
  <c r="Q62" i="10"/>
  <c r="R170" i="11"/>
  <c r="G219" i="11"/>
  <c r="G265" i="11" s="1"/>
  <c r="G11" i="14" s="1"/>
  <c r="F217" i="10"/>
  <c r="Q83" i="10"/>
  <c r="G138" i="11"/>
  <c r="G120" i="11"/>
  <c r="I112" i="11"/>
  <c r="I130" i="11" s="1"/>
  <c r="J136" i="10"/>
  <c r="G120" i="10"/>
  <c r="G120" i="13"/>
  <c r="I116" i="13"/>
  <c r="I134" i="13" s="1"/>
  <c r="I155" i="13" s="1"/>
  <c r="G138" i="13"/>
  <c r="F116" i="11"/>
  <c r="F134" i="11" s="1"/>
  <c r="F156" i="11" s="1"/>
  <c r="J132" i="10"/>
  <c r="I112" i="13"/>
  <c r="F130" i="10"/>
  <c r="J130" i="10" s="1"/>
  <c r="F120" i="10"/>
  <c r="F130" i="11"/>
  <c r="I120" i="10"/>
  <c r="I116" i="11"/>
  <c r="I134" i="11" s="1"/>
  <c r="I156" i="11" s="1"/>
  <c r="I149" i="10"/>
  <c r="I157" i="10" s="1"/>
  <c r="I138" i="10"/>
  <c r="F116" i="13"/>
  <c r="F134" i="13" s="1"/>
  <c r="F155" i="13" s="1"/>
  <c r="F223" i="13" s="1"/>
  <c r="F112" i="13"/>
  <c r="G149" i="10"/>
  <c r="G157" i="10" s="1"/>
  <c r="G138" i="10"/>
  <c r="C13" i="28"/>
  <c r="C17" i="28" s="1"/>
  <c r="C13" i="26"/>
  <c r="H117" i="11"/>
  <c r="H135" i="11" s="1"/>
  <c r="J135" i="11" s="1"/>
  <c r="H153" i="10"/>
  <c r="J134" i="10"/>
  <c r="H72" i="11"/>
  <c r="H295" i="11" s="1"/>
  <c r="H118" i="13"/>
  <c r="H136" i="13" s="1"/>
  <c r="J136" i="13" s="1"/>
  <c r="H116" i="13"/>
  <c r="H134" i="13" s="1"/>
  <c r="AC159" i="13" s="1"/>
  <c r="H118" i="11"/>
  <c r="H136" i="11" s="1"/>
  <c r="J136" i="11" s="1"/>
  <c r="T72" i="11"/>
  <c r="U72" i="11" s="1"/>
  <c r="H117" i="13"/>
  <c r="H135" i="13" s="1"/>
  <c r="J135" i="13" s="1"/>
  <c r="T61" i="11"/>
  <c r="Q157" i="11" s="1"/>
  <c r="T60" i="11"/>
  <c r="T72" i="13"/>
  <c r="H116" i="11"/>
  <c r="H134" i="11" s="1"/>
  <c r="AC159" i="11" s="1"/>
  <c r="U61" i="10"/>
  <c r="J72" i="10"/>
  <c r="H120" i="10"/>
  <c r="T62" i="10"/>
  <c r="Q155" i="10" s="1"/>
  <c r="S176" i="10"/>
  <c r="S180" i="10" s="1"/>
  <c r="J70" i="13"/>
  <c r="U72" i="10"/>
  <c r="H72" i="13"/>
  <c r="H295" i="13" s="1"/>
  <c r="T60" i="13"/>
  <c r="T82" i="10"/>
  <c r="T83" i="10" s="1"/>
  <c r="T71" i="13"/>
  <c r="T154" i="10"/>
  <c r="W154" i="10" s="1"/>
  <c r="H154" i="10" s="1"/>
  <c r="Z154" i="10" s="1"/>
  <c r="T73" i="10"/>
  <c r="T155" i="10" s="1"/>
  <c r="T66" i="11"/>
  <c r="Q154" i="11" s="1"/>
  <c r="H177" i="13"/>
  <c r="G201" i="13" s="1"/>
  <c r="G217" i="13" s="1"/>
  <c r="G265" i="13" s="1"/>
  <c r="G32" i="14" s="1"/>
  <c r="E197" i="10"/>
  <c r="G197" i="10"/>
  <c r="G217" i="10" s="1"/>
  <c r="G263" i="10" s="1"/>
  <c r="G269" i="10" s="1"/>
  <c r="I197" i="10"/>
  <c r="I217" i="10" s="1"/>
  <c r="E198" i="10"/>
  <c r="H198" i="10"/>
  <c r="G203" i="13"/>
  <c r="G223" i="13" s="1"/>
  <c r="G271" i="13" s="1"/>
  <c r="G38" i="14" s="1"/>
  <c r="P179" i="10"/>
  <c r="I203" i="13"/>
  <c r="J294" i="13"/>
  <c r="F299" i="13" s="1"/>
  <c r="I203" i="11"/>
  <c r="F203" i="11"/>
  <c r="H204" i="11"/>
  <c r="E203" i="11"/>
  <c r="H180" i="11"/>
  <c r="I205" i="11" s="1"/>
  <c r="H196" i="10"/>
  <c r="F195" i="10"/>
  <c r="H175" i="10"/>
  <c r="E196" i="10"/>
  <c r="G195" i="10"/>
  <c r="I195" i="10"/>
  <c r="Q77" i="11"/>
  <c r="T166" i="11" s="1"/>
  <c r="H120" i="14"/>
  <c r="Q166" i="11"/>
  <c r="Q171" i="13"/>
  <c r="T77" i="11"/>
  <c r="T154" i="11" s="1"/>
  <c r="F255" i="11"/>
  <c r="F247" i="10"/>
  <c r="F121" i="14"/>
  <c r="F122" i="14" s="1"/>
  <c r="F251" i="11"/>
  <c r="F243" i="10"/>
  <c r="F248" i="10" s="1"/>
  <c r="F249" i="13"/>
  <c r="F254" i="13" s="1"/>
  <c r="F253" i="13"/>
  <c r="Q166" i="13"/>
  <c r="J294" i="11"/>
  <c r="F299" i="11" s="1"/>
  <c r="H245" i="13"/>
  <c r="H253" i="13" s="1"/>
  <c r="H239" i="10"/>
  <c r="H247" i="10" s="1"/>
  <c r="H247" i="11"/>
  <c r="H255" i="11" s="1"/>
  <c r="U65" i="11"/>
  <c r="U76" i="11"/>
  <c r="T86" i="11"/>
  <c r="T87" i="11" s="1"/>
  <c r="T153" i="11"/>
  <c r="W153" i="11" s="1"/>
  <c r="H153" i="11" s="1"/>
  <c r="H130" i="11"/>
  <c r="T77" i="13"/>
  <c r="T154" i="13" s="1"/>
  <c r="H130" i="13"/>
  <c r="H252" i="11"/>
  <c r="H250" i="13"/>
  <c r="H244" i="10"/>
  <c r="U76" i="13"/>
  <c r="T153" i="13"/>
  <c r="H118" i="14"/>
  <c r="H138" i="10"/>
  <c r="AC152" i="10"/>
  <c r="H149" i="10"/>
  <c r="Q77" i="13"/>
  <c r="T166" i="13" s="1"/>
  <c r="Q66" i="13"/>
  <c r="T170" i="11"/>
  <c r="R72" i="11"/>
  <c r="M72" i="11"/>
  <c r="Q170" i="11"/>
  <c r="Q61" i="11"/>
  <c r="Q82" i="11" s="1"/>
  <c r="Q83" i="11" s="1"/>
  <c r="Q171" i="11"/>
  <c r="AC173" i="13"/>
  <c r="E155" i="13"/>
  <c r="J131" i="11"/>
  <c r="E149" i="10"/>
  <c r="E138" i="10"/>
  <c r="AC164" i="10"/>
  <c r="AC171" i="10" s="1"/>
  <c r="Q73" i="11"/>
  <c r="T171" i="11" s="1"/>
  <c r="Q62" i="11"/>
  <c r="T165" i="13"/>
  <c r="R76" i="13"/>
  <c r="J131" i="13"/>
  <c r="W162" i="10"/>
  <c r="M72" i="13"/>
  <c r="Q61" i="13"/>
  <c r="Q82" i="13" s="1"/>
  <c r="Q83" i="13" s="1"/>
  <c r="Q170" i="13"/>
  <c r="E130" i="11"/>
  <c r="E120" i="11"/>
  <c r="AC173" i="11"/>
  <c r="E156" i="11"/>
  <c r="E295" i="11"/>
  <c r="E295" i="13"/>
  <c r="E203" i="13"/>
  <c r="Q66" i="11"/>
  <c r="W161" i="10"/>
  <c r="J132" i="13"/>
  <c r="E120" i="13"/>
  <c r="E130" i="13"/>
  <c r="Q65" i="13"/>
  <c r="Q86" i="13" s="1"/>
  <c r="Q87" i="13" s="1"/>
  <c r="Q165" i="13"/>
  <c r="R72" i="13"/>
  <c r="T170" i="13"/>
  <c r="Q73" i="13"/>
  <c r="T171" i="13" s="1"/>
  <c r="Q62" i="13"/>
  <c r="J132" i="11"/>
  <c r="R76" i="11"/>
  <c r="T165" i="11"/>
  <c r="Q165" i="11"/>
  <c r="Q65" i="11"/>
  <c r="Q86" i="11" s="1"/>
  <c r="Q87" i="11" s="1"/>
  <c r="E245" i="13" l="1"/>
  <c r="E253" i="13" s="1"/>
  <c r="J253" i="13" s="1"/>
  <c r="E252" i="11"/>
  <c r="E120" i="14"/>
  <c r="E247" i="11"/>
  <c r="E255" i="11" s="1"/>
  <c r="U167" i="10"/>
  <c r="X167" i="10" s="1"/>
  <c r="E155" i="10" s="1"/>
  <c r="E118" i="14"/>
  <c r="E251" i="13" s="1"/>
  <c r="E254" i="13" s="1"/>
  <c r="U162" i="10"/>
  <c r="X162" i="10" s="1"/>
  <c r="T66" i="13"/>
  <c r="Q154" i="13" s="1"/>
  <c r="E244" i="10"/>
  <c r="E217" i="10"/>
  <c r="E263" i="10" s="1"/>
  <c r="E70" i="14" s="1"/>
  <c r="T86" i="13"/>
  <c r="T87" i="13" s="1"/>
  <c r="Q153" i="13"/>
  <c r="H202" i="13" s="1"/>
  <c r="J72" i="11"/>
  <c r="Q164" i="10"/>
  <c r="H212" i="10"/>
  <c r="H258" i="10" s="1"/>
  <c r="T62" i="13"/>
  <c r="Q158" i="13" s="1"/>
  <c r="T82" i="13"/>
  <c r="T83" i="13" s="1"/>
  <c r="G276" i="11"/>
  <c r="E151" i="10"/>
  <c r="E213" i="10" s="1"/>
  <c r="E259" i="10" s="1"/>
  <c r="E66" i="14" s="1"/>
  <c r="Q169" i="10"/>
  <c r="W167" i="10"/>
  <c r="I120" i="13"/>
  <c r="I223" i="13"/>
  <c r="G211" i="10"/>
  <c r="G257" i="10" s="1"/>
  <c r="G268" i="10" s="1"/>
  <c r="G270" i="10" s="1"/>
  <c r="G273" i="10" s="1"/>
  <c r="F120" i="11"/>
  <c r="I130" i="13"/>
  <c r="I151" i="13" s="1"/>
  <c r="I159" i="13" s="1"/>
  <c r="T157" i="13"/>
  <c r="W157" i="13" s="1"/>
  <c r="H156" i="13" s="1"/>
  <c r="H224" i="13" s="1"/>
  <c r="H272" i="13" s="1"/>
  <c r="H39" i="14" s="1"/>
  <c r="I225" i="11"/>
  <c r="I120" i="11"/>
  <c r="I152" i="11"/>
  <c r="I160" i="11" s="1"/>
  <c r="I138" i="11"/>
  <c r="F152" i="11"/>
  <c r="F160" i="11" s="1"/>
  <c r="F138" i="11"/>
  <c r="F130" i="13"/>
  <c r="F120" i="13"/>
  <c r="I211" i="10"/>
  <c r="I257" i="10" s="1"/>
  <c r="I268" i="10" s="1"/>
  <c r="C122" i="10"/>
  <c r="F149" i="10"/>
  <c r="F157" i="10" s="1"/>
  <c r="F138" i="10"/>
  <c r="U176" i="10"/>
  <c r="U180" i="10" s="1"/>
  <c r="S179" i="10"/>
  <c r="T82" i="11"/>
  <c r="T83" i="11" s="1"/>
  <c r="T62" i="11"/>
  <c r="Q158" i="11" s="1"/>
  <c r="H155" i="13"/>
  <c r="J134" i="13"/>
  <c r="T157" i="11"/>
  <c r="W157" i="11" s="1"/>
  <c r="H157" i="11" s="1"/>
  <c r="U61" i="13"/>
  <c r="T73" i="13"/>
  <c r="T158" i="13" s="1"/>
  <c r="U61" i="11"/>
  <c r="T73" i="11"/>
  <c r="T158" i="11" s="1"/>
  <c r="J134" i="11"/>
  <c r="H120" i="11"/>
  <c r="H156" i="11"/>
  <c r="W155" i="10"/>
  <c r="H155" i="10" s="1"/>
  <c r="H219" i="10" s="1"/>
  <c r="H218" i="10"/>
  <c r="H264" i="10" s="1"/>
  <c r="G22" i="14"/>
  <c r="U72" i="13"/>
  <c r="H120" i="13"/>
  <c r="J72" i="13"/>
  <c r="W154" i="11"/>
  <c r="H154" i="11" s="1"/>
  <c r="F201" i="13"/>
  <c r="E202" i="13"/>
  <c r="E201" i="13"/>
  <c r="G276" i="13"/>
  <c r="I201" i="13"/>
  <c r="H179" i="13"/>
  <c r="G70" i="14"/>
  <c r="G76" i="14" s="1"/>
  <c r="E194" i="10"/>
  <c r="G205" i="11"/>
  <c r="G225" i="11" s="1"/>
  <c r="G271" i="11" s="1"/>
  <c r="G17" i="14" s="1"/>
  <c r="F205" i="11"/>
  <c r="F225" i="11" s="1"/>
  <c r="F271" i="11" s="1"/>
  <c r="F17" i="14" s="1"/>
  <c r="E205" i="11"/>
  <c r="E225" i="11" s="1"/>
  <c r="E271" i="11" s="1"/>
  <c r="E17" i="14" s="1"/>
  <c r="H181" i="11"/>
  <c r="E206" i="11"/>
  <c r="H206" i="11"/>
  <c r="H194" i="10"/>
  <c r="F194" i="10"/>
  <c r="Z151" i="10"/>
  <c r="Z152" i="10" s="1"/>
  <c r="I194" i="10"/>
  <c r="I221" i="10" s="1"/>
  <c r="G194" i="10"/>
  <c r="G221" i="10" s="1"/>
  <c r="G277" i="13"/>
  <c r="J120" i="14"/>
  <c r="W166" i="11"/>
  <c r="U166" i="11"/>
  <c r="X166" i="11" s="1"/>
  <c r="E154" i="11" s="1"/>
  <c r="E221" i="11" s="1"/>
  <c r="E267" i="11" s="1"/>
  <c r="E13" i="14" s="1"/>
  <c r="W166" i="13"/>
  <c r="E121" i="14"/>
  <c r="E122" i="14" s="1"/>
  <c r="J295" i="13"/>
  <c r="F300" i="13" s="1"/>
  <c r="E245" i="10"/>
  <c r="F249" i="10"/>
  <c r="E253" i="11"/>
  <c r="E256" i="11" s="1"/>
  <c r="E257" i="11" s="1"/>
  <c r="F255" i="13"/>
  <c r="F263" i="10"/>
  <c r="F269" i="10" s="1"/>
  <c r="F271" i="13"/>
  <c r="F38" i="14" s="1"/>
  <c r="F256" i="11"/>
  <c r="F257" i="11" s="1"/>
  <c r="W154" i="13"/>
  <c r="H153" i="13" s="1"/>
  <c r="Z154" i="13" s="1"/>
  <c r="J295" i="11"/>
  <c r="F300" i="11" s="1"/>
  <c r="H259" i="10"/>
  <c r="H66" i="14" s="1"/>
  <c r="J255" i="11"/>
  <c r="H251" i="13"/>
  <c r="H254" i="13" s="1"/>
  <c r="H245" i="10"/>
  <c r="H253" i="11"/>
  <c r="H256" i="11" s="1"/>
  <c r="H138" i="11"/>
  <c r="AC155" i="11"/>
  <c r="H152" i="11"/>
  <c r="H121" i="14"/>
  <c r="AC155" i="13"/>
  <c r="H138" i="13"/>
  <c r="H151" i="13"/>
  <c r="Z153" i="11"/>
  <c r="H220" i="11"/>
  <c r="J247" i="10"/>
  <c r="N247" i="10" s="1"/>
  <c r="C45" i="31" s="1"/>
  <c r="H157" i="10"/>
  <c r="Z161" i="10"/>
  <c r="E212" i="10"/>
  <c r="E258" i="10" s="1"/>
  <c r="E65" i="14" s="1"/>
  <c r="Z172" i="11"/>
  <c r="U170" i="13"/>
  <c r="X170" i="13" s="1"/>
  <c r="E156" i="13" s="1"/>
  <c r="W170" i="13"/>
  <c r="AC168" i="11"/>
  <c r="AC175" i="11" s="1"/>
  <c r="E138" i="11"/>
  <c r="E152" i="11"/>
  <c r="J130" i="11"/>
  <c r="U165" i="13"/>
  <c r="X165" i="13" s="1"/>
  <c r="E152" i="13" s="1"/>
  <c r="W165" i="13"/>
  <c r="E138" i="13"/>
  <c r="E151" i="13"/>
  <c r="AC168" i="13"/>
  <c r="AC175" i="13" s="1"/>
  <c r="E211" i="10"/>
  <c r="E257" i="10" s="1"/>
  <c r="Z163" i="10"/>
  <c r="E157" i="10"/>
  <c r="W165" i="11"/>
  <c r="U165" i="11"/>
  <c r="X165" i="11" s="1"/>
  <c r="E153" i="11" s="1"/>
  <c r="W171" i="13"/>
  <c r="U171" i="13"/>
  <c r="X171" i="13" s="1"/>
  <c r="E157" i="13" s="1"/>
  <c r="E218" i="10"/>
  <c r="E264" i="10" s="1"/>
  <c r="E71" i="14" s="1"/>
  <c r="W171" i="11"/>
  <c r="U171" i="11"/>
  <c r="X171" i="11" s="1"/>
  <c r="E158" i="11" s="1"/>
  <c r="Z172" i="13"/>
  <c r="E223" i="13"/>
  <c r="E271" i="13" s="1"/>
  <c r="E38" i="14" s="1"/>
  <c r="U166" i="13"/>
  <c r="X166" i="13" s="1"/>
  <c r="E153" i="13" s="1"/>
  <c r="W170" i="11"/>
  <c r="U170" i="11"/>
  <c r="X170" i="11" s="1"/>
  <c r="E157" i="11" s="1"/>
  <c r="E255" i="13" l="1"/>
  <c r="Z167" i="10"/>
  <c r="E219" i="10"/>
  <c r="W153" i="13"/>
  <c r="H152" i="13" s="1"/>
  <c r="E248" i="10"/>
  <c r="E249" i="10" s="1"/>
  <c r="D45" i="31"/>
  <c r="E45" i="31" s="1"/>
  <c r="F45" i="31" s="1"/>
  <c r="Z162" i="10"/>
  <c r="W158" i="13"/>
  <c r="H157" i="13" s="1"/>
  <c r="H225" i="13" s="1"/>
  <c r="H273" i="13" s="1"/>
  <c r="H40" i="14" s="1"/>
  <c r="C47" i="26"/>
  <c r="C70" i="26" s="1"/>
  <c r="C45" i="30"/>
  <c r="C45" i="28"/>
  <c r="C122" i="13"/>
  <c r="I138" i="13"/>
  <c r="J138" i="10"/>
  <c r="G64" i="14"/>
  <c r="G75" i="14" s="1"/>
  <c r="G77" i="14" s="1"/>
  <c r="F221" i="10"/>
  <c r="C122" i="11"/>
  <c r="C140" i="10"/>
  <c r="C158" i="10" s="1"/>
  <c r="I217" i="13"/>
  <c r="I265" i="13" s="1"/>
  <c r="I32" i="14" s="1"/>
  <c r="I219" i="11"/>
  <c r="I265" i="11" s="1"/>
  <c r="I11" i="14" s="1"/>
  <c r="I64" i="14"/>
  <c r="I75" i="14" s="1"/>
  <c r="F219" i="11"/>
  <c r="F222" i="11" s="1"/>
  <c r="F151" i="13"/>
  <c r="F159" i="13" s="1"/>
  <c r="F138" i="13"/>
  <c r="J130" i="13"/>
  <c r="F211" i="10"/>
  <c r="F214" i="10" s="1"/>
  <c r="Z157" i="13"/>
  <c r="W158" i="11"/>
  <c r="H158" i="11" s="1"/>
  <c r="Z158" i="11" s="1"/>
  <c r="U179" i="10"/>
  <c r="H221" i="10"/>
  <c r="G44" i="14"/>
  <c r="G43" i="14"/>
  <c r="H265" i="10"/>
  <c r="H72" i="14" s="1"/>
  <c r="Z155" i="10"/>
  <c r="Z156" i="10" s="1"/>
  <c r="G202" i="11"/>
  <c r="G229" i="11" s="1"/>
  <c r="I200" i="13"/>
  <c r="I227" i="13" s="1"/>
  <c r="Z154" i="11"/>
  <c r="Z155" i="11" s="1"/>
  <c r="H221" i="11"/>
  <c r="H267" i="11" s="1"/>
  <c r="H13" i="14" s="1"/>
  <c r="G278" i="13"/>
  <c r="G282" i="13" s="1"/>
  <c r="H200" i="13"/>
  <c r="H218" i="13"/>
  <c r="H266" i="13" s="1"/>
  <c r="H33" i="14" s="1"/>
  <c r="E200" i="13"/>
  <c r="G200" i="13"/>
  <c r="G227" i="13" s="1"/>
  <c r="F200" i="13"/>
  <c r="G277" i="11"/>
  <c r="G278" i="11" s="1"/>
  <c r="G282" i="11" s="1"/>
  <c r="Z166" i="11"/>
  <c r="I202" i="11"/>
  <c r="I229" i="11" s="1"/>
  <c r="E202" i="11"/>
  <c r="H202" i="11"/>
  <c r="F202" i="11"/>
  <c r="F229" i="11" s="1"/>
  <c r="Z157" i="11"/>
  <c r="E265" i="10"/>
  <c r="E72" i="14" s="1"/>
  <c r="E76" i="14" s="1"/>
  <c r="H226" i="11"/>
  <c r="H272" i="11" s="1"/>
  <c r="H18" i="14" s="1"/>
  <c r="F70" i="14"/>
  <c r="F76" i="14" s="1"/>
  <c r="Z169" i="10"/>
  <c r="F277" i="13"/>
  <c r="H219" i="13"/>
  <c r="H267" i="13" s="1"/>
  <c r="H34" i="14" s="1"/>
  <c r="Z153" i="13"/>
  <c r="Z155" i="13" s="1"/>
  <c r="F277" i="11"/>
  <c r="G274" i="10"/>
  <c r="H257" i="11"/>
  <c r="H255" i="13"/>
  <c r="H266" i="11"/>
  <c r="H12" i="14" s="1"/>
  <c r="M247" i="10"/>
  <c r="H248" i="10"/>
  <c r="H122" i="14"/>
  <c r="H160" i="11"/>
  <c r="H71" i="14"/>
  <c r="H268" i="10"/>
  <c r="H65" i="14"/>
  <c r="H75" i="14" s="1"/>
  <c r="H159" i="13"/>
  <c r="E226" i="11"/>
  <c r="E272" i="11" s="1"/>
  <c r="E18" i="14" s="1"/>
  <c r="Z170" i="11"/>
  <c r="E227" i="11"/>
  <c r="E273" i="11" s="1"/>
  <c r="E19" i="14" s="1"/>
  <c r="Z171" i="11"/>
  <c r="E218" i="13"/>
  <c r="E266" i="13" s="1"/>
  <c r="E33" i="14" s="1"/>
  <c r="Z165" i="13"/>
  <c r="Z170" i="13"/>
  <c r="E224" i="13"/>
  <c r="E272" i="13" s="1"/>
  <c r="E39" i="14" s="1"/>
  <c r="E219" i="13"/>
  <c r="E267" i="13" s="1"/>
  <c r="E34" i="14" s="1"/>
  <c r="Z166" i="13"/>
  <c r="E221" i="10"/>
  <c r="C140" i="11"/>
  <c r="C161" i="11" s="1"/>
  <c r="J138" i="11"/>
  <c r="Z164" i="10"/>
  <c r="E268" i="10"/>
  <c r="E64" i="14"/>
  <c r="E75" i="14" s="1"/>
  <c r="E217" i="13"/>
  <c r="E265" i="13" s="1"/>
  <c r="E32" i="14" s="1"/>
  <c r="E159" i="13"/>
  <c r="Z167" i="13"/>
  <c r="E225" i="13"/>
  <c r="E273" i="13" s="1"/>
  <c r="E40" i="14" s="1"/>
  <c r="Z171" i="13"/>
  <c r="Z167" i="11"/>
  <c r="E160" i="11"/>
  <c r="E219" i="11"/>
  <c r="E265" i="11" s="1"/>
  <c r="E11" i="14" s="1"/>
  <c r="E220" i="11"/>
  <c r="E266" i="11" s="1"/>
  <c r="E12" i="14" s="1"/>
  <c r="Z165" i="11"/>
  <c r="J138" i="13" l="1"/>
  <c r="I22" i="14"/>
  <c r="I43" i="14"/>
  <c r="Z158" i="13"/>
  <c r="Z159" i="13" s="1"/>
  <c r="C140" i="13"/>
  <c r="C160" i="13" s="1"/>
  <c r="I276" i="13"/>
  <c r="F227" i="13"/>
  <c r="I276" i="11"/>
  <c r="F215" i="10"/>
  <c r="F261" i="10" s="1"/>
  <c r="F68" i="14" s="1"/>
  <c r="F260" i="10"/>
  <c r="F223" i="11"/>
  <c r="F269" i="11" s="1"/>
  <c r="F15" i="14" s="1"/>
  <c r="F268" i="11"/>
  <c r="F14" i="14" s="1"/>
  <c r="F217" i="13"/>
  <c r="F220" i="13" s="1"/>
  <c r="D45" i="30"/>
  <c r="Z159" i="11"/>
  <c r="D45" i="28"/>
  <c r="E45" i="28" s="1"/>
  <c r="H227" i="11"/>
  <c r="H273" i="11" s="1"/>
  <c r="H19" i="14" s="1"/>
  <c r="C287" i="10"/>
  <c r="H269" i="10"/>
  <c r="H270" i="10" s="1"/>
  <c r="H273" i="10" s="1"/>
  <c r="G45" i="14"/>
  <c r="G85" i="14"/>
  <c r="G96" i="14" s="1"/>
  <c r="F44" i="14"/>
  <c r="F23" i="14"/>
  <c r="G23" i="14"/>
  <c r="G24" i="14" s="1"/>
  <c r="H76" i="14"/>
  <c r="H77" i="14" s="1"/>
  <c r="G281" i="13"/>
  <c r="G281" i="11"/>
  <c r="E269" i="10"/>
  <c r="E270" i="10" s="1"/>
  <c r="H229" i="11"/>
  <c r="H227" i="13"/>
  <c r="Z168" i="11"/>
  <c r="H277" i="13"/>
  <c r="H276" i="11"/>
  <c r="H276" i="13"/>
  <c r="H249" i="10"/>
  <c r="E277" i="13"/>
  <c r="Z168" i="13"/>
  <c r="Z173" i="11"/>
  <c r="E91" i="14"/>
  <c r="E229" i="11"/>
  <c r="E77" i="14"/>
  <c r="E277" i="11"/>
  <c r="Z173" i="13"/>
  <c r="E227" i="13"/>
  <c r="E276" i="11"/>
  <c r="E276" i="13"/>
  <c r="F276" i="11" l="1"/>
  <c r="F278" i="11" s="1"/>
  <c r="F281" i="11" s="1"/>
  <c r="F67" i="14"/>
  <c r="F75" i="14" s="1"/>
  <c r="F268" i="10"/>
  <c r="F221" i="13"/>
  <c r="F269" i="13" s="1"/>
  <c r="F36" i="14" s="1"/>
  <c r="F268" i="13"/>
  <c r="F35" i="14" s="1"/>
  <c r="E45" i="30"/>
  <c r="F45" i="30" s="1"/>
  <c r="E47" i="26"/>
  <c r="E71" i="26" s="1"/>
  <c r="D47" i="26"/>
  <c r="D70" i="26" s="1"/>
  <c r="E87" i="14"/>
  <c r="H277" i="11"/>
  <c r="H278" i="11" s="1"/>
  <c r="H281" i="11" s="1"/>
  <c r="N288" i="10"/>
  <c r="D288" i="10"/>
  <c r="I85" i="14"/>
  <c r="F91" i="14"/>
  <c r="G91" i="14"/>
  <c r="H86" i="14"/>
  <c r="H44" i="14"/>
  <c r="H87" i="14"/>
  <c r="H135" i="14" s="1"/>
  <c r="F45" i="28"/>
  <c r="H23" i="14"/>
  <c r="H92" i="14"/>
  <c r="E23" i="14"/>
  <c r="E92" i="14"/>
  <c r="E93" i="14"/>
  <c r="E44" i="14"/>
  <c r="E86" i="14"/>
  <c r="E43" i="14"/>
  <c r="E139" i="14"/>
  <c r="H22" i="14"/>
  <c r="H274" i="10"/>
  <c r="H278" i="13"/>
  <c r="H282" i="13" s="1"/>
  <c r="E278" i="13"/>
  <c r="E274" i="10"/>
  <c r="E85" i="14"/>
  <c r="E273" i="10"/>
  <c r="E278" i="11"/>
  <c r="F282" i="11" l="1"/>
  <c r="J276" i="11"/>
  <c r="C306" i="11" s="1"/>
  <c r="F22" i="14"/>
  <c r="F24" i="14" s="1"/>
  <c r="F43" i="14"/>
  <c r="F45" i="14" s="1"/>
  <c r="F276" i="13"/>
  <c r="F270" i="10"/>
  <c r="J268" i="10"/>
  <c r="F77" i="14"/>
  <c r="J75" i="14"/>
  <c r="E22" i="14"/>
  <c r="H93" i="14"/>
  <c r="I96" i="14"/>
  <c r="F97" i="14"/>
  <c r="I133" i="14"/>
  <c r="G97" i="14"/>
  <c r="G98" i="14" s="1"/>
  <c r="H43" i="14"/>
  <c r="H45" i="14" s="1"/>
  <c r="F47" i="26"/>
  <c r="H140" i="14"/>
  <c r="H24" i="14"/>
  <c r="E45" i="14"/>
  <c r="E97" i="14"/>
  <c r="E133" i="14"/>
  <c r="H282" i="11"/>
  <c r="H281" i="13"/>
  <c r="H134" i="14"/>
  <c r="H96" i="14"/>
  <c r="E282" i="13"/>
  <c r="E96" i="14"/>
  <c r="E282" i="11"/>
  <c r="E281" i="13"/>
  <c r="E281" i="11"/>
  <c r="J22" i="14" l="1"/>
  <c r="F89" i="14"/>
  <c r="F88" i="14"/>
  <c r="F273" i="10"/>
  <c r="F274" i="10"/>
  <c r="F278" i="13"/>
  <c r="J276" i="13"/>
  <c r="C306" i="13" s="1"/>
  <c r="N294" i="10"/>
  <c r="T295" i="10" s="1"/>
  <c r="C294" i="10"/>
  <c r="I294" i="10" s="1"/>
  <c r="E24" i="14"/>
  <c r="H141" i="14"/>
  <c r="H97" i="14"/>
  <c r="H98" i="14" s="1"/>
  <c r="J43" i="14"/>
  <c r="E98" i="14"/>
  <c r="F170" i="14" l="1"/>
  <c r="F96" i="14"/>
  <c r="F98" i="14" s="1"/>
  <c r="F281" i="13"/>
  <c r="F282" i="13"/>
  <c r="H143" i="14"/>
  <c r="J96" i="14" l="1"/>
  <c r="F171" i="14"/>
  <c r="I251" i="11"/>
  <c r="I256" i="11" s="1"/>
  <c r="I249" i="13" l="1"/>
  <c r="I243" i="10"/>
  <c r="I263" i="10" s="1"/>
  <c r="I121" i="14"/>
  <c r="I122" i="14" s="1"/>
  <c r="J122" i="14" s="1"/>
  <c r="I257" i="11"/>
  <c r="J257" i="11" s="1"/>
  <c r="J256" i="11"/>
  <c r="I271" i="11"/>
  <c r="I17" i="14" s="1"/>
  <c r="I248" i="10" l="1"/>
  <c r="I249" i="10" s="1"/>
  <c r="J249" i="10" s="1"/>
  <c r="J121" i="14"/>
  <c r="I254" i="13"/>
  <c r="I271" i="13"/>
  <c r="I38" i="14" s="1"/>
  <c r="I269" i="10"/>
  <c r="I70" i="14"/>
  <c r="I76" i="14" s="1"/>
  <c r="I277" i="11"/>
  <c r="I23" i="14" l="1"/>
  <c r="I24" i="14" s="1"/>
  <c r="J24" i="14" s="1"/>
  <c r="J248" i="10"/>
  <c r="M248" i="10" s="1"/>
  <c r="M249" i="10" s="1"/>
  <c r="J254" i="13"/>
  <c r="I255" i="13"/>
  <c r="J255" i="13" s="1"/>
  <c r="I277" i="13"/>
  <c r="J277" i="11"/>
  <c r="I278" i="11"/>
  <c r="I282" i="11" s="1"/>
  <c r="J76" i="14"/>
  <c r="I77" i="14"/>
  <c r="J77" i="14" s="1"/>
  <c r="J269" i="10"/>
  <c r="I270" i="10"/>
  <c r="I44" i="14" l="1"/>
  <c r="J44" i="14" s="1"/>
  <c r="G133" i="14"/>
  <c r="G139" i="14"/>
  <c r="G143" i="14"/>
  <c r="E134" i="14"/>
  <c r="E135" i="14"/>
  <c r="E140" i="14"/>
  <c r="E141" i="14"/>
  <c r="E143" i="14"/>
  <c r="F137" i="14"/>
  <c r="F139" i="14"/>
  <c r="F136" i="14"/>
  <c r="F143" i="14"/>
  <c r="N248" i="10"/>
  <c r="C46" i="31" s="1"/>
  <c r="J23" i="14"/>
  <c r="J277" i="13"/>
  <c r="I278" i="13"/>
  <c r="C307" i="11"/>
  <c r="I273" i="10"/>
  <c r="J270" i="10"/>
  <c r="J273" i="10" s="1"/>
  <c r="N295" i="10"/>
  <c r="T296" i="10" s="1"/>
  <c r="C295" i="10"/>
  <c r="I295" i="10" s="1"/>
  <c r="I274" i="10"/>
  <c r="J278" i="11"/>
  <c r="I281" i="11"/>
  <c r="D46" i="31" l="1"/>
  <c r="E46" i="31" s="1"/>
  <c r="F46" i="31" s="1"/>
  <c r="C18" i="31" s="1"/>
  <c r="C48" i="26"/>
  <c r="C76" i="26" s="1"/>
  <c r="C81" i="26" s="1"/>
  <c r="C46" i="30"/>
  <c r="C46" i="28"/>
  <c r="I45" i="14"/>
  <c r="J45" i="14" s="1"/>
  <c r="I91" i="14"/>
  <c r="I139" i="14" s="1"/>
  <c r="J282" i="11"/>
  <c r="N249" i="10"/>
  <c r="I299" i="10"/>
  <c r="I298" i="10"/>
  <c r="C307" i="13"/>
  <c r="I282" i="13"/>
  <c r="J278" i="13"/>
  <c r="I281" i="13"/>
  <c r="J281" i="11"/>
  <c r="C291" i="11"/>
  <c r="J274" i="10"/>
  <c r="C19" i="31" l="1"/>
  <c r="C20" i="31" s="1"/>
  <c r="C34" i="31" s="1"/>
  <c r="D18" i="31"/>
  <c r="D19" i="31" s="1"/>
  <c r="D20" i="31" s="1"/>
  <c r="D34" i="31" s="1"/>
  <c r="D46" i="30"/>
  <c r="D46" i="28"/>
  <c r="E46" i="28" s="1"/>
  <c r="I97" i="14"/>
  <c r="J97" i="14" s="1"/>
  <c r="C291" i="13"/>
  <c r="J281" i="13"/>
  <c r="J282" i="13"/>
  <c r="E46" i="30" l="1"/>
  <c r="F46" i="30" s="1"/>
  <c r="C18" i="30" s="1"/>
  <c r="E48" i="26"/>
  <c r="E77" i="26" s="1"/>
  <c r="E82" i="26" s="1"/>
  <c r="D48" i="26"/>
  <c r="D76" i="26" s="1"/>
  <c r="D81" i="26" s="1"/>
  <c r="I98" i="14"/>
  <c r="J98" i="14" s="1"/>
  <c r="C152" i="14" s="1"/>
  <c r="C19" i="30" l="1"/>
  <c r="C20" i="30" s="1"/>
  <c r="C34" i="30" s="1"/>
  <c r="D18" i="30"/>
  <c r="I143" i="14"/>
  <c r="D153" i="14"/>
  <c r="D154" i="14"/>
  <c r="D19" i="30" l="1"/>
  <c r="D20" i="30" s="1"/>
  <c r="D34" i="30" s="1"/>
  <c r="E18" i="30"/>
  <c r="E19" i="30" s="1"/>
  <c r="E20" i="30" s="1"/>
  <c r="E34" i="30" s="1"/>
  <c r="F46" i="28"/>
  <c r="C18" i="28" s="1"/>
  <c r="F48" i="26"/>
  <c r="C18" i="26" s="1"/>
  <c r="F165" i="14"/>
  <c r="G173" i="14"/>
  <c r="G165" i="14"/>
  <c r="I177" i="14"/>
  <c r="E177" i="14"/>
  <c r="F177" i="14"/>
  <c r="E167" i="14"/>
  <c r="I165" i="14"/>
  <c r="H174" i="14"/>
  <c r="F173" i="14"/>
  <c r="E166" i="14"/>
  <c r="H175" i="14"/>
  <c r="H167" i="14"/>
  <c r="E175" i="14"/>
  <c r="G177" i="14"/>
  <c r="I173" i="14"/>
  <c r="H177" i="14"/>
  <c r="E165" i="14"/>
  <c r="E173" i="14"/>
  <c r="H166" i="14"/>
  <c r="E174" i="14"/>
  <c r="D18" i="26" l="1"/>
  <c r="C19" i="26"/>
  <c r="C19" i="28"/>
  <c r="C20" i="28" l="1"/>
  <c r="C34" i="28" s="1"/>
  <c r="D19" i="26"/>
  <c r="D20" i="26" s="1"/>
  <c r="D36" i="26" s="1"/>
  <c r="D77" i="26" l="1"/>
  <c r="D78" i="26" s="1"/>
  <c r="D71" i="26"/>
  <c r="D37" i="26"/>
  <c r="D52" i="26"/>
  <c r="D51" i="26"/>
  <c r="D82" i="26" l="1"/>
  <c r="D83" i="26" s="1"/>
  <c r="D72" i="26"/>
  <c r="C16" i="26"/>
  <c r="C17" i="26" l="1"/>
  <c r="G82" i="26" s="1"/>
  <c r="C20" i="26" l="1"/>
  <c r="H17" i="26"/>
  <c r="H19" i="26" s="1"/>
  <c r="C36" i="26" l="1"/>
  <c r="C52" i="26" s="1"/>
  <c r="C71" i="26" l="1"/>
  <c r="C77" i="26"/>
  <c r="C78" i="26" s="1"/>
  <c r="C51" i="26"/>
  <c r="C53" i="26" s="1"/>
  <c r="C37" i="26"/>
  <c r="E299" i="13"/>
  <c r="D53" i="26"/>
  <c r="C72" i="26" l="1"/>
  <c r="C82" i="26"/>
  <c r="E300" i="13"/>
  <c r="G307" i="13" s="1"/>
  <c r="E76" i="26"/>
  <c r="E78" i="26" s="1"/>
  <c r="E70" i="26"/>
  <c r="E37" i="26"/>
  <c r="E51" i="26"/>
  <c r="F51" i="26" s="1"/>
  <c r="E52" i="26"/>
  <c r="F306" i="13"/>
  <c r="G299" i="13"/>
  <c r="G306" i="13"/>
  <c r="G300" i="13" l="1"/>
  <c r="G301" i="13" s="1"/>
  <c r="F307" i="13"/>
  <c r="C83" i="26"/>
  <c r="F82" i="26"/>
  <c r="E72" i="26"/>
  <c r="E81" i="26"/>
  <c r="E53" i="26"/>
  <c r="F52" i="26"/>
  <c r="F53" i="26" s="1"/>
  <c r="F55" i="26" s="1"/>
  <c r="F61" i="26" s="1"/>
  <c r="C35" i="30"/>
  <c r="C50" i="30"/>
  <c r="C49" i="30"/>
  <c r="E300" i="11" l="1"/>
  <c r="E299" i="11"/>
  <c r="E83" i="26"/>
  <c r="F81" i="26"/>
  <c r="F83" i="26" s="1"/>
  <c r="G83" i="26" s="1"/>
  <c r="D35" i="30"/>
  <c r="D49" i="30"/>
  <c r="D50" i="30"/>
  <c r="C51" i="30"/>
  <c r="G299" i="11" l="1"/>
  <c r="F306" i="11"/>
  <c r="G306" i="11"/>
  <c r="G300" i="11"/>
  <c r="G307" i="11"/>
  <c r="F307" i="11"/>
  <c r="D51" i="30"/>
  <c r="E50" i="30"/>
  <c r="E35" i="30"/>
  <c r="E49" i="30"/>
  <c r="F49" i="30" s="1"/>
  <c r="C50" i="31" l="1"/>
  <c r="C35" i="31"/>
  <c r="C49" i="31"/>
  <c r="G301" i="11"/>
  <c r="E51" i="30"/>
  <c r="F50" i="30"/>
  <c r="F51" i="30" s="1"/>
  <c r="F53" i="30" s="1"/>
  <c r="C51" i="31" l="1"/>
  <c r="D50" i="31"/>
  <c r="D35" i="31"/>
  <c r="E33" i="31" s="1"/>
  <c r="D49" i="31"/>
  <c r="E49" i="31" l="1"/>
  <c r="F49" i="31" s="1"/>
  <c r="E35" i="31"/>
  <c r="E50" i="31"/>
  <c r="D51" i="31"/>
  <c r="F50" i="31" l="1"/>
  <c r="F51" i="31" s="1"/>
  <c r="F53" i="31" s="1"/>
  <c r="E51" i="31"/>
  <c r="C50" i="28"/>
  <c r="C49" i="28"/>
  <c r="C35" i="28"/>
  <c r="D35" i="28" l="1"/>
  <c r="E33" i="28" s="1"/>
  <c r="D49" i="28"/>
  <c r="D50" i="28"/>
  <c r="C51" i="28"/>
  <c r="D51" i="28" l="1"/>
  <c r="E49" i="28"/>
  <c r="F49" i="28" s="1"/>
  <c r="E50" i="28"/>
  <c r="E35" i="28"/>
  <c r="E51" i="28" l="1"/>
  <c r="F50" i="28"/>
  <c r="F51" i="28" s="1"/>
  <c r="F53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1502</author>
  </authors>
  <commentList>
    <comment ref="R6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R6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1502</author>
  </authors>
  <commentList>
    <comment ref="R6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R6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1502</author>
  </authors>
  <commentList>
    <comment ref="R6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R6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Peng, Yongmei</author>
  </authors>
  <commentList>
    <comment ref="E35" authorId="0" shapeId="0" xr:uid="{C20D4DDA-323A-4836-BB22-FF89C4E0ECBF}">
      <text>
        <r>
          <rPr>
            <b/>
            <sz val="11"/>
            <color indexed="81"/>
            <rFont val="Tahoma"/>
            <family val="2"/>
          </rPr>
          <t>Peng, Yongmei:</t>
        </r>
        <r>
          <rPr>
            <sz val="11"/>
            <color indexed="81"/>
            <rFont val="Tahoma"/>
            <family val="2"/>
          </rPr>
          <t xml:space="preserve">
This has to be manual for the proof of Cap. Trueup</t>
        </r>
      </text>
    </comment>
  </commentList>
</comments>
</file>

<file path=xl/sharedStrings.xml><?xml version="1.0" encoding="utf-8"?>
<sst xmlns="http://schemas.openxmlformats.org/spreadsheetml/2006/main" count="1947" uniqueCount="494">
  <si>
    <t>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</si>
  <si>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</si>
  <si>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</si>
  <si>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</si>
  <si>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</si>
  <si>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</si>
  <si>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</si>
  <si>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</si>
  <si>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</si>
  <si>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</si>
  <si>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</si>
  <si>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</si>
  <si>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</si>
  <si>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</si>
  <si>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On-Peak</t>
  </si>
  <si>
    <t>Off-Peak</t>
  </si>
  <si>
    <t>Annual</t>
  </si>
  <si>
    <t>Summer - all hrs</t>
  </si>
  <si>
    <t>Winter - all hrs</t>
  </si>
  <si>
    <t>Forwards Prices - Energy Only @ bulk system</t>
  </si>
  <si>
    <t>Expansion Factor =</t>
  </si>
  <si>
    <t>in $/MWh</t>
  </si>
  <si>
    <t>Losses</t>
  </si>
  <si>
    <t>Loss Factors =</t>
  </si>
  <si>
    <t>Profile Meter Data</t>
  </si>
  <si>
    <t>Summer</t>
  </si>
  <si>
    <t>Winter</t>
  </si>
  <si>
    <t>On-Peak periods defined as the 16 hr PJM Trading period, adj for NERC holidays</t>
  </si>
  <si>
    <t>winter MWh =</t>
  </si>
  <si>
    <t>summer MWh =</t>
  </si>
  <si>
    <t>Table #1</t>
  </si>
  <si>
    <t>Table #2</t>
  </si>
  <si>
    <t>Table #5</t>
  </si>
  <si>
    <t>Table #6</t>
  </si>
  <si>
    <t>Table #7</t>
  </si>
  <si>
    <t>Table #8</t>
  </si>
  <si>
    <t>Table #3</t>
  </si>
  <si>
    <t>Table #4</t>
  </si>
  <si>
    <t>in MWh</t>
  </si>
  <si>
    <t>N/A</t>
  </si>
  <si>
    <t>----</t>
  </si>
  <si>
    <t>PJM on pk</t>
  </si>
  <si>
    <t>PJM off pk</t>
  </si>
  <si>
    <t>in $1000</t>
  </si>
  <si>
    <t>System Total</t>
  </si>
  <si>
    <t>Adjusted to Billing Time Periods</t>
  </si>
  <si>
    <t>On-Peak periods as defined in specified rate schedule</t>
  </si>
  <si>
    <t>% Usage During PJM On-Peak Period</t>
  </si>
  <si>
    <t>Class Usage @ customer</t>
  </si>
  <si>
    <t>Summary of Average BGS Energy Only Costs @ customer - PJM Time Periods</t>
  </si>
  <si>
    <t>Development of Post Transition Period BGS Cost and Bid Factors</t>
  </si>
  <si>
    <t>Summary of Average BGS Energy Only Unit Costs @ customer - PJM Time Periods</t>
  </si>
  <si>
    <t>RT</t>
  </si>
  <si>
    <t>GS</t>
  </si>
  <si>
    <t>GST</t>
  </si>
  <si>
    <t>OL/SL</t>
  </si>
  <si>
    <t>Other Analysis</t>
  </si>
  <si>
    <t>% Usage During JCP&amp;L On-Peak Billing Period</t>
  </si>
  <si>
    <t>Delta between PJM and Tariff based On-Peak kWh</t>
  </si>
  <si>
    <t>WH</t>
  </si>
  <si>
    <t>RGT</t>
  </si>
  <si>
    <t>RT{1}</t>
  </si>
  <si>
    <t>RS{2}</t>
  </si>
  <si>
    <t>WH RS</t>
  </si>
  <si>
    <t>WH GS</t>
  </si>
  <si>
    <t>GS{3}</t>
  </si>
  <si>
    <t xml:space="preserve">{2} For BGS purposes the RS rate class excludes the Off-Peak and Controlled Water Heating provisions and includes  </t>
  </si>
  <si>
    <t xml:space="preserve">     the winter billing month RGT rate class usage</t>
  </si>
  <si>
    <t>{3} For BGS purposes the GS rate class excludes the Off-Peak and Controlled Water Heating provisions</t>
  </si>
  <si>
    <t xml:space="preserve">Jersey Central Power &amp; Light </t>
  </si>
  <si>
    <t>Table #9</t>
  </si>
  <si>
    <t>Summary of Average BGS Energy Only Unit Costs @ customer - JCP&amp;L Time Periods</t>
  </si>
  <si>
    <t>JCP&amp;L On pk</t>
  </si>
  <si>
    <t>JCP&amp;L Off pk</t>
  </si>
  <si>
    <t>Annual Average</t>
  </si>
  <si>
    <t>System Average</t>
  </si>
  <si>
    <t>Table #10</t>
  </si>
  <si>
    <t>in MW</t>
  </si>
  <si>
    <t>Gen Obl - MW</t>
  </si>
  <si>
    <t>Trans Obl - MW</t>
  </si>
  <si>
    <t xml:space="preserve">Not applicable for JCP&amp;L - Transmission rates are based on Retail Tariff rates for the respective rate classes 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</si>
  <si>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</si>
  <si>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</si>
  <si>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</si>
  <si>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</si>
  <si>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</si>
  <si>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</si>
  <si>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Generation Capacity cost</t>
  </si>
  <si>
    <t>$/MW/day</t>
  </si>
  <si>
    <t>Table #11</t>
  </si>
  <si>
    <t>Ancillary Services</t>
  </si>
  <si>
    <t>forecasted overall annual average</t>
  </si>
  <si>
    <t>$/MWh</t>
  </si>
  <si>
    <t>Table #12</t>
  </si>
  <si>
    <t>Transmission Obl - all months</t>
  </si>
  <si>
    <t>Table #13</t>
  </si>
  <si>
    <t>Summary of BGS Unit Costs @ customer</t>
  </si>
  <si>
    <t>NON-DEMAND RATES</t>
  </si>
  <si>
    <t>Annual -all hrs</t>
  </si>
  <si>
    <t>DEMAND RATES</t>
  </si>
  <si>
    <t>includes energy and Ancillary Services, G&amp;T obligations charged separately - adjusted to billing time periods</t>
  </si>
  <si>
    <t>JCP&amp;L does not have a demand component in its BGS charges</t>
  </si>
  <si>
    <t>ALL RATES</t>
  </si>
  <si>
    <t>Grand Total Cost in $1000 =</t>
  </si>
  <si>
    <t>All-In Average costs @ bulk system =</t>
  </si>
  <si>
    <t>per MWh at bulk system (per bulk system metered MWh)</t>
  </si>
  <si>
    <t>Table #14</t>
  </si>
  <si>
    <t>Annual - all hrs</t>
  </si>
  <si>
    <t>Assumptions:</t>
  </si>
  <si>
    <t>Analysis time period =</t>
  </si>
  <si>
    <t>summer months</t>
  </si>
  <si>
    <t>winter months</t>
  </si>
  <si>
    <t>Ancillary Services =</t>
  </si>
  <si>
    <t>per MWh</t>
  </si>
  <si>
    <t>Energy Costs =</t>
  </si>
  <si>
    <t>Usage patterns =</t>
  </si>
  <si>
    <t>Obligations =</t>
  </si>
  <si>
    <t>Losses =</t>
  </si>
  <si>
    <t>PJM Time Periods =</t>
  </si>
  <si>
    <t xml:space="preserve">     holidays - New Year's, Memorial, 4th of July, Labor Day, Thanksgiving &amp; Christmas</t>
  </si>
  <si>
    <t>JCP&amp;L Billing time periods =</t>
  </si>
  <si>
    <t>GST On-peak hours are 8 am to 8 pm prevailing time, Monday through Friday.</t>
  </si>
  <si>
    <t>MWhs in PJM time periods</t>
  </si>
  <si>
    <t>Difference in MWhs</t>
  </si>
  <si>
    <t>Check on total $ recovered</t>
  </si>
  <si>
    <t>PJM time periods (Table #8)</t>
  </si>
  <si>
    <t>MWhs in JCP&amp;L time periods</t>
  </si>
  <si>
    <t>(PJM - JCP&amp;L)</t>
  </si>
  <si>
    <t>JCP&amp;L time periods</t>
  </si>
  <si>
    <t>Tariff Based kWh</t>
  </si>
  <si>
    <t>PJM based kWh</t>
  </si>
  <si>
    <t>Generation Obl $/MWh - all months</t>
  </si>
  <si>
    <t>Generation Capacity Cost =</t>
  </si>
  <si>
    <t>Table #15</t>
  </si>
  <si>
    <t>Total Costs by Rate - in $1000</t>
  </si>
  <si>
    <t>Total Costs - in $1000</t>
  </si>
  <si>
    <t>% of Annual Total $</t>
  </si>
  <si>
    <t>per MWh @ bulk system</t>
  </si>
  <si>
    <t>Table #16</t>
  </si>
  <si>
    <t>Generation &amp; Transmission Obligations and Costs and Other Adjustments</t>
  </si>
  <si>
    <t>Charges</t>
  </si>
  <si>
    <t>% usage</t>
  </si>
  <si>
    <t>Block 1 (0-600 kWh/m)</t>
  </si>
  <si>
    <t>¢/kWh</t>
  </si>
  <si>
    <t>Block 2 (&gt;600 kWh/m)</t>
  </si>
  <si>
    <t>off-peak=&gt;</t>
  </si>
  <si>
    <t>on-peak=&gt;</t>
  </si>
  <si>
    <t>On-peak kWh=&gt;</t>
  </si>
  <si>
    <t>Winter MWh =&gt;</t>
  </si>
  <si>
    <t>Summer MWh =&gt;</t>
  </si>
  <si>
    <t>Associated $=&gt;</t>
  </si>
  <si>
    <t>First Block (0-600 kWh/month)=&gt;</t>
  </si>
  <si>
    <t>Second Block (&gt;600 kWh/month)=&gt;</t>
  </si>
  <si>
    <t>Residential summer BGS + Transmission charge differential</t>
  </si>
  <si>
    <t>per BPU and summer blocking percentages</t>
  </si>
  <si>
    <t>Differential (Excl. SUT)</t>
  </si>
  <si>
    <t>Constant for Block 1 (0-600 kWh/m) usage (Excl. SUT)</t>
  </si>
  <si>
    <t>Constant for Block 2 (&gt;600 kWh/m) usage (Excl. SUT)</t>
  </si>
  <si>
    <t>Transmission charges will be based on Retail Tariff rates for the applicable rate schedules</t>
  </si>
  <si>
    <t>Transmission cost =</t>
  </si>
  <si>
    <t>per MW day Summer</t>
  </si>
  <si>
    <t>per MW day Winter</t>
  </si>
  <si>
    <t>Summer Total</t>
  </si>
  <si>
    <t>Winter Total</t>
  </si>
  <si>
    <t>Annual Total</t>
  </si>
  <si>
    <t>TOTAL</t>
  </si>
  <si>
    <t xml:space="preserve"> Consistent with Losses as approved by the BPU</t>
  </si>
  <si>
    <t>Summary of Obligation Costs Expressed as $/MWh @ customer</t>
  </si>
  <si>
    <t>Summary of Total Estimated BGS Costs by Season</t>
  </si>
  <si>
    <t>Off/On Pk</t>
  </si>
  <si>
    <t>LMP ratio</t>
  </si>
  <si>
    <t>based on Forwards prices corrected for zone-hub differential and losses - PJM time periods</t>
  </si>
  <si>
    <t>based on Forwards prices corrected for zone-hub differential and losses</t>
  </si>
  <si>
    <t>based on Forwards prices corrected for zone-hub differential and losses - JCP&amp;L billing time periods</t>
  </si>
  <si>
    <t>Based on 3 Year Average</t>
  </si>
  <si>
    <t>Zone-Hub Basis Differential</t>
  </si>
  <si>
    <t>Ratio to All-In Cost (rounded to 4 decimal places)</t>
  </si>
  <si>
    <t>&lt;=on-peak=&gt;</t>
  </si>
  <si>
    <t>&lt;=off-peak=&gt;</t>
  </si>
  <si>
    <t xml:space="preserve">RT Less </t>
  </si>
  <si>
    <t>Water Heating</t>
  </si>
  <si>
    <t>OPWH</t>
  </si>
  <si>
    <t>CTWH RS</t>
  </si>
  <si>
    <t>CTWH RSH</t>
  </si>
  <si>
    <t>CTWH GS</t>
  </si>
  <si>
    <t>CTWH Total</t>
  </si>
  <si>
    <t>WH On</t>
  </si>
  <si>
    <t>Attachment 2</t>
  </si>
  <si>
    <t>The Holidays identified by PJM are not excluded from the RT or GST Billing On-Peak kWh.</t>
  </si>
  <si>
    <t>RT On-peak hours are 8 am to 8 pm Eastern Standard Time, Monday through Friday.</t>
  </si>
  <si>
    <t>(data rounded to nearest .01 %)</t>
  </si>
  <si>
    <t>Average</t>
  </si>
  <si>
    <t>For Calculation</t>
  </si>
  <si>
    <t>On-Peak=&gt;</t>
  </si>
  <si>
    <t>Off-Peak=&gt;</t>
  </si>
  <si>
    <t>Average=&gt;</t>
  </si>
  <si>
    <t>For Proof</t>
  </si>
  <si>
    <t>Proof</t>
  </si>
  <si>
    <t>Generation Obl $/MWh - Summer - All Hours</t>
  </si>
  <si>
    <t>Generation Obl $/MWh - Summer - On-Peak Hours</t>
  </si>
  <si>
    <t>Generation Obl $/MWh - Winter - On-Peak Hours</t>
  </si>
  <si>
    <t>Generation Obl $/MWh - Winter - All Hours</t>
  </si>
  <si>
    <t>{1} For BGS purposes the RT rate class includes the RS and GS rate class Off-Peak (OPWH) and Controlled Water Heating (CTWH) provisions.  The RT rate class also includes the</t>
  </si>
  <si>
    <t>GST {4}</t>
  </si>
  <si>
    <t>CTWH</t>
  </si>
  <si>
    <t>On-Peak PJM</t>
  </si>
  <si>
    <t>Hours Mon=&gt;Fri</t>
  </si>
  <si>
    <t>On-peak</t>
  </si>
  <si>
    <t>Hours</t>
  </si>
  <si>
    <t>%</t>
  </si>
  <si>
    <t>Average Daily</t>
  </si>
  <si>
    <t>WH Off</t>
  </si>
  <si>
    <t>% usage during Off-Peak period</t>
  </si>
  <si>
    <t xml:space="preserve">  summer billing month RGT rate class usage.  OPWH and CTWH is billed on the average RT rates, while RT and Summer RGT use is billed at on-peak and off-peak rates.</t>
  </si>
  <si>
    <t xml:space="preserve"> PJM trading time periods - 7 AM to 11 PM weekdays, local time, excluding NERC </t>
  </si>
  <si>
    <t>1st</t>
  </si>
  <si>
    <t>2nd</t>
  </si>
  <si>
    <t>total</t>
  </si>
  <si>
    <t>Adjusted</t>
  </si>
  <si>
    <t>Seasonal Payment Factors</t>
  </si>
  <si>
    <t>Seasonal</t>
  </si>
  <si>
    <t>Initial</t>
  </si>
  <si>
    <t>Adjustment</t>
  </si>
  <si>
    <t>Factor</t>
  </si>
  <si>
    <t>Calculation</t>
  </si>
  <si>
    <t>Seasonally Adjusted Summer Payment</t>
  </si>
  <si>
    <t>Price per MWH</t>
  </si>
  <si>
    <t>Seasonally Adjusted Winter Payment</t>
  </si>
  <si>
    <t>Units</t>
  </si>
  <si>
    <t>Seasonal Units</t>
  </si>
  <si>
    <t>Payment</t>
  </si>
  <si>
    <t>Customer Costs Per Allocation Matrix</t>
  </si>
  <si>
    <r>
      <t xml:space="preserve">Supplier Payment </t>
    </r>
    <r>
      <rPr>
        <sz val="10"/>
        <rFont val="Arial"/>
        <family val="2"/>
      </rPr>
      <t>in $1000</t>
    </r>
  </si>
  <si>
    <t>Total Supplier Payment</t>
  </si>
  <si>
    <t>Adjustment Factor Calculation</t>
  </si>
  <si>
    <t>Allocated Customer Costs on a per MWh basis (on bulk system MWhs):</t>
  </si>
  <si>
    <t>Supplier</t>
  </si>
  <si>
    <t>in $1,000's</t>
  </si>
  <si>
    <t>Units @ Customer</t>
  </si>
  <si>
    <t>in kWh</t>
  </si>
  <si>
    <t>Table #17</t>
  </si>
  <si>
    <t>Table #18</t>
  </si>
  <si>
    <t>Table #19</t>
  </si>
  <si>
    <t>Table #16 &amp; Table #17</t>
  </si>
  <si>
    <t>Bulk System Costs</t>
  </si>
  <si>
    <t>Customer &amp; Bulk System Costs</t>
  </si>
  <si>
    <t xml:space="preserve"> Based on Forwards prices @ PJM West corrected for hub-zone basis differential (both based on the figures used to derive the </t>
  </si>
  <si>
    <t>kWh</t>
  </si>
  <si>
    <r>
      <t>Deli</t>
    </r>
    <r>
      <rPr>
        <b/>
        <sz val="10"/>
        <color indexed="20"/>
        <rFont val="Arial"/>
        <family val="2"/>
      </rPr>
      <t>very</t>
    </r>
    <r>
      <rPr>
        <b/>
        <sz val="10"/>
        <color indexed="17"/>
        <rFont val="Arial"/>
        <family val="2"/>
      </rPr>
      <t xml:space="preserve"> kWh</t>
    </r>
  </si>
  <si>
    <t>RSH</t>
  </si>
  <si>
    <t>Total RS</t>
  </si>
  <si>
    <t xml:space="preserve"> </t>
  </si>
  <si>
    <t>Table #C1</t>
  </si>
  <si>
    <t>Table #C2</t>
  </si>
  <si>
    <t>Table #C3</t>
  </si>
  <si>
    <t>Table #C4</t>
  </si>
  <si>
    <t>Table #C5</t>
  </si>
  <si>
    <t>Table #C6</t>
  </si>
  <si>
    <t>Table #C7</t>
  </si>
  <si>
    <t>WH Average =&gt;</t>
  </si>
  <si>
    <t>WH Average=&gt;</t>
  </si>
  <si>
    <t>JC Tariff Based mWh</t>
  </si>
  <si>
    <t>Expansion Factor to Transmission Nodes =</t>
  </si>
  <si>
    <t>Loss Factors from Transmission Nodes =</t>
  </si>
  <si>
    <t>per MWh at transmission nodes (per transmission nodes metered MWh)</t>
  </si>
  <si>
    <t>per MWh @ transmission nodes</t>
  </si>
  <si>
    <t>All-In Average costs @ transmission nodes =</t>
  </si>
  <si>
    <t xml:space="preserve">PJM Marginal Losses = </t>
  </si>
  <si>
    <t>PJM's calculated mean value of hourly marginal loss factor</t>
  </si>
  <si>
    <t>Ratio of BGS Unit Costs @ customer to All-In Average Cost @ transmission nodes (rounded to 3 decimal places)</t>
  </si>
  <si>
    <t xml:space="preserve">Loss = </t>
  </si>
  <si>
    <t>Consistent with Losses as approved by the BPU</t>
  </si>
  <si>
    <t xml:space="preserve">         If total $ were split on a per MWh basis (on transmission nodes MWhs):</t>
  </si>
  <si>
    <t xml:space="preserve">         If total $ were split on a per MWh basis (on bulk nodes MWhs):</t>
  </si>
  <si>
    <t>@ Bulk mwh</t>
  </si>
  <si>
    <t>@ Transmission</t>
  </si>
  <si>
    <t>Loss Factors @ Bulk =</t>
  </si>
  <si>
    <t>Expansion Factors @ Bulk =</t>
  </si>
  <si>
    <t>Loss Factors @ Transmission Node =</t>
  </si>
  <si>
    <t>Expansion Factors @ Transmission Node =</t>
  </si>
  <si>
    <t>RS Excluding</t>
  </si>
  <si>
    <t>RT\RGT\WH</t>
  </si>
  <si>
    <t>Size of Tranches =</t>
  </si>
  <si>
    <t>Total GS (incl WH)</t>
  </si>
  <si>
    <r>
      <t xml:space="preserve">{4} The GS and GST units exclude the units associated with the </t>
    </r>
    <r>
      <rPr>
        <sz val="10"/>
        <color indexed="12"/>
        <rFont val="Arial"/>
        <family val="2"/>
      </rPr>
      <t xml:space="preserve">500 </t>
    </r>
    <r>
      <rPr>
        <sz val="10"/>
        <rFont val="Arial"/>
        <family val="2"/>
      </rPr>
      <t>kW and above PLS accounts that will be required to take service under BGS-CIEP</t>
    </r>
  </si>
  <si>
    <t>WH OnPeak MWH</t>
  </si>
  <si>
    <t>WH OffPeak MWH</t>
  </si>
  <si>
    <t>Total MWH</t>
  </si>
  <si>
    <t>GS Billed</t>
  </si>
  <si>
    <t>GST Billed</t>
  </si>
  <si>
    <t>Jersey Central Power and Light</t>
  </si>
  <si>
    <t>1 Year Term Remaining</t>
  </si>
  <si>
    <t>2 Year Term Remaining</t>
  </si>
  <si>
    <t>3 Year Term</t>
  </si>
  <si>
    <t>Final Auction Price - in $/MWh</t>
  </si>
  <si>
    <t>Size of Tranches</t>
  </si>
  <si>
    <t>Total # of Tranches</t>
  </si>
  <si>
    <t>Seasonal Factors</t>
  </si>
  <si>
    <t>Applicable Customer Usage
@ transmission node</t>
  </si>
  <si>
    <t>Summer MWh</t>
  </si>
  <si>
    <t>Winter MWh</t>
  </si>
  <si>
    <t>Composite Bid Price</t>
  </si>
  <si>
    <t>YP</t>
  </si>
  <si>
    <t>Change of kWh</t>
  </si>
  <si>
    <t xml:space="preserve">Change of kW </t>
  </si>
  <si>
    <t xml:space="preserve">  </t>
  </si>
  <si>
    <t>BGS-RSCP</t>
  </si>
  <si>
    <t>Calculation of Composite BGS-RSCP Price</t>
  </si>
  <si>
    <t>Total
BGS-RSCP
Cost</t>
  </si>
  <si>
    <t>All-in BGS-RSCP Cost</t>
  </si>
  <si>
    <t>BGS-RSCP Composite Cost Allocation</t>
  </si>
  <si>
    <t/>
  </si>
  <si>
    <t>Ratio to All-In Cost (If Winter is greater than Summer)</t>
  </si>
  <si>
    <t>Total Forecasted Ancillary Services &amp; Renewable Power Costs</t>
  </si>
  <si>
    <t>Forecasted Ancillary Services Cost</t>
  </si>
  <si>
    <t>Ancillary Services and Renewable Power Cost =</t>
  </si>
  <si>
    <t>Fixed Unit Cost Adjustment</t>
  </si>
  <si>
    <t>Renewable Portfolio Standard Cost</t>
  </si>
  <si>
    <t>NJ Sales and Use Tax (SUT) =</t>
  </si>
  <si>
    <t>SUT excluded from all costs</t>
  </si>
  <si>
    <t>= Q112-S112</t>
  </si>
  <si>
    <t>RT (w/o RGT)</t>
  </si>
  <si>
    <t>NJ Sales and Use Tax (SUT) excluded</t>
  </si>
  <si>
    <t>Notes:</t>
  </si>
  <si>
    <t>Total BGS-RSCP Gen Obl - MW</t>
  </si>
  <si>
    <t>Days in BGS Delivery Year</t>
  </si>
  <si>
    <t>= line 3 * line 4 * line 5</t>
  </si>
  <si>
    <t>Eligible Tranches</t>
  </si>
  <si>
    <t>Total Tranches</t>
  </si>
  <si>
    <t>= line 7/ line 8</t>
  </si>
  <si>
    <t>= line 6 * line 9</t>
  </si>
  <si>
    <t>= line 9 * line 11</t>
  </si>
  <si>
    <t>= line 10 / line 12 (rounded to 2 decimal places)</t>
  </si>
  <si>
    <t>L/(H+I), Rounded to 2 decimals</t>
  </si>
  <si>
    <t>Capacity Proxy Price ($/MW-day)</t>
  </si>
  <si>
    <t>Capacity Proxy Price True-Up - $/MW-day</t>
  </si>
  <si>
    <t>Capacity Proxy Price True-Up - $/MWh</t>
  </si>
  <si>
    <t xml:space="preserve"> Line 1 - Line2</t>
  </si>
  <si>
    <r>
      <t xml:space="preserve">BGS Post Transition
Year </t>
    </r>
    <r>
      <rPr>
        <b/>
        <sz val="10"/>
        <color indexed="12"/>
        <rFont val="Arial"/>
        <family val="2"/>
      </rPr>
      <t>19</t>
    </r>
  </si>
  <si>
    <r>
      <t xml:space="preserve">BGS Post Transition
Year </t>
    </r>
    <r>
      <rPr>
        <b/>
        <sz val="10"/>
        <color indexed="12"/>
        <rFont val="Arial"/>
        <family val="2"/>
      </rPr>
      <t>20</t>
    </r>
  </si>
  <si>
    <t xml:space="preserve">Capacity Proxy Price True-Up Annual Cost </t>
  </si>
  <si>
    <t>% of tranches eligible for Payment</t>
  </si>
  <si>
    <t>Capacity Proxy Price True-Up Cost</t>
  </si>
  <si>
    <r>
      <t xml:space="preserve">Total Applicable Customer Usage 
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</si>
  <si>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r>
      <t>Eligible customer Usage 
@ transmission nodes -</t>
    </r>
    <r>
      <rPr>
        <i/>
        <sz val="10"/>
        <rFont val="Arial"/>
        <family val="2"/>
      </rPr>
      <t xml:space="preserve"> in MWh</t>
    </r>
  </si>
  <si>
    <t>2021-2022 1st incre auction</t>
  </si>
  <si>
    <t>2020-2021 2nd incre auction</t>
  </si>
  <si>
    <t>Avg above</t>
  </si>
  <si>
    <t>0.9 factor</t>
  </si>
  <si>
    <t>2021 Auction</t>
  </si>
  <si>
    <t>2022 Auction</t>
  </si>
  <si>
    <r>
      <t xml:space="preserve">BGS Post Transition
Year </t>
    </r>
    <r>
      <rPr>
        <b/>
        <sz val="10"/>
        <color indexed="12"/>
        <rFont val="Arial"/>
        <family val="2"/>
      </rPr>
      <t>21</t>
    </r>
  </si>
  <si>
    <t>2023 Auction</t>
  </si>
  <si>
    <t>Development of Capacity Proxy Price True-Up $/MWh 
and Calculation of Composite BGS-RSCP Price</t>
  </si>
  <si>
    <t>Table A - 2023/2024 Delivery Year - Illustrative Only</t>
  </si>
  <si>
    <t>GS RSCP</t>
  </si>
  <si>
    <t>GST RSCP</t>
  </si>
  <si>
    <t>Zero, as Transmission product will be excluded from BGS product starting June 1, 2021.</t>
  </si>
  <si>
    <t>includes Energy, Generation obligations, and Ancillary Services - adjusted to billing time periods</t>
  </si>
  <si>
    <t>includes Energy, Generation Obligations, and Ancillary Services - adjusted to billing time periods</t>
  </si>
  <si>
    <t>Attachment 3 - Page 1 of 3</t>
  </si>
  <si>
    <t>Attachment 3 - Page 2 of 3</t>
  </si>
  <si>
    <t>Attachment 3 - Page 3 of 3</t>
  </si>
  <si>
    <t>June 1, 2023 through May 31, 2024 - Illustrative Only</t>
  </si>
  <si>
    <t>Composite (Tranche Weighted) Costs w/o Transmission</t>
  </si>
  <si>
    <t>includes Energy and Ancillary Services, Generation Obligations charged separately - adjusted to billing time periods</t>
  </si>
  <si>
    <t>Zonal Capacity Price ($/MW-day) - JCPL Zone</t>
  </si>
  <si>
    <t>for 23-24 delivery year</t>
  </si>
  <si>
    <t>fo 22-23 delivery year</t>
  </si>
  <si>
    <t>As of 6/2/2021</t>
  </si>
  <si>
    <t>2022-2023 BRA</t>
  </si>
  <si>
    <t>Avg</t>
  </si>
  <si>
    <t>Bidders will know the BRA price, as 2023-2024 BRA is going to conduct on Dec 2021, before auction</t>
  </si>
  <si>
    <r>
      <t xml:space="preserve">BGS Post Transition
Year </t>
    </r>
    <r>
      <rPr>
        <b/>
        <sz val="10"/>
        <color indexed="12"/>
        <rFont val="Arial"/>
        <family val="2"/>
      </rPr>
      <t>22</t>
    </r>
  </si>
  <si>
    <t>2024 Auction</t>
  </si>
  <si>
    <t>&lt;- in 2021 Auction</t>
  </si>
  <si>
    <t>2021-2022 IA3</t>
  </si>
  <si>
    <t>Illustrative Only</t>
  </si>
  <si>
    <t>2023/2024
Delivery Year for Winning Suppliers from 2021 BGS-RSCP Auction</t>
  </si>
  <si>
    <t>2023/2024
Delivery Year for Winning Suppliers from 2022 BGS-RSCP Auction</t>
  </si>
  <si>
    <t>Auction</t>
  </si>
  <si>
    <t>BRA $97.93
3/2022</t>
  </si>
  <si>
    <t>Cap. Proxy
$87.98</t>
  </si>
  <si>
    <t>CAP. Proxy
$152.06</t>
  </si>
  <si>
    <t>Table A - 2025/2026 Delivery Year - Illustrative Only</t>
  </si>
  <si>
    <r>
      <t xml:space="preserve">BGS Post Transition
Year </t>
    </r>
    <r>
      <rPr>
        <b/>
        <sz val="10"/>
        <color indexed="12"/>
        <rFont val="Arial"/>
        <family val="2"/>
      </rPr>
      <t>23</t>
    </r>
  </si>
  <si>
    <t>2025 Auction</t>
  </si>
  <si>
    <t>June 1, 2025 through May 31, 2026 - Illustrative Only</t>
  </si>
  <si>
    <t>Auction Opening Date</t>
  </si>
  <si>
    <t>2023/24 BRA</t>
  </si>
  <si>
    <t>2022/23 3IA</t>
  </si>
  <si>
    <t>2024/25 BRA</t>
  </si>
  <si>
    <t>2025/26 BRA</t>
  </si>
  <si>
    <t>June 2023</t>
  </si>
  <si>
    <t>2023/24 3IA</t>
  </si>
  <si>
    <t xml:space="preserve"> March 2023</t>
  </si>
  <si>
    <t>2026/27 BRA</t>
  </si>
  <si>
    <t xml:space="preserve"> November 2023</t>
  </si>
  <si>
    <t>2024/25 3IA</t>
  </si>
  <si>
    <t xml:space="preserve"> February 2024</t>
  </si>
  <si>
    <t>2025/26 3IA</t>
  </si>
  <si>
    <t xml:space="preserve"> February 2025</t>
  </si>
  <si>
    <t>2026/27 2IA</t>
  </si>
  <si>
    <t xml:space="preserve"> July 2025</t>
  </si>
  <si>
    <t>2026/27 3IA</t>
  </si>
  <si>
    <t xml:space="preserve"> February 2026</t>
  </si>
  <si>
    <t>PJM posted as of 6/1/2022</t>
  </si>
  <si>
    <t>mWh</t>
  </si>
  <si>
    <t>UPDATE</t>
  </si>
  <si>
    <t xml:space="preserve">Table #10 of the 2023 BGS Auction Cost and Bid Factor Tables </t>
  </si>
  <si>
    <r>
      <t xml:space="preserve">Table #14 * Table #6 from </t>
    </r>
    <r>
      <rPr>
        <sz val="10"/>
        <color rgb="FF0000FF"/>
        <rFont val="Arial"/>
        <family val="2"/>
      </rPr>
      <t>2023</t>
    </r>
    <r>
      <rPr>
        <sz val="10"/>
        <rFont val="Arial"/>
        <family val="2"/>
      </rPr>
      <t xml:space="preserve"> BGS Auction Cost and Bid Factor Tables - Illustrative Only</t>
    </r>
  </si>
  <si>
    <t>includes energy, Generation , and Ancillary Services - adjusted to billing time periods</t>
  </si>
  <si>
    <t>includes energy, Generation obligations, and Ancillary Services - adjusted to billing time periods</t>
  </si>
  <si>
    <t>Capacity Proxy Price True Up in $/MWH</t>
  </si>
  <si>
    <t>2020 Auction Rolled Off, without Transmission</t>
  </si>
  <si>
    <t xml:space="preserve">BRA $49.59
</t>
  </si>
  <si>
    <t>BGS Order Docket No. ER20030190 dated Nov. 18, 2020 and Docket No. ER21030631 dated Nov. 17, 2021</t>
  </si>
  <si>
    <t>summer</t>
  </si>
  <si>
    <t>Proxy</t>
  </si>
  <si>
    <t>Proof and break out</t>
  </si>
  <si>
    <t>CAP. Proxy TrueUp
$49.59 - $118.12 = - $68.53</t>
  </si>
  <si>
    <t>CAP. Proxy TrueUP
$49.59 - $146.51 = - $96.92</t>
  </si>
  <si>
    <t>BRA TBD
12/20/2022
** Or Propose Cap. Proxy $66.38</t>
  </si>
  <si>
    <t>Propose CAP. Proxy of $44.63</t>
  </si>
  <si>
    <t>* If BRA 2024-2025 price not known 5 days before auction only</t>
  </si>
  <si>
    <t>Delivery Year Starting</t>
  </si>
  <si>
    <t>Post Transition Year 21 Costs w/o Transmission</t>
  </si>
  <si>
    <t>CTWH GS*</t>
  </si>
  <si>
    <t>CTWH RS*</t>
  </si>
  <si>
    <t>CTWH RSH*</t>
  </si>
  <si>
    <t>&lt;= Line 10 on Table A</t>
  </si>
  <si>
    <t>Last Year tranch weighted composite price</t>
  </si>
  <si>
    <t>Final PJM RPM Zonal net Price for 2023/2024 Delivery Year</t>
  </si>
  <si>
    <t>2023/2024 BGS Supply Period Estimated Supplier Payments Allocated by Rate Class</t>
  </si>
  <si>
    <t>Post Transition Year 22 Costs w/o Transmission</t>
  </si>
  <si>
    <t>Table A - 2026/2027 Delivery Year - Illustrative Only</t>
  </si>
  <si>
    <r>
      <t xml:space="preserve">BGS Post Transition
Year </t>
    </r>
    <r>
      <rPr>
        <b/>
        <sz val="10"/>
        <color indexed="12"/>
        <rFont val="Arial"/>
        <family val="2"/>
      </rPr>
      <t>24</t>
    </r>
  </si>
  <si>
    <t>2026 Auction</t>
  </si>
  <si>
    <t>June 1, 2026 through May 31, 2027 - Illustrative Only</t>
  </si>
  <si>
    <t>2026/2027
Delivery Year for Winning Suppliers from 2024 BGS-RSCP Auction*</t>
  </si>
  <si>
    <r>
      <t xml:space="preserve">2023 </t>
    </r>
    <r>
      <rPr>
        <b/>
        <sz val="10"/>
        <rFont val="Arial"/>
        <family val="2"/>
      </rPr>
      <t>Auction with Capacity Proxy True-Up</t>
    </r>
  </si>
  <si>
    <r>
      <t xml:space="preserve"> Bid Factors and establish retail rates in Post Transition Year </t>
    </r>
    <r>
      <rPr>
        <sz val="10"/>
        <color indexed="12"/>
        <rFont val="Arial"/>
        <family val="2"/>
      </rPr>
      <t>21</t>
    </r>
    <r>
      <rPr>
        <sz val="10"/>
        <rFont val="Arial"/>
        <family val="2"/>
      </rPr>
      <t xml:space="preserve"> and adjusted to match the total cost at the actual supplier bid price.</t>
    </r>
  </si>
  <si>
    <r>
      <t>calendar month sales forecasted for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12"/>
        <rFont val="Arial"/>
        <family val="2"/>
      </rPr>
      <t>2024</t>
    </r>
  </si>
  <si>
    <t>Forecast 2024 Delivery MWh</t>
  </si>
  <si>
    <t>2024 kWh *</t>
  </si>
  <si>
    <r>
      <t xml:space="preserve">obligations - annual average forecasted for </t>
    </r>
    <r>
      <rPr>
        <i/>
        <sz val="10"/>
        <color indexed="12"/>
        <rFont val="Arial"/>
        <family val="2"/>
      </rPr>
      <t>2024</t>
    </r>
    <r>
      <rPr>
        <i/>
        <sz val="10"/>
        <rFont val="Arial"/>
        <family val="2"/>
      </rPr>
      <t>; costs are market estimates</t>
    </r>
  </si>
  <si>
    <t>2025 BGS Auction Cost and Bid Factor Tables</t>
  </si>
  <si>
    <t>2025/2026 BGS Supply Period Estimated Supplier Payments Allocated by Rate Class</t>
  </si>
  <si>
    <r>
      <t xml:space="preserve">2024 </t>
    </r>
    <r>
      <rPr>
        <i/>
        <sz val="10"/>
        <rFont val="Arial"/>
        <family val="2"/>
      </rPr>
      <t>Forecasted Calendar Month Sales</t>
    </r>
  </si>
  <si>
    <t>mWh*</t>
  </si>
  <si>
    <t>kWh*</t>
  </si>
  <si>
    <t>*: Jul 2024 Petition</t>
  </si>
  <si>
    <t xml:space="preserve"> kWh*</t>
  </si>
  <si>
    <t>CIEP Eligible 6/1/2025-5/31/2026</t>
  </si>
  <si>
    <t>Jun PLS Validation</t>
  </si>
  <si>
    <t>2023 kWh*</t>
  </si>
  <si>
    <r>
      <t xml:space="preserve">   JCP&amp;L billing on/off % from </t>
    </r>
    <r>
      <rPr>
        <sz val="10"/>
        <color indexed="12"/>
        <rFont val="Arial"/>
        <family val="2"/>
      </rPr>
      <t>2024</t>
    </r>
    <r>
      <rPr>
        <sz val="10"/>
        <rFont val="Arial"/>
        <family val="2"/>
      </rPr>
      <t xml:space="preserve"> forecasted billing determinants</t>
    </r>
  </si>
  <si>
    <r>
      <t xml:space="preserve"> class totals for </t>
    </r>
    <r>
      <rPr>
        <sz val="10"/>
        <color indexed="12"/>
        <rFont val="Arial"/>
        <family val="2"/>
      </rPr>
      <t>2024</t>
    </r>
    <r>
      <rPr>
        <sz val="10"/>
        <rFont val="Arial"/>
        <family val="2"/>
      </rPr>
      <t xml:space="preserve"> excluding accounts required to take service under BGS-CIEP as of </t>
    </r>
    <r>
      <rPr>
        <sz val="10"/>
        <color indexed="12"/>
        <rFont val="Arial"/>
        <family val="2"/>
      </rPr>
      <t>June 1, 2025</t>
    </r>
  </si>
  <si>
    <t>Not Applicable to 2025/2026 BGS Supply Period</t>
  </si>
  <si>
    <t>2024/2025 BGS Supply Period Estimated Supplier Payments Allocated by Rate Class</t>
  </si>
  <si>
    <r>
      <t xml:space="preserve">2024 </t>
    </r>
    <r>
      <rPr>
        <b/>
        <sz val="10"/>
        <rFont val="Arial"/>
        <family val="2"/>
      </rPr>
      <t>Auction with Capacity Proxy True-Up</t>
    </r>
  </si>
  <si>
    <r>
      <t xml:space="preserve"> Bid Factors and establish retail rates in Post Transition Year </t>
    </r>
    <r>
      <rPr>
        <sz val="10"/>
        <color indexed="12"/>
        <rFont val="Arial"/>
        <family val="2"/>
      </rPr>
      <t xml:space="preserve">22 </t>
    </r>
    <r>
      <rPr>
        <sz val="10"/>
        <rFont val="Arial"/>
        <family val="2"/>
      </rPr>
      <t>and adjusted to match the total cost at the actual supplier bid price.</t>
    </r>
  </si>
  <si>
    <t>Post Transition Year 23 Costs w/o Transmission</t>
  </si>
  <si>
    <t xml:space="preserve">Table #10 of the 2025 BGS Auction Cost and Bid Factor Tables </t>
  </si>
  <si>
    <r>
      <t xml:space="preserve">Table #14 * Table #6 from </t>
    </r>
    <r>
      <rPr>
        <sz val="10"/>
        <color rgb="FF0000FF"/>
        <rFont val="Arial"/>
        <family val="2"/>
      </rPr>
      <t>2025</t>
    </r>
    <r>
      <rPr>
        <sz val="10"/>
        <rFont val="Arial"/>
        <family val="2"/>
      </rPr>
      <t xml:space="preserve"> BGS Auction Cost and Bid Factor Tables 
- Illustrative Only</t>
    </r>
  </si>
  <si>
    <t>2026/2027
Delivery Year for Winning Suppliers from 2025 BGS-RSCP Auction*</t>
  </si>
  <si>
    <t>Illustration Only</t>
  </si>
  <si>
    <r>
      <t xml:space="preserve">Table #10 of the </t>
    </r>
    <r>
      <rPr>
        <sz val="10"/>
        <color rgb="FF0000FF"/>
        <rFont val="Arial"/>
        <family val="2"/>
      </rPr>
      <t>2025</t>
    </r>
    <r>
      <rPr>
        <sz val="10"/>
        <rFont val="Arial"/>
        <family val="2"/>
      </rPr>
      <t xml:space="preserve"> BGS Auction Cost and Bid Factor Tables </t>
    </r>
  </si>
  <si>
    <t>2027 Auction</t>
  </si>
  <si>
    <r>
      <t xml:space="preserve">Table #14 * Table #6 from </t>
    </r>
    <r>
      <rPr>
        <sz val="10"/>
        <color rgb="FF0000FF"/>
        <rFont val="Arial"/>
        <family val="2"/>
      </rPr>
      <t>2025</t>
    </r>
    <r>
      <rPr>
        <sz val="10"/>
        <rFont val="Arial"/>
        <family val="2"/>
      </rPr>
      <t xml:space="preserve"> BGS Auction Cost and Bid Factor Tables</t>
    </r>
  </si>
  <si>
    <t>June 1, 2027 through May 31, 2028</t>
  </si>
  <si>
    <t>2027/2028
Delivery Year for Winning Suppliers from 2025 BGS-RSCP Auction</t>
  </si>
  <si>
    <t>Table A - 2027/2028 Delivery Year - Illustrative Only</t>
  </si>
  <si>
    <t>Attachment 4</t>
  </si>
  <si>
    <t>2025/2026
Delivery Year for Winning Suppliers from 2025 BGS-RSCP Auction</t>
  </si>
  <si>
    <t>2025/2026
Delivery Year for Winning Suppliers from 2025 BGS-CIEP Auction</t>
  </si>
  <si>
    <t>2025/2026
Delivery Year for Winning Suppliers from 2023 BGS-RSCP Auction</t>
  </si>
  <si>
    <t>2025/2026
Delivery Year for Winning Suppliers from 2024 BGS-RSCP Auction</t>
  </si>
  <si>
    <t>line 1 - line 2</t>
  </si>
  <si>
    <t>line 3</t>
  </si>
  <si>
    <t>line 4 + line 5</t>
  </si>
  <si>
    <t>Development of Capacity Proxy Price True-Up $/MW-Day 
and Calculation of BGS-CIEP Capacity Obligation Price</t>
  </si>
  <si>
    <t>BGS-CIEP Bidder Price ($/MW-day)</t>
  </si>
  <si>
    <r>
      <t xml:space="preserve">Based on an average of </t>
    </r>
    <r>
      <rPr>
        <i/>
        <sz val="10"/>
        <color rgb="FF0000FF"/>
        <rFont val="Arial"/>
        <family val="2"/>
      </rPr>
      <t>2021,2022 and 2023</t>
    </r>
    <r>
      <rPr>
        <i/>
        <sz val="10"/>
        <rFont val="Arial"/>
        <family val="2"/>
      </rPr>
      <t xml:space="preserve"> Load Profile Information</t>
    </r>
  </si>
  <si>
    <t>BGS Order Docket No. ER23030124 dated Nov. 17, 2023 and ERxxxx dated xxxx, 2024</t>
  </si>
  <si>
    <t>BGS Order Docket No. ER22030127 dated Nov. 9, 2022 and ER23030124, dated Nov. 17, 2023 and Docket No. xxxx, dated xxxx, 2024</t>
  </si>
  <si>
    <t>Per BPU Order Docket No. xxxx, dated xxxx, 2024</t>
  </si>
  <si>
    <r>
      <t xml:space="preserve">BGS Post Transition
Year </t>
    </r>
    <r>
      <rPr>
        <b/>
        <sz val="10"/>
        <color indexed="12"/>
        <rFont val="Arial"/>
        <family val="2"/>
      </rPr>
      <t>25</t>
    </r>
  </si>
  <si>
    <r>
      <t xml:space="preserve"> forecasted </t>
    </r>
    <r>
      <rPr>
        <sz val="10"/>
        <color indexed="12"/>
        <rFont val="Arial"/>
        <family val="2"/>
      </rPr>
      <t xml:space="preserve">2024 </t>
    </r>
    <r>
      <rPr>
        <sz val="10"/>
        <rFont val="Arial"/>
        <family val="2"/>
      </rPr>
      <t xml:space="preserve">energy use by class based upon PJM on/off % from </t>
    </r>
    <r>
      <rPr>
        <sz val="10"/>
        <color indexed="12"/>
        <rFont val="Arial"/>
        <family val="2"/>
      </rPr>
      <t>2021 through 2023</t>
    </r>
    <r>
      <rPr>
        <sz val="10"/>
        <rFont val="Arial"/>
        <family val="2"/>
      </rPr>
      <t xml:space="preserve"> class load profiles</t>
    </r>
  </si>
  <si>
    <r>
      <t xml:space="preserve"> based on </t>
    </r>
    <r>
      <rPr>
        <sz val="10"/>
        <color indexed="12"/>
        <rFont val="Arial"/>
        <family val="2"/>
      </rPr>
      <t xml:space="preserve">6/25 to 5/26 </t>
    </r>
    <r>
      <rPr>
        <sz val="10"/>
        <rFont val="Arial"/>
        <family val="2"/>
      </rPr>
      <t>Forwards @ PJM West corrected for hub-zone basis differential</t>
    </r>
  </si>
  <si>
    <t>Final BGS-CIEP Gen Obl - $/MW-Day</t>
  </si>
  <si>
    <t>includes Energy and Ancillary Services, Generation Obligations charged separately - adjusted to billing time periods in $/MWH</t>
  </si>
  <si>
    <r>
      <t xml:space="preserve">Forecasted </t>
    </r>
    <r>
      <rPr>
        <i/>
        <sz val="10"/>
        <color indexed="12"/>
        <rFont val="Arial"/>
        <family val="2"/>
      </rPr>
      <t>2024</t>
    </r>
    <r>
      <rPr>
        <i/>
        <sz val="10"/>
        <rFont val="Arial"/>
        <family val="2"/>
      </rPr>
      <t xml:space="preserve"> kWh</t>
    </r>
  </si>
  <si>
    <t>Illustrative only, will be updated with final 2025 BGS-CIEP Auction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</si>
</sst>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0"/>
    <numFmt numFmtId="167" formatCode="0.0000"/>
    <numFmt numFmtId="168" formatCode="0.000%"/>
    <numFmt numFmtId="169" formatCode="0.0000%"/>
    <numFmt numFmtId="170" formatCode="#,##0.0"/>
    <numFmt numFmtId="171" formatCode="_(&quot;$&quot;* #,##0_);_(&quot;$&quot;* \(#,##0\);_(&quot;$&quot;* &quot;-&quot;??_);_(@_)"/>
    <numFmt numFmtId="172" formatCode="_(&quot;$&quot;* #,##0.000_);_(&quot;$&quot;* \(#,##0.000\);_(&quot;$&quot;* &quot;-&quot;??_);_(@_)"/>
    <numFmt numFmtId="173" formatCode="_(&quot;$&quot;* #,##0.0000_);_(&quot;$&quot;* \(#,##0.0000\);_(&quot;$&quot;* &quot;-&quot;??_);_(@_)"/>
    <numFmt numFmtId="174" formatCode="0.0%"/>
    <numFmt numFmtId="175" formatCode="_(* #,##0_);_(* \(#,##0\);_(* &quot;-&quot;??_);_(@_)"/>
    <numFmt numFmtId="176" formatCode="_(* #,##0.000_);_(* \(#,##0.000\);_(* &quot;-&quot;??_);_(@_)"/>
    <numFmt numFmtId="177" formatCode="_(* #,##0.0000_);_(* \(#,##0.0000\);_(* &quot;-&quot;??_);_(@_)"/>
    <numFmt numFmtId="178" formatCode="_(* #,##0.00000_);_(* \(#,##0.00000\);_(* &quot;-&quot;??_);_(@_)"/>
    <numFmt numFmtId="179" formatCode="#,##0.000"/>
    <numFmt numFmtId="180" formatCode="_(* #,##0.000000_);_(* \(#,##0.000000\);_(* &quot;-&quot;??_);_(@_)"/>
    <numFmt numFmtId="181" formatCode="0.000000%"/>
    <numFmt numFmtId="182" formatCode="mm/dd/yy;@"/>
    <numFmt numFmtId="183" formatCode="&quot;$&quot;#,##0"/>
    <numFmt numFmtId="184" formatCode="&quot;$&quot;#,##0.00"/>
    <numFmt numFmtId="185" formatCode="_(* #,##0.0_);_(* \(#,##0.0\);_(* &quot;-&quot;??_);_(@_)"/>
    <numFmt numFmtId="186" formatCode="&quot;$&quot;#,##0.000"/>
    <numFmt numFmtId="187" formatCode="0.00000%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54"/>
      <name val="Arial"/>
      <family val="2"/>
    </font>
    <font>
      <u/>
      <sz val="10"/>
      <color indexed="54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53"/>
      <name val="Arial"/>
      <family val="2"/>
    </font>
    <font>
      <u/>
      <sz val="10"/>
      <color indexed="53"/>
      <name val="Arial"/>
      <family val="2"/>
    </font>
    <font>
      <u/>
      <sz val="10"/>
      <color indexed="8"/>
      <name val="Arial"/>
      <family val="2"/>
    </font>
    <font>
      <b/>
      <sz val="10"/>
      <color indexed="53"/>
      <name val="Arial"/>
      <family val="2"/>
    </font>
    <font>
      <b/>
      <sz val="10"/>
      <color indexed="8"/>
      <name val="Arial"/>
      <family val="2"/>
    </font>
    <font>
      <b/>
      <sz val="12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i/>
      <sz val="10"/>
      <color indexed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20"/>
      <name val="Arial"/>
      <family val="2"/>
    </font>
    <font>
      <b/>
      <i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7"/>
      <name val="Arial"/>
      <family val="2"/>
    </font>
    <font>
      <u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30"/>
      <name val="Arial"/>
      <family val="2"/>
    </font>
    <font>
      <u/>
      <sz val="10"/>
      <color indexed="16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6600"/>
      <name val="Arial"/>
      <family val="2"/>
    </font>
    <font>
      <b/>
      <sz val="10"/>
      <color rgb="FFFF0000"/>
      <name val="Arial"/>
      <family val="2"/>
    </font>
    <font>
      <u/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FF0000"/>
      <name val="Arial"/>
      <family val="2"/>
    </font>
    <font>
      <b/>
      <sz val="14"/>
      <color rgb="FF0000FF"/>
      <name val="Arial"/>
      <family val="2"/>
    </font>
    <font>
      <b/>
      <sz val="10"/>
      <color rgb="FF0000FF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b/>
      <sz val="10"/>
      <color theme="9" tint="-0.49998474074526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62" fillId="22" borderId="0" applyNumberFormat="0" applyBorder="0" applyAlignment="0" applyProtection="0"/>
    <xf numFmtId="0" fontId="62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62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9" borderId="0" applyNumberFormat="0" applyBorder="0" applyAlignment="0" applyProtection="0"/>
    <xf numFmtId="0" fontId="19" fillId="13" borderId="0" applyNumberFormat="0" applyBorder="0" applyAlignment="0" applyProtection="0"/>
    <xf numFmtId="0" fontId="63" fillId="30" borderId="23" applyNumberFormat="0" applyAlignment="0" applyProtection="0"/>
    <xf numFmtId="0" fontId="64" fillId="31" borderId="24" applyNumberFormat="0" applyAlignment="0" applyProtection="0"/>
    <xf numFmtId="0" fontId="65" fillId="0" borderId="0" applyNumberFormat="0" applyFill="0" applyBorder="0" applyAlignment="0" applyProtection="0"/>
    <xf numFmtId="0" fontId="31" fillId="14" borderId="0" applyNumberFormat="0" applyBorder="0" applyAlignment="0" applyProtection="0"/>
    <xf numFmtId="0" fontId="66" fillId="0" borderId="25" applyNumberFormat="0" applyFill="0" applyAlignment="0" applyProtection="0"/>
    <xf numFmtId="0" fontId="67" fillId="0" borderId="26" applyNumberFormat="0" applyFill="0" applyAlignment="0" applyProtection="0"/>
    <xf numFmtId="0" fontId="68" fillId="0" borderId="27" applyNumberFormat="0" applyFill="0" applyAlignment="0" applyProtection="0"/>
    <xf numFmtId="0" fontId="68" fillId="0" borderId="0" applyNumberFormat="0" applyFill="0" applyBorder="0" applyAlignment="0" applyProtection="0"/>
    <xf numFmtId="0" fontId="69" fillId="17" borderId="23" applyNumberFormat="0" applyAlignment="0" applyProtection="0"/>
    <xf numFmtId="0" fontId="70" fillId="0" borderId="28" applyNumberFormat="0" applyFill="0" applyAlignment="0" applyProtection="0"/>
    <xf numFmtId="0" fontId="71" fillId="32" borderId="0" applyNumberFormat="0" applyBorder="0" applyAlignment="0" applyProtection="0"/>
    <xf numFmtId="0" fontId="3" fillId="33" borderId="29" applyNumberFormat="0" applyFont="0" applyAlignment="0" applyProtection="0"/>
    <xf numFmtId="0" fontId="72" fillId="30" borderId="30" applyNumberFormat="0" applyAlignment="0" applyProtection="0"/>
    <xf numFmtId="0" fontId="73" fillId="0" borderId="0" applyNumberFormat="0" applyFill="0" applyBorder="0" applyAlignment="0" applyProtection="0"/>
    <xf numFmtId="0" fontId="29" fillId="0" borderId="31" applyNumberFormat="0" applyFill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34" fillId="0" borderId="0"/>
    <xf numFmtId="43" fontId="34" fillId="0" borderId="0" applyFont="0" applyFill="0" applyBorder="0" applyAlignment="0" applyProtection="0"/>
    <xf numFmtId="0" fontId="3" fillId="0" borderId="0"/>
    <xf numFmtId="0" fontId="74" fillId="12" borderId="0" applyNumberFormat="0" applyBorder="0" applyAlignment="0" applyProtection="0"/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15" borderId="0" applyNumberFormat="0" applyBorder="0" applyAlignment="0" applyProtection="0"/>
    <xf numFmtId="0" fontId="74" fillId="18" borderId="0" applyNumberFormat="0" applyBorder="0" applyAlignment="0" applyProtection="0"/>
    <xf numFmtId="0" fontId="74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9" borderId="0" applyNumberFormat="0" applyBorder="0" applyAlignment="0" applyProtection="0"/>
    <xf numFmtId="0" fontId="76" fillId="13" borderId="0" applyNumberFormat="0" applyBorder="0" applyAlignment="0" applyProtection="0"/>
    <xf numFmtId="0" fontId="77" fillId="30" borderId="23" applyNumberFormat="0" applyAlignment="0" applyProtection="0"/>
    <xf numFmtId="0" fontId="78" fillId="31" borderId="24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14" borderId="0" applyNumberFormat="0" applyBorder="0" applyAlignment="0" applyProtection="0"/>
    <xf numFmtId="0" fontId="81" fillId="0" borderId="25" applyNumberFormat="0" applyFill="0" applyAlignment="0" applyProtection="0"/>
    <xf numFmtId="0" fontId="82" fillId="0" borderId="26" applyNumberFormat="0" applyFill="0" applyAlignment="0" applyProtection="0"/>
    <xf numFmtId="0" fontId="83" fillId="0" borderId="27" applyNumberFormat="0" applyFill="0" applyAlignment="0" applyProtection="0"/>
    <xf numFmtId="0" fontId="83" fillId="0" borderId="0" applyNumberFormat="0" applyFill="0" applyBorder="0" applyAlignment="0" applyProtection="0"/>
    <xf numFmtId="0" fontId="84" fillId="17" borderId="23" applyNumberFormat="0" applyAlignment="0" applyProtection="0"/>
    <xf numFmtId="0" fontId="85" fillId="0" borderId="28" applyNumberFormat="0" applyFill="0" applyAlignment="0" applyProtection="0"/>
    <xf numFmtId="0" fontId="86" fillId="32" borderId="0" applyNumberFormat="0" applyBorder="0" applyAlignment="0" applyProtection="0"/>
    <xf numFmtId="0" fontId="61" fillId="0" borderId="0"/>
    <xf numFmtId="0" fontId="74" fillId="0" borderId="0"/>
    <xf numFmtId="0" fontId="74" fillId="33" borderId="29" applyNumberFormat="0" applyFont="0" applyAlignment="0" applyProtection="0"/>
    <xf numFmtId="0" fontId="61" fillId="33" borderId="29" applyNumberFormat="0" applyFont="0" applyAlignment="0" applyProtection="0"/>
    <xf numFmtId="0" fontId="87" fillId="30" borderId="30" applyNumberFormat="0" applyAlignment="0" applyProtection="0"/>
    <xf numFmtId="9" fontId="3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88" fillId="0" borderId="31" applyNumberFormat="0" applyFill="0" applyAlignment="0" applyProtection="0"/>
    <xf numFmtId="0" fontId="8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8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171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4" fillId="0" borderId="0" xfId="1" quotePrefix="1" applyFont="1"/>
    <xf numFmtId="0" fontId="11" fillId="0" borderId="0" xfId="0" applyFont="1"/>
    <xf numFmtId="44" fontId="6" fillId="0" borderId="0" xfId="2" applyFont="1" applyFill="1"/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7" fillId="0" borderId="0" xfId="0" applyFont="1"/>
    <xf numFmtId="0" fontId="5" fillId="0" borderId="0" xfId="0" quotePrefix="1" applyFont="1"/>
    <xf numFmtId="39" fontId="4" fillId="0" borderId="0" xfId="0" quotePrefix="1" applyNumberFormat="1" applyFont="1"/>
    <xf numFmtId="0" fontId="4" fillId="0" borderId="0" xfId="0" applyFont="1"/>
    <xf numFmtId="0" fontId="7" fillId="0" borderId="0" xfId="0" applyFont="1" applyAlignment="1">
      <alignment horizontal="center" wrapText="1"/>
    </xf>
    <xf numFmtId="0" fontId="7" fillId="0" borderId="0" xfId="0" quotePrefix="1" applyFont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0" fillId="0" borderId="0" xfId="0" applyNumberFormat="1"/>
    <xf numFmtId="174" fontId="6" fillId="0" borderId="0" xfId="3" applyNumberFormat="1" applyFont="1" applyFill="1"/>
    <xf numFmtId="174" fontId="6" fillId="0" borderId="0" xfId="3" quotePrefix="1" applyNumberFormat="1" applyFont="1" applyFill="1"/>
    <xf numFmtId="9" fontId="6" fillId="0" borderId="0" xfId="3" quotePrefix="1" applyFont="1" applyFill="1"/>
    <xf numFmtId="9" fontId="4" fillId="0" borderId="0" xfId="3" quotePrefix="1" applyFont="1" applyFill="1"/>
    <xf numFmtId="9" fontId="6" fillId="0" borderId="0" xfId="3" applyFont="1" applyFill="1"/>
    <xf numFmtId="9" fontId="7" fillId="0" borderId="0" xfId="3" applyFont="1" applyFill="1"/>
    <xf numFmtId="9" fontId="6" fillId="0" borderId="0" xfId="3" quotePrefix="1" applyFont="1" applyFill="1" applyAlignment="1">
      <alignment horizontal="center"/>
    </xf>
    <xf numFmtId="17" fontId="0" fillId="0" borderId="0" xfId="0" quotePrefix="1" applyNumberFormat="1"/>
    <xf numFmtId="17" fontId="5" fillId="0" borderId="0" xfId="0" applyNumberFormat="1" applyFont="1"/>
    <xf numFmtId="17" fontId="7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3" fontId="6" fillId="0" borderId="0" xfId="0" applyNumberFormat="1" applyFont="1"/>
    <xf numFmtId="3" fontId="13" fillId="0" borderId="0" xfId="0" applyNumberFormat="1" applyFont="1"/>
    <xf numFmtId="0" fontId="0" fillId="0" borderId="4" xfId="0" applyBorder="1" applyAlignment="1">
      <alignment horizontal="right"/>
    </xf>
    <xf numFmtId="3" fontId="0" fillId="0" borderId="0" xfId="0" quotePrefix="1" applyNumberFormat="1"/>
    <xf numFmtId="3" fontId="0" fillId="0" borderId="5" xfId="0" applyNumberFormat="1" applyBorder="1"/>
    <xf numFmtId="166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7" fontId="0" fillId="0" borderId="0" xfId="0" applyNumberFormat="1" applyAlignment="1">
      <alignment horizontal="center"/>
    </xf>
    <xf numFmtId="37" fontId="0" fillId="0" borderId="0" xfId="0" applyNumberFormat="1"/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3" fontId="0" fillId="0" borderId="7" xfId="0" quotePrefix="1" applyNumberFormat="1" applyBorder="1"/>
    <xf numFmtId="3" fontId="0" fillId="0" borderId="7" xfId="0" applyNumberFormat="1" applyBorder="1"/>
    <xf numFmtId="179" fontId="6" fillId="0" borderId="0" xfId="0" applyNumberFormat="1" applyFont="1"/>
    <xf numFmtId="4" fontId="6" fillId="0" borderId="0" xfId="0" applyNumberFormat="1" applyFont="1"/>
    <xf numFmtId="169" fontId="6" fillId="0" borderId="0" xfId="0" applyNumberFormat="1" applyFont="1"/>
    <xf numFmtId="166" fontId="0" fillId="0" borderId="0" xfId="0" applyNumberFormat="1"/>
    <xf numFmtId="44" fontId="4" fillId="0" borderId="0" xfId="2" quotePrefix="1" applyFont="1" applyFill="1"/>
    <xf numFmtId="172" fontId="4" fillId="0" borderId="0" xfId="2" quotePrefix="1" applyNumberFormat="1" applyFont="1" applyFill="1"/>
    <xf numFmtId="171" fontId="4" fillId="0" borderId="0" xfId="2" quotePrefix="1" applyNumberFormat="1" applyFont="1" applyFill="1"/>
    <xf numFmtId="17" fontId="0" fillId="0" borderId="0" xfId="0" applyNumberFormat="1" applyAlignment="1">
      <alignment horizontal="right"/>
    </xf>
    <xf numFmtId="44" fontId="4" fillId="0" borderId="0" xfId="2" applyFont="1" applyFill="1"/>
    <xf numFmtId="172" fontId="4" fillId="0" borderId="0" xfId="2" applyNumberFormat="1" applyFont="1" applyFill="1"/>
    <xf numFmtId="171" fontId="4" fillId="0" borderId="0" xfId="2" applyNumberFormat="1" applyFont="1" applyFill="1"/>
    <xf numFmtId="39" fontId="0" fillId="0" borderId="0" xfId="0" applyNumberFormat="1"/>
    <xf numFmtId="171" fontId="0" fillId="0" borderId="0" xfId="2" applyNumberFormat="1" applyFont="1" applyFill="1"/>
    <xf numFmtId="171" fontId="15" fillId="0" borderId="0" xfId="2" applyNumberFormat="1" applyFont="1" applyFill="1"/>
    <xf numFmtId="170" fontId="6" fillId="0" borderId="0" xfId="0" applyNumberFormat="1" applyFont="1"/>
    <xf numFmtId="170" fontId="0" fillId="0" borderId="0" xfId="0" applyNumberFormat="1"/>
    <xf numFmtId="170" fontId="13" fillId="0" borderId="0" xfId="0" applyNumberFormat="1" applyFont="1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 quotePrefix="1" applyAlignment="1">
      <alignment horizontal="right"/>
    </xf>
    <xf numFmtId="171" fontId="6" fillId="0" borderId="0" xfId="2" applyNumberFormat="1" applyFont="1" applyFill="1"/>
    <xf numFmtId="0" fontId="0" fillId="0" borderId="0" xfId="0" quotePrefix="1"/>
    <xf numFmtId="0" fontId="4" fillId="0" borderId="0" xfId="0" quotePrefix="1" applyFont="1" applyAlignment="1">
      <alignment horizontal="center"/>
    </xf>
    <xf numFmtId="44" fontId="0" fillId="0" borderId="0" xfId="2" quotePrefix="1" applyFont="1" applyFill="1"/>
    <xf numFmtId="0" fontId="11" fillId="0" borderId="0" xfId="0" applyFont="1" applyAlignment="1">
      <alignment horizontal="left"/>
    </xf>
    <xf numFmtId="43" fontId="5" fillId="0" borderId="0" xfId="1" quotePrefix="1" applyFont="1" applyFill="1" applyBorder="1"/>
    <xf numFmtId="43" fontId="4" fillId="0" borderId="0" xfId="1" quotePrefix="1" applyFont="1" applyFill="1"/>
    <xf numFmtId="43" fontId="4" fillId="0" borderId="0" xfId="1" quotePrefix="1" applyFont="1" applyFill="1" applyBorder="1"/>
    <xf numFmtId="44" fontId="5" fillId="0" borderId="0" xfId="0" applyNumberFormat="1" applyFont="1"/>
    <xf numFmtId="44" fontId="0" fillId="0" borderId="0" xfId="0" applyNumberFormat="1"/>
    <xf numFmtId="43" fontId="4" fillId="0" borderId="0" xfId="1" applyFont="1" applyFill="1"/>
    <xf numFmtId="177" fontId="5" fillId="0" borderId="0" xfId="1" applyNumberFormat="1" applyFo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16" fillId="0" borderId="0" xfId="0" applyNumberFormat="1" applyFont="1"/>
    <xf numFmtId="0" fontId="17" fillId="0" borderId="0" xfId="0" applyFont="1"/>
    <xf numFmtId="10" fontId="0" fillId="0" borderId="0" xfId="0" applyNumberFormat="1"/>
    <xf numFmtId="0" fontId="4" fillId="0" borderId="0" xfId="0" applyFont="1" applyAlignment="1">
      <alignment horizontal="right"/>
    </xf>
    <xf numFmtId="167" fontId="4" fillId="0" borderId="0" xfId="0" applyNumberFormat="1" applyFont="1"/>
    <xf numFmtId="0" fontId="18" fillId="0" borderId="0" xfId="0" applyFont="1"/>
    <xf numFmtId="44" fontId="5" fillId="0" borderId="0" xfId="2" quotePrefix="1" applyFont="1" applyFill="1" applyBorder="1"/>
    <xf numFmtId="3" fontId="0" fillId="0" borderId="0" xfId="0" applyNumberFormat="1" applyAlignment="1">
      <alignment horizontal="right"/>
    </xf>
    <xf numFmtId="0" fontId="0" fillId="0" borderId="7" xfId="0" applyBorder="1" applyAlignment="1">
      <alignment horizontal="right"/>
    </xf>
    <xf numFmtId="10" fontId="13" fillId="0" borderId="0" xfId="0" applyNumberFormat="1" applyFont="1"/>
    <xf numFmtId="164" fontId="0" fillId="0" borderId="0" xfId="0" applyNumberFormat="1"/>
    <xf numFmtId="173" fontId="4" fillId="0" borderId="0" xfId="2" quotePrefix="1" applyNumberFormat="1" applyFont="1" applyFill="1"/>
    <xf numFmtId="22" fontId="0" fillId="0" borderId="0" xfId="0" applyNumberFormat="1"/>
    <xf numFmtId="0" fontId="11" fillId="0" borderId="0" xfId="0" applyFont="1" applyAlignment="1">
      <alignment horizontal="right"/>
    </xf>
    <xf numFmtId="171" fontId="15" fillId="0" borderId="0" xfId="0" applyNumberFormat="1" applyFont="1"/>
    <xf numFmtId="176" fontId="5" fillId="0" borderId="0" xfId="1" quotePrefix="1" applyNumberFormat="1" applyFont="1" applyFill="1" applyBorder="1"/>
    <xf numFmtId="176" fontId="4" fillId="0" borderId="0" xfId="1" quotePrefix="1" applyNumberFormat="1" applyFont="1" applyFill="1" applyBorder="1"/>
    <xf numFmtId="176" fontId="4" fillId="0" borderId="0" xfId="0" applyNumberFormat="1" applyFont="1" applyAlignment="1">
      <alignment horizontal="right"/>
    </xf>
    <xf numFmtId="9" fontId="6" fillId="0" borderId="9" xfId="3" applyFont="1" applyFill="1" applyBorder="1"/>
    <xf numFmtId="9" fontId="6" fillId="0" borderId="10" xfId="3" applyFont="1" applyFill="1" applyBorder="1"/>
    <xf numFmtId="3" fontId="19" fillId="0" borderId="0" xfId="0" applyNumberFormat="1" applyFont="1" applyAlignment="1">
      <alignment horizontal="right"/>
    </xf>
    <xf numFmtId="0" fontId="0" fillId="0" borderId="7" xfId="0" applyBorder="1" applyAlignment="1">
      <alignment horizontal="center"/>
    </xf>
    <xf numFmtId="9" fontId="23" fillId="0" borderId="0" xfId="3" applyFont="1" applyFill="1"/>
    <xf numFmtId="10" fontId="6" fillId="0" borderId="0" xfId="3" quotePrefix="1" applyNumberFormat="1" applyFont="1" applyFill="1" applyAlignment="1">
      <alignment horizontal="center"/>
    </xf>
    <xf numFmtId="0" fontId="13" fillId="0" borderId="0" xfId="0" applyFont="1"/>
    <xf numFmtId="1" fontId="0" fillId="0" borderId="0" xfId="0" applyNumberFormat="1"/>
    <xf numFmtId="3" fontId="11" fillId="0" borderId="0" xfId="0" applyNumberFormat="1" applyFont="1"/>
    <xf numFmtId="174" fontId="3" fillId="0" borderId="0" xfId="3" applyNumberFormat="1" applyFill="1"/>
    <xf numFmtId="171" fontId="3" fillId="0" borderId="0" xfId="2" applyNumberFormat="1" applyFill="1" applyBorder="1"/>
    <xf numFmtId="171" fontId="3" fillId="0" borderId="7" xfId="2" applyNumberFormat="1" applyFill="1" applyBorder="1"/>
    <xf numFmtId="44" fontId="3" fillId="0" borderId="0" xfId="2" applyFill="1"/>
    <xf numFmtId="172" fontId="3" fillId="0" borderId="0" xfId="2" applyNumberFormat="1" applyFill="1"/>
    <xf numFmtId="171" fontId="3" fillId="0" borderId="0" xfId="2" applyNumberFormat="1" applyFill="1"/>
    <xf numFmtId="44" fontId="3" fillId="0" borderId="0" xfId="2" quotePrefix="1" applyFont="1" applyFill="1"/>
    <xf numFmtId="172" fontId="3" fillId="0" borderId="0" xfId="2" quotePrefix="1" applyNumberFormat="1" applyFont="1" applyFill="1"/>
    <xf numFmtId="3" fontId="3" fillId="0" borderId="0" xfId="2" quotePrefix="1" applyNumberFormat="1" applyFont="1" applyFill="1"/>
    <xf numFmtId="175" fontId="3" fillId="0" borderId="0" xfId="1" applyNumberFormat="1" applyFill="1"/>
    <xf numFmtId="171" fontId="3" fillId="0" borderId="0" xfId="2" applyNumberFormat="1"/>
    <xf numFmtId="9" fontId="3" fillId="0" borderId="0" xfId="3"/>
    <xf numFmtId="171" fontId="3" fillId="0" borderId="0" xfId="3" applyNumberFormat="1"/>
    <xf numFmtId="44" fontId="3" fillId="0" borderId="0" xfId="2"/>
    <xf numFmtId="10" fontId="13" fillId="0" borderId="0" xfId="3" applyNumberFormat="1" applyFont="1" applyFill="1"/>
    <xf numFmtId="169" fontId="13" fillId="0" borderId="0" xfId="0" applyNumberFormat="1" applyFont="1"/>
    <xf numFmtId="9" fontId="5" fillId="0" borderId="0" xfId="0" applyNumberFormat="1" applyFont="1" applyAlignment="1">
      <alignment horizontal="center"/>
    </xf>
    <xf numFmtId="9" fontId="13" fillId="0" borderId="0" xfId="3" quotePrefix="1" applyFont="1" applyFill="1" applyAlignment="1">
      <alignment horizontal="center"/>
    </xf>
    <xf numFmtId="3" fontId="13" fillId="0" borderId="0" xfId="0" applyNumberFormat="1" applyFont="1" applyAlignment="1">
      <alignment horizontal="right"/>
    </xf>
    <xf numFmtId="177" fontId="4" fillId="0" borderId="0" xfId="1" applyNumberFormat="1" applyFont="1"/>
    <xf numFmtId="44" fontId="3" fillId="0" borderId="0" xfId="2" applyFont="1" applyFill="1" applyAlignment="1">
      <alignment horizontal="center"/>
    </xf>
    <xf numFmtId="3" fontId="4" fillId="0" borderId="0" xfId="0" applyNumberFormat="1" applyFont="1" applyAlignment="1">
      <alignment horizontal="right"/>
    </xf>
    <xf numFmtId="179" fontId="13" fillId="0" borderId="0" xfId="0" applyNumberFormat="1" applyFont="1"/>
    <xf numFmtId="17" fontId="0" fillId="0" borderId="0" xfId="0" applyNumberForma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77" fontId="6" fillId="0" borderId="0" xfId="1" applyNumberFormat="1" applyFont="1"/>
    <xf numFmtId="9" fontId="29" fillId="0" borderId="0" xfId="3" applyFont="1" applyFill="1"/>
    <xf numFmtId="17" fontId="13" fillId="0" borderId="0" xfId="0" applyNumberFormat="1" applyFont="1"/>
    <xf numFmtId="17" fontId="29" fillId="0" borderId="0" xfId="0" applyNumberFormat="1" applyFont="1"/>
    <xf numFmtId="9" fontId="22" fillId="0" borderId="0" xfId="3" quotePrefix="1" applyFont="1" applyFill="1"/>
    <xf numFmtId="0" fontId="22" fillId="0" borderId="0" xfId="0" applyFont="1"/>
    <xf numFmtId="178" fontId="6" fillId="0" borderId="0" xfId="1" applyNumberFormat="1" applyFont="1"/>
    <xf numFmtId="9" fontId="4" fillId="0" borderId="11" xfId="3" applyFont="1" applyFill="1" applyBorder="1"/>
    <xf numFmtId="9" fontId="4" fillId="0" borderId="12" xfId="3" applyFont="1" applyFill="1" applyBorder="1"/>
    <xf numFmtId="9" fontId="4" fillId="0" borderId="0" xfId="3" applyFont="1" applyFill="1"/>
    <xf numFmtId="174" fontId="6" fillId="0" borderId="0" xfId="3" applyNumberFormat="1" applyFont="1" applyFill="1" applyBorder="1"/>
    <xf numFmtId="0" fontId="35" fillId="0" borderId="0" xfId="0" applyFont="1" applyAlignment="1">
      <alignment horizontal="center" wrapText="1"/>
    </xf>
    <xf numFmtId="17" fontId="0" fillId="0" borderId="9" xfId="0" applyNumberFormat="1" applyBorder="1"/>
    <xf numFmtId="3" fontId="6" fillId="0" borderId="15" xfId="0" applyNumberFormat="1" applyFont="1" applyBorder="1"/>
    <xf numFmtId="3" fontId="13" fillId="0" borderId="15" xfId="0" applyNumberFormat="1" applyFont="1" applyBorder="1"/>
    <xf numFmtId="3" fontId="13" fillId="0" borderId="10" xfId="0" applyNumberFormat="1" applyFont="1" applyBorder="1"/>
    <xf numFmtId="17" fontId="0" fillId="0" borderId="11" xfId="0" applyNumberFormat="1" applyBorder="1"/>
    <xf numFmtId="3" fontId="13" fillId="0" borderId="13" xfId="0" applyNumberFormat="1" applyFont="1" applyBorder="1"/>
    <xf numFmtId="17" fontId="0" fillId="0" borderId="12" xfId="0" applyNumberFormat="1" applyBorder="1"/>
    <xf numFmtId="3" fontId="6" fillId="0" borderId="16" xfId="0" applyNumberFormat="1" applyFont="1" applyBorder="1"/>
    <xf numFmtId="3" fontId="13" fillId="0" borderId="16" xfId="0" applyNumberFormat="1" applyFont="1" applyBorder="1"/>
    <xf numFmtId="3" fontId="13" fillId="0" borderId="14" xfId="0" applyNumberFormat="1" applyFont="1" applyBorder="1"/>
    <xf numFmtId="3" fontId="13" fillId="0" borderId="17" xfId="0" applyNumberFormat="1" applyFont="1" applyBorder="1"/>
    <xf numFmtId="3" fontId="13" fillId="0" borderId="18" xfId="0" applyNumberFormat="1" applyFont="1" applyBorder="1"/>
    <xf numFmtId="3" fontId="13" fillId="0" borderId="19" xfId="0" applyNumberFormat="1" applyFont="1" applyBorder="1"/>
    <xf numFmtId="3" fontId="27" fillId="0" borderId="0" xfId="0" applyNumberFormat="1" applyFont="1"/>
    <xf numFmtId="3" fontId="0" fillId="0" borderId="2" xfId="0" applyNumberFormat="1" applyBorder="1"/>
    <xf numFmtId="3" fontId="36" fillId="0" borderId="0" xfId="0" applyNumberFormat="1" applyFont="1"/>
    <xf numFmtId="3" fontId="19" fillId="2" borderId="0" xfId="0" applyNumberFormat="1" applyFont="1" applyFill="1"/>
    <xf numFmtId="9" fontId="6" fillId="0" borderId="0" xfId="3" quotePrefix="1" applyFont="1" applyFill="1" applyBorder="1" applyAlignment="1">
      <alignment horizontal="center"/>
    </xf>
    <xf numFmtId="10" fontId="6" fillId="0" borderId="0" xfId="3" quotePrefix="1" applyNumberFormat="1" applyFont="1" applyFill="1" applyBorder="1" applyAlignment="1">
      <alignment horizontal="center"/>
    </xf>
    <xf numFmtId="10" fontId="13" fillId="0" borderId="0" xfId="3" applyNumberFormat="1" applyFont="1" applyFill="1" applyBorder="1"/>
    <xf numFmtId="174" fontId="6" fillId="0" borderId="15" xfId="3" applyNumberFormat="1" applyFont="1" applyFill="1" applyBorder="1"/>
    <xf numFmtId="174" fontId="6" fillId="0" borderId="16" xfId="3" applyNumberFormat="1" applyFont="1" applyFill="1" applyBorder="1"/>
    <xf numFmtId="9" fontId="6" fillId="0" borderId="15" xfId="3" quotePrefix="1" applyFont="1" applyFill="1" applyBorder="1" applyAlignment="1">
      <alignment horizontal="center"/>
    </xf>
    <xf numFmtId="10" fontId="6" fillId="0" borderId="15" xfId="3" quotePrefix="1" applyNumberFormat="1" applyFont="1" applyFill="1" applyBorder="1" applyAlignment="1">
      <alignment horizontal="center"/>
    </xf>
    <xf numFmtId="10" fontId="13" fillId="0" borderId="15" xfId="3" applyNumberFormat="1" applyFont="1" applyFill="1" applyBorder="1"/>
    <xf numFmtId="9" fontId="13" fillId="0" borderId="10" xfId="3" quotePrefix="1" applyFont="1" applyFill="1" applyBorder="1" applyAlignment="1">
      <alignment horizontal="center"/>
    </xf>
    <xf numFmtId="9" fontId="13" fillId="0" borderId="13" xfId="3" quotePrefix="1" applyFont="1" applyFill="1" applyBorder="1" applyAlignment="1">
      <alignment horizontal="center"/>
    </xf>
    <xf numFmtId="9" fontId="6" fillId="0" borderId="16" xfId="3" quotePrefix="1" applyFont="1" applyFill="1" applyBorder="1" applyAlignment="1">
      <alignment horizontal="center"/>
    </xf>
    <xf numFmtId="10" fontId="6" fillId="0" borderId="16" xfId="3" quotePrefix="1" applyNumberFormat="1" applyFont="1" applyFill="1" applyBorder="1" applyAlignment="1">
      <alignment horizontal="center"/>
    </xf>
    <xf numFmtId="10" fontId="13" fillId="0" borderId="16" xfId="3" applyNumberFormat="1" applyFont="1" applyFill="1" applyBorder="1"/>
    <xf numFmtId="9" fontId="13" fillId="0" borderId="14" xfId="3" quotePrefix="1" applyFont="1" applyFill="1" applyBorder="1" applyAlignment="1">
      <alignment horizontal="center"/>
    </xf>
    <xf numFmtId="167" fontId="0" fillId="0" borderId="0" xfId="0" applyNumberFormat="1"/>
    <xf numFmtId="179" fontId="6" fillId="0" borderId="15" xfId="0" applyNumberFormat="1" applyFont="1" applyBorder="1"/>
    <xf numFmtId="179" fontId="13" fillId="0" borderId="15" xfId="0" applyNumberFormat="1" applyFont="1" applyBorder="1"/>
    <xf numFmtId="179" fontId="13" fillId="0" borderId="10" xfId="0" applyNumberFormat="1" applyFont="1" applyBorder="1"/>
    <xf numFmtId="179" fontId="13" fillId="0" borderId="13" xfId="0" applyNumberFormat="1" applyFont="1" applyBorder="1"/>
    <xf numFmtId="179" fontId="6" fillId="0" borderId="16" xfId="0" applyNumberFormat="1" applyFont="1" applyBorder="1"/>
    <xf numFmtId="179" fontId="13" fillId="0" borderId="16" xfId="0" applyNumberFormat="1" applyFont="1" applyBorder="1"/>
    <xf numFmtId="179" fontId="13" fillId="0" borderId="14" xfId="0" applyNumberFormat="1" applyFont="1" applyBorder="1"/>
    <xf numFmtId="10" fontId="13" fillId="0" borderId="10" xfId="3" applyNumberFormat="1" applyFont="1" applyFill="1" applyBorder="1"/>
    <xf numFmtId="10" fontId="13" fillId="0" borderId="13" xfId="3" applyNumberFormat="1" applyFont="1" applyFill="1" applyBorder="1"/>
    <xf numFmtId="10" fontId="13" fillId="0" borderId="14" xfId="3" applyNumberFormat="1" applyFont="1" applyFill="1" applyBorder="1"/>
    <xf numFmtId="0" fontId="37" fillId="0" borderId="0" xfId="0" applyFont="1"/>
    <xf numFmtId="44" fontId="3" fillId="0" borderId="0" xfId="2" applyFon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3" fillId="3" borderId="0" xfId="2" applyFill="1"/>
    <xf numFmtId="0" fontId="5" fillId="3" borderId="0" xfId="0" applyFont="1" applyFill="1" applyAlignment="1">
      <alignment horizontal="center"/>
    </xf>
    <xf numFmtId="177" fontId="5" fillId="3" borderId="0" xfId="1" applyNumberFormat="1" applyFont="1" applyFill="1"/>
    <xf numFmtId="0" fontId="5" fillId="3" borderId="0" xfId="0" applyFont="1" applyFill="1"/>
    <xf numFmtId="0" fontId="0" fillId="3" borderId="0" xfId="0" applyFill="1" applyAlignment="1">
      <alignment horizontal="right"/>
    </xf>
    <xf numFmtId="44" fontId="0" fillId="3" borderId="0" xfId="2" quotePrefix="1" applyFont="1" applyFill="1"/>
    <xf numFmtId="10" fontId="0" fillId="0" borderId="0" xfId="3" applyNumberFormat="1" applyFont="1" applyFill="1"/>
    <xf numFmtId="0" fontId="14" fillId="0" borderId="0" xfId="0" applyFont="1"/>
    <xf numFmtId="177" fontId="5" fillId="0" borderId="0" xfId="1" applyNumberFormat="1" applyFont="1" applyFill="1"/>
    <xf numFmtId="9" fontId="3" fillId="0" borderId="0" xfId="3" quotePrefix="1" applyFont="1" applyFill="1"/>
    <xf numFmtId="181" fontId="0" fillId="0" borderId="0" xfId="3" applyNumberFormat="1" applyFont="1" applyFill="1"/>
    <xf numFmtId="0" fontId="7" fillId="3" borderId="0" xfId="0" applyFont="1" applyFill="1"/>
    <xf numFmtId="17" fontId="0" fillId="3" borderId="0" xfId="0" applyNumberFormat="1" applyFill="1"/>
    <xf numFmtId="43" fontId="5" fillId="3" borderId="0" xfId="1" quotePrefix="1" applyFont="1" applyFill="1" applyBorder="1"/>
    <xf numFmtId="176" fontId="5" fillId="3" borderId="0" xfId="1" quotePrefix="1" applyNumberFormat="1" applyFont="1" applyFill="1" applyBorder="1"/>
    <xf numFmtId="17" fontId="0" fillId="3" borderId="0" xfId="0" applyNumberFormat="1" applyFill="1" applyAlignment="1">
      <alignment horizontal="right"/>
    </xf>
    <xf numFmtId="43" fontId="4" fillId="3" borderId="0" xfId="1" quotePrefix="1" applyFont="1" applyFill="1" applyBorder="1"/>
    <xf numFmtId="176" fontId="4" fillId="3" borderId="0" xfId="1" quotePrefix="1" applyNumberFormat="1" applyFont="1" applyFill="1" applyBorder="1"/>
    <xf numFmtId="43" fontId="4" fillId="3" borderId="0" xfId="1" quotePrefix="1" applyFont="1" applyFill="1"/>
    <xf numFmtId="176" fontId="4" fillId="3" borderId="0" xfId="1" quotePrefix="1" applyNumberFormat="1" applyFont="1" applyFill="1"/>
    <xf numFmtId="176" fontId="5" fillId="3" borderId="0" xfId="1" quotePrefix="1" applyNumberFormat="1" applyFont="1" applyFill="1"/>
    <xf numFmtId="0" fontId="8" fillId="0" borderId="0" xfId="0" quotePrefix="1" applyFont="1" applyAlignment="1">
      <alignment horizontal="center"/>
    </xf>
    <xf numFmtId="44" fontId="0" fillId="0" borderId="0" xfId="2" applyFont="1" applyFill="1"/>
    <xf numFmtId="169" fontId="0" fillId="0" borderId="0" xfId="3" applyNumberFormat="1" applyFont="1" applyFill="1"/>
    <xf numFmtId="166" fontId="0" fillId="0" borderId="0" xfId="0" applyNumberFormat="1" applyAlignment="1">
      <alignment horizontal="right"/>
    </xf>
    <xf numFmtId="168" fontId="0" fillId="0" borderId="0" xfId="3" applyNumberFormat="1" applyFont="1" applyFill="1"/>
    <xf numFmtId="168" fontId="0" fillId="0" borderId="0" xfId="3" quotePrefix="1" applyNumberFormat="1" applyFont="1" applyFill="1"/>
    <xf numFmtId="9" fontId="4" fillId="0" borderId="13" xfId="3" applyFont="1" applyFill="1" applyBorder="1"/>
    <xf numFmtId="9" fontId="4" fillId="0" borderId="14" xfId="3" applyFont="1" applyFill="1" applyBorder="1"/>
    <xf numFmtId="0" fontId="32" fillId="0" borderId="0" xfId="0" applyFont="1"/>
    <xf numFmtId="0" fontId="0" fillId="3" borderId="0" xfId="0" applyFill="1" applyAlignment="1">
      <alignment horizontal="left"/>
    </xf>
    <xf numFmtId="44" fontId="3" fillId="3" borderId="0" xfId="2" quotePrefix="1" applyFont="1" applyFill="1" applyAlignment="1">
      <alignment horizontal="left"/>
    </xf>
    <xf numFmtId="182" fontId="6" fillId="0" borderId="0" xfId="0" applyNumberFormat="1" applyFont="1"/>
    <xf numFmtId="182" fontId="0" fillId="0" borderId="0" xfId="0" applyNumberFormat="1"/>
    <xf numFmtId="2" fontId="0" fillId="0" borderId="0" xfId="0" applyNumberFormat="1"/>
    <xf numFmtId="175" fontId="4" fillId="0" borderId="0" xfId="1" applyNumberFormat="1" applyFont="1" applyFill="1" applyAlignment="1">
      <alignment horizontal="center"/>
    </xf>
    <xf numFmtId="175" fontId="5" fillId="0" borderId="0" xfId="1" applyNumberFormat="1" applyFont="1" applyFill="1" applyAlignment="1">
      <alignment horizontal="center"/>
    </xf>
    <xf numFmtId="175" fontId="5" fillId="0" borderId="0" xfId="1" applyNumberFormat="1" applyFont="1" applyFill="1"/>
    <xf numFmtId="0" fontId="22" fillId="0" borderId="0" xfId="0" applyFont="1" applyAlignment="1">
      <alignment horizontal="left"/>
    </xf>
    <xf numFmtId="169" fontId="0" fillId="0" borderId="0" xfId="0" applyNumberFormat="1"/>
    <xf numFmtId="175" fontId="11" fillId="0" borderId="0" xfId="1" applyNumberFormat="1" applyFont="1" applyFill="1"/>
    <xf numFmtId="174" fontId="0" fillId="0" borderId="0" xfId="3" applyNumberFormat="1" applyFont="1" applyFill="1"/>
    <xf numFmtId="14" fontId="0" fillId="0" borderId="0" xfId="0" applyNumberFormat="1"/>
    <xf numFmtId="10" fontId="40" fillId="0" borderId="0" xfId="3" applyNumberFormat="1" applyFont="1" applyFill="1" applyAlignment="1">
      <alignment horizontal="center"/>
    </xf>
    <xf numFmtId="9" fontId="23" fillId="4" borderId="0" xfId="3" applyFont="1" applyFill="1"/>
    <xf numFmtId="3" fontId="19" fillId="4" borderId="0" xfId="0" applyNumberFormat="1" applyFont="1" applyFill="1"/>
    <xf numFmtId="3" fontId="24" fillId="4" borderId="0" xfId="0" applyNumberFormat="1" applyFont="1" applyFill="1"/>
    <xf numFmtId="3" fontId="31" fillId="4" borderId="0" xfId="0" applyNumberFormat="1" applyFont="1" applyFill="1"/>
    <xf numFmtId="3" fontId="25" fillId="5" borderId="0" xfId="0" applyNumberFormat="1" applyFont="1" applyFill="1"/>
    <xf numFmtId="9" fontId="28" fillId="5" borderId="0" xfId="3" applyFont="1" applyFill="1" applyAlignment="1">
      <alignment horizontal="right"/>
    </xf>
    <xf numFmtId="0" fontId="5" fillId="0" borderId="0" xfId="0" applyFont="1" applyAlignment="1">
      <alignment horizontal="left"/>
    </xf>
    <xf numFmtId="3" fontId="41" fillId="0" borderId="0" xfId="0" applyNumberFormat="1" applyFont="1"/>
    <xf numFmtId="0" fontId="41" fillId="0" borderId="0" xfId="0" applyFont="1"/>
    <xf numFmtId="0" fontId="4" fillId="0" borderId="0" xfId="0" quotePrefix="1" applyFont="1"/>
    <xf numFmtId="3" fontId="24" fillId="4" borderId="0" xfId="0" applyNumberFormat="1" applyFont="1" applyFill="1" applyAlignment="1">
      <alignment horizontal="center"/>
    </xf>
    <xf numFmtId="3" fontId="4" fillId="5" borderId="0" xfId="0" applyNumberFormat="1" applyFont="1" applyFill="1"/>
    <xf numFmtId="1" fontId="40" fillId="0" borderId="0" xfId="3" applyNumberFormat="1" applyFont="1" applyFill="1" applyAlignment="1">
      <alignment horizontal="center"/>
    </xf>
    <xf numFmtId="165" fontId="0" fillId="0" borderId="0" xfId="0" applyNumberFormat="1"/>
    <xf numFmtId="3" fontId="26" fillId="5" borderId="0" xfId="0" applyNumberFormat="1" applyFont="1" applyFill="1"/>
    <xf numFmtId="17" fontId="44" fillId="0" borderId="0" xfId="0" applyNumberFormat="1" applyFont="1"/>
    <xf numFmtId="3" fontId="45" fillId="4" borderId="0" xfId="0" applyNumberFormat="1" applyFont="1" applyFill="1"/>
    <xf numFmtId="3" fontId="38" fillId="4" borderId="0" xfId="0" applyNumberFormat="1" applyFont="1" applyFill="1"/>
    <xf numFmtId="3" fontId="42" fillId="4" borderId="0" xfId="0" applyNumberFormat="1" applyFont="1" applyFill="1"/>
    <xf numFmtId="3" fontId="44" fillId="0" borderId="0" xfId="0" applyNumberFormat="1" applyFont="1"/>
    <xf numFmtId="175" fontId="44" fillId="0" borderId="0" xfId="1" applyNumberFormat="1" applyFont="1" applyFill="1"/>
    <xf numFmtId="44" fontId="13" fillId="0" borderId="13" xfId="2" applyFont="1" applyFill="1" applyBorder="1"/>
    <xf numFmtId="10" fontId="13" fillId="0" borderId="13" xfId="3" applyNumberFormat="1" applyFont="1" applyBorder="1"/>
    <xf numFmtId="10" fontId="13" fillId="0" borderId="18" xfId="3" applyNumberFormat="1" applyFont="1" applyBorder="1"/>
    <xf numFmtId="9" fontId="3" fillId="0" borderId="0" xfId="3" applyFont="1" applyAlignment="1">
      <alignment horizontal="left"/>
    </xf>
    <xf numFmtId="9" fontId="11" fillId="0" borderId="0" xfId="3" applyFont="1" applyAlignment="1">
      <alignment horizontal="left"/>
    </xf>
    <xf numFmtId="183" fontId="3" fillId="0" borderId="18" xfId="2" applyNumberFormat="1" applyBorder="1"/>
    <xf numFmtId="183" fontId="15" fillId="0" borderId="18" xfId="2" applyNumberFormat="1" applyFont="1" applyBorder="1"/>
    <xf numFmtId="0" fontId="3" fillId="0" borderId="0" xfId="0" applyFont="1"/>
    <xf numFmtId="3" fontId="3" fillId="0" borderId="0" xfId="0" applyNumberFormat="1" applyFont="1"/>
    <xf numFmtId="171" fontId="3" fillId="0" borderId="0" xfId="2" quotePrefix="1" applyNumberFormat="1" applyFont="1" applyFill="1"/>
    <xf numFmtId="0" fontId="3" fillId="0" borderId="0" xfId="4"/>
    <xf numFmtId="22" fontId="3" fillId="0" borderId="0" xfId="4" applyNumberFormat="1" applyAlignment="1">
      <alignment horizontal="center"/>
    </xf>
    <xf numFmtId="22" fontId="3" fillId="0" borderId="0" xfId="4" applyNumberFormat="1"/>
    <xf numFmtId="22" fontId="5" fillId="0" borderId="0" xfId="4" applyNumberFormat="1" applyFont="1" applyAlignment="1">
      <alignment horizontal="center"/>
    </xf>
    <xf numFmtId="0" fontId="3" fillId="0" borderId="0" xfId="4" quotePrefix="1"/>
    <xf numFmtId="22" fontId="5" fillId="0" borderId="21" xfId="4" applyNumberFormat="1" applyFont="1" applyBorder="1" applyAlignment="1">
      <alignment horizontal="center" wrapText="1"/>
    </xf>
    <xf numFmtId="0" fontId="5" fillId="0" borderId="0" xfId="4" applyFont="1"/>
    <xf numFmtId="0" fontId="3" fillId="0" borderId="21" xfId="4" applyBorder="1" applyAlignment="1">
      <alignment horizontal="center" wrapText="1"/>
    </xf>
    <xf numFmtId="0" fontId="3" fillId="0" borderId="22" xfId="4" applyBorder="1" applyAlignment="1">
      <alignment horizontal="center" wrapText="1"/>
    </xf>
    <xf numFmtId="0" fontId="3" fillId="0" borderId="17" xfId="4" quotePrefix="1" applyBorder="1" applyAlignment="1">
      <alignment horizontal="center"/>
    </xf>
    <xf numFmtId="0" fontId="3" fillId="0" borderId="0" xfId="4" applyAlignment="1">
      <alignment horizontal="left"/>
    </xf>
    <xf numFmtId="7" fontId="3" fillId="0" borderId="18" xfId="2" applyNumberFormat="1" applyFont="1" applyFill="1" applyBorder="1"/>
    <xf numFmtId="44" fontId="3" fillId="0" borderId="0" xfId="4" applyNumberFormat="1"/>
    <xf numFmtId="0" fontId="11" fillId="0" borderId="0" xfId="4" applyFont="1" applyAlignment="1">
      <alignment horizontal="left"/>
    </xf>
    <xf numFmtId="1" fontId="3" fillId="0" borderId="18" xfId="3" applyNumberFormat="1" applyFont="1" applyFill="1" applyBorder="1"/>
    <xf numFmtId="10" fontId="13" fillId="0" borderId="13" xfId="4" applyNumberFormat="1" applyFont="1" applyBorder="1"/>
    <xf numFmtId="0" fontId="13" fillId="0" borderId="18" xfId="4" applyFont="1" applyBorder="1"/>
    <xf numFmtId="0" fontId="13" fillId="0" borderId="13" xfId="4" applyFont="1" applyBorder="1"/>
    <xf numFmtId="167" fontId="3" fillId="0" borderId="18" xfId="4" applyNumberFormat="1" applyBorder="1"/>
    <xf numFmtId="167" fontId="13" fillId="0" borderId="13" xfId="4" applyNumberFormat="1" applyFont="1" applyBorder="1"/>
    <xf numFmtId="167" fontId="13" fillId="0" borderId="18" xfId="4" applyNumberFormat="1" applyFont="1" applyBorder="1"/>
    <xf numFmtId="0" fontId="3" fillId="0" borderId="18" xfId="4" applyBorder="1"/>
    <xf numFmtId="0" fontId="3" fillId="0" borderId="13" xfId="4" applyBorder="1"/>
    <xf numFmtId="0" fontId="11" fillId="0" borderId="0" xfId="4" applyFont="1" applyAlignment="1">
      <alignment horizontal="left" wrapText="1"/>
    </xf>
    <xf numFmtId="3" fontId="3" fillId="0" borderId="18" xfId="4" applyNumberFormat="1" applyBorder="1"/>
    <xf numFmtId="0" fontId="7" fillId="0" borderId="0" xfId="4" applyFont="1" applyAlignment="1">
      <alignment horizontal="left"/>
    </xf>
    <xf numFmtId="183" fontId="3" fillId="0" borderId="19" xfId="4" applyNumberFormat="1" applyBorder="1"/>
    <xf numFmtId="183" fontId="3" fillId="0" borderId="14" xfId="4" applyNumberFormat="1" applyBorder="1"/>
    <xf numFmtId="183" fontId="3" fillId="0" borderId="0" xfId="4" applyNumberFormat="1"/>
    <xf numFmtId="184" fontId="3" fillId="0" borderId="0" xfId="4" applyNumberFormat="1"/>
    <xf numFmtId="0" fontId="3" fillId="0" borderId="0" xfId="0" applyFont="1" applyAlignment="1">
      <alignment horizontal="right"/>
    </xf>
    <xf numFmtId="183" fontId="0" fillId="0" borderId="0" xfId="0" applyNumberFormat="1"/>
    <xf numFmtId="0" fontId="3" fillId="0" borderId="0" xfId="4" applyAlignment="1">
      <alignment horizontal="right"/>
    </xf>
    <xf numFmtId="183" fontId="0" fillId="0" borderId="0" xfId="0" applyNumberFormat="1" applyAlignment="1">
      <alignment horizontal="center"/>
    </xf>
    <xf numFmtId="9" fontId="0" fillId="0" borderId="0" xfId="3" applyFont="1" applyFill="1"/>
    <xf numFmtId="0" fontId="48" fillId="0" borderId="0" xfId="0" applyFont="1" applyAlignment="1">
      <alignment horizontal="right"/>
    </xf>
    <xf numFmtId="3" fontId="48" fillId="0" borderId="0" xfId="0" applyNumberFormat="1" applyFont="1"/>
    <xf numFmtId="184" fontId="0" fillId="0" borderId="0" xfId="0" applyNumberFormat="1"/>
    <xf numFmtId="7" fontId="0" fillId="0" borderId="0" xfId="0" applyNumberFormat="1"/>
    <xf numFmtId="167" fontId="0" fillId="0" borderId="0" xfId="0" applyNumberFormat="1" applyAlignment="1">
      <alignment horizontal="right"/>
    </xf>
    <xf numFmtId="167" fontId="4" fillId="0" borderId="0" xfId="2" quotePrefix="1" applyNumberFormat="1" applyFont="1" applyFill="1" applyBorder="1"/>
    <xf numFmtId="44" fontId="4" fillId="0" borderId="0" xfId="2" quotePrefix="1" applyFont="1" applyFill="1" applyBorder="1"/>
    <xf numFmtId="167" fontId="3" fillId="0" borderId="0" xfId="0" applyNumberFormat="1" applyFont="1"/>
    <xf numFmtId="174" fontId="3" fillId="0" borderId="0" xfId="3" applyNumberFormat="1"/>
    <xf numFmtId="175" fontId="3" fillId="0" borderId="0" xfId="1" applyNumberFormat="1"/>
    <xf numFmtId="185" fontId="0" fillId="0" borderId="0" xfId="1" applyNumberFormat="1" applyFont="1" applyFill="1"/>
    <xf numFmtId="175" fontId="0" fillId="0" borderId="0" xfId="1" applyNumberFormat="1" applyFont="1" applyFill="1"/>
    <xf numFmtId="183" fontId="49" fillId="0" borderId="0" xfId="0" applyNumberFormat="1" applyFont="1"/>
    <xf numFmtId="0" fontId="49" fillId="0" borderId="0" xfId="0" applyFont="1"/>
    <xf numFmtId="0" fontId="3" fillId="0" borderId="0" xfId="0" quotePrefix="1" applyFont="1"/>
    <xf numFmtId="174" fontId="0" fillId="0" borderId="0" xfId="0" applyNumberFormat="1"/>
    <xf numFmtId="10" fontId="5" fillId="0" borderId="0" xfId="3" applyNumberFormat="1" applyFont="1" applyFill="1"/>
    <xf numFmtId="10" fontId="5" fillId="0" borderId="0" xfId="3" applyNumberFormat="1" applyFont="1" applyFill="1" applyAlignment="1">
      <alignment horizontal="right"/>
    </xf>
    <xf numFmtId="183" fontId="5" fillId="0" borderId="20" xfId="0" applyNumberFormat="1" applyFont="1" applyBorder="1"/>
    <xf numFmtId="10" fontId="50" fillId="0" borderId="0" xfId="3" quotePrefix="1" applyNumberFormat="1" applyFont="1" applyFill="1"/>
    <xf numFmtId="44" fontId="50" fillId="0" borderId="0" xfId="2" quotePrefix="1" applyFont="1" applyFill="1"/>
    <xf numFmtId="0" fontId="50" fillId="0" borderId="0" xfId="0" applyFont="1"/>
    <xf numFmtId="0" fontId="51" fillId="0" borderId="0" xfId="0" quotePrefix="1" applyFont="1"/>
    <xf numFmtId="0" fontId="3" fillId="0" borderId="13" xfId="4" quotePrefix="1" applyBorder="1" applyAlignment="1">
      <alignment horizontal="center"/>
    </xf>
    <xf numFmtId="167" fontId="5" fillId="0" borderId="0" xfId="0" applyNumberFormat="1" applyFont="1"/>
    <xf numFmtId="0" fontId="3" fillId="0" borderId="0" xfId="4" applyAlignment="1">
      <alignment vertical="top"/>
    </xf>
    <xf numFmtId="0" fontId="5" fillId="0" borderId="0" xfId="4" applyFont="1" applyAlignment="1">
      <alignment vertical="top" wrapText="1"/>
    </xf>
    <xf numFmtId="184" fontId="3" fillId="0" borderId="0" xfId="4" applyNumberFormat="1" applyAlignment="1">
      <alignment vertical="top" wrapText="1"/>
    </xf>
    <xf numFmtId="0" fontId="3" fillId="0" borderId="0" xfId="4" quotePrefix="1" applyAlignment="1">
      <alignment horizontal="left" vertical="top"/>
    </xf>
    <xf numFmtId="44" fontId="46" fillId="0" borderId="0" xfId="2" quotePrefix="1" applyFont="1" applyFill="1"/>
    <xf numFmtId="8" fontId="3" fillId="0" borderId="0" xfId="2" applyNumberFormat="1" applyFont="1" applyFill="1"/>
    <xf numFmtId="0" fontId="46" fillId="0" borderId="0" xfId="0" applyFont="1"/>
    <xf numFmtId="8" fontId="46" fillId="0" borderId="0" xfId="0" applyNumberFormat="1" applyFont="1"/>
    <xf numFmtId="184" fontId="52" fillId="0" borderId="0" xfId="0" applyNumberFormat="1" applyFont="1"/>
    <xf numFmtId="175" fontId="46" fillId="0" borderId="0" xfId="1" applyNumberFormat="1" applyFont="1" applyFill="1" applyBorder="1"/>
    <xf numFmtId="0" fontId="3" fillId="0" borderId="0" xfId="0" applyFont="1" applyAlignment="1">
      <alignment horizontal="left"/>
    </xf>
    <xf numFmtId="3" fontId="46" fillId="0" borderId="0" xfId="0" applyNumberFormat="1" applyFont="1"/>
    <xf numFmtId="175" fontId="0" fillId="0" borderId="0" xfId="0" applyNumberFormat="1"/>
    <xf numFmtId="174" fontId="0" fillId="0" borderId="0" xfId="3" applyNumberFormat="1" applyFont="1" applyFill="1" applyBorder="1"/>
    <xf numFmtId="183" fontId="46" fillId="0" borderId="0" xfId="0" applyNumberFormat="1" applyFont="1"/>
    <xf numFmtId="9" fontId="0" fillId="0" borderId="0" xfId="3" applyFont="1" applyFill="1" applyBorder="1"/>
    <xf numFmtId="2" fontId="48" fillId="0" borderId="0" xfId="0" applyNumberFormat="1" applyFont="1"/>
    <xf numFmtId="184" fontId="46" fillId="0" borderId="0" xfId="0" applyNumberFormat="1" applyFont="1"/>
    <xf numFmtId="10" fontId="0" fillId="0" borderId="0" xfId="3" applyNumberFormat="1" applyFont="1" applyFill="1" applyBorder="1"/>
    <xf numFmtId="174" fontId="46" fillId="0" borderId="0" xfId="3" applyNumberFormat="1" applyFont="1" applyFill="1" applyBorder="1"/>
    <xf numFmtId="174" fontId="5" fillId="0" borderId="0" xfId="3" applyNumberFormat="1" applyFont="1" applyFill="1" applyBorder="1" applyAlignment="1" applyProtection="1">
      <alignment horizontal="right"/>
    </xf>
    <xf numFmtId="44" fontId="0" fillId="0" borderId="0" xfId="2" applyFont="1" applyFill="1" applyBorder="1"/>
    <xf numFmtId="174" fontId="5" fillId="0" borderId="0" xfId="3" applyNumberFormat="1" applyFont="1" applyFill="1" applyBorder="1"/>
    <xf numFmtId="0" fontId="46" fillId="0" borderId="0" xfId="0" quotePrefix="1" applyFont="1" applyAlignment="1">
      <alignment wrapText="1"/>
    </xf>
    <xf numFmtId="0" fontId="3" fillId="0" borderId="0" xfId="4" applyAlignment="1">
      <alignment horizontal="left" wrapText="1"/>
    </xf>
    <xf numFmtId="184" fontId="5" fillId="0" borderId="0" xfId="2" applyNumberFormat="1" applyFont="1" applyFill="1"/>
    <xf numFmtId="43" fontId="3" fillId="0" borderId="0" xfId="1" applyFont="1" applyFill="1" applyAlignment="1">
      <alignment horizontal="left"/>
    </xf>
    <xf numFmtId="174" fontId="46" fillId="0" borderId="0" xfId="3" applyNumberFormat="1" applyFont="1" applyFill="1"/>
    <xf numFmtId="17" fontId="6" fillId="0" borderId="0" xfId="0" applyNumberFormat="1" applyFont="1"/>
    <xf numFmtId="4" fontId="6" fillId="0" borderId="15" xfId="0" applyNumberFormat="1" applyFont="1" applyBorder="1"/>
    <xf numFmtId="4" fontId="6" fillId="0" borderId="16" xfId="0" applyNumberFormat="1" applyFont="1" applyBorder="1"/>
    <xf numFmtId="186" fontId="13" fillId="0" borderId="0" xfId="0" applyNumberFormat="1" applyFont="1"/>
    <xf numFmtId="8" fontId="46" fillId="0" borderId="0" xfId="0" applyNumberFormat="1" applyFont="1" applyAlignment="1">
      <alignment horizontal="right"/>
    </xf>
    <xf numFmtId="184" fontId="52" fillId="0" borderId="0" xfId="0" applyNumberFormat="1" applyFont="1" applyAlignment="1">
      <alignment horizontal="right"/>
    </xf>
    <xf numFmtId="8" fontId="6" fillId="0" borderId="0" xfId="2" applyNumberFormat="1" applyFont="1" applyFill="1" applyAlignment="1">
      <alignment horizontal="right"/>
    </xf>
    <xf numFmtId="0" fontId="3" fillId="0" borderId="0" xfId="4" applyAlignment="1">
      <alignment wrapText="1"/>
    </xf>
    <xf numFmtId="17" fontId="44" fillId="0" borderId="9" xfId="0" applyNumberFormat="1" applyFont="1" applyBorder="1"/>
    <xf numFmtId="3" fontId="19" fillId="4" borderId="15" xfId="0" applyNumberFormat="1" applyFont="1" applyFill="1" applyBorder="1"/>
    <xf numFmtId="3" fontId="24" fillId="4" borderId="15" xfId="0" applyNumberFormat="1" applyFont="1" applyFill="1" applyBorder="1"/>
    <xf numFmtId="3" fontId="0" fillId="0" borderId="15" xfId="0" applyNumberFormat="1" applyBorder="1"/>
    <xf numFmtId="3" fontId="25" fillId="5" borderId="15" xfId="0" applyNumberFormat="1" applyFont="1" applyFill="1" applyBorder="1"/>
    <xf numFmtId="0" fontId="0" fillId="0" borderId="15" xfId="0" applyBorder="1"/>
    <xf numFmtId="3" fontId="4" fillId="5" borderId="15" xfId="0" applyNumberFormat="1" applyFont="1" applyFill="1" applyBorder="1"/>
    <xf numFmtId="0" fontId="6" fillId="0" borderId="15" xfId="0" applyFont="1" applyBorder="1"/>
    <xf numFmtId="3" fontId="6" fillId="0" borderId="10" xfId="0" applyNumberFormat="1" applyFont="1" applyBorder="1"/>
    <xf numFmtId="17" fontId="44" fillId="0" borderId="11" xfId="0" applyNumberFormat="1" applyFont="1" applyBorder="1"/>
    <xf numFmtId="3" fontId="6" fillId="0" borderId="13" xfId="0" applyNumberFormat="1" applyFont="1" applyBorder="1"/>
    <xf numFmtId="17" fontId="44" fillId="0" borderId="12" xfId="0" applyNumberFormat="1" applyFont="1" applyBorder="1"/>
    <xf numFmtId="3" fontId="19" fillId="4" borderId="16" xfId="0" applyNumberFormat="1" applyFont="1" applyFill="1" applyBorder="1"/>
    <xf numFmtId="3" fontId="24" fillId="4" borderId="16" xfId="0" applyNumberFormat="1" applyFont="1" applyFill="1" applyBorder="1"/>
    <xf numFmtId="3" fontId="0" fillId="0" borderId="16" xfId="0" applyNumberFormat="1" applyBorder="1"/>
    <xf numFmtId="3" fontId="25" fillId="5" borderId="16" xfId="0" applyNumberFormat="1" applyFont="1" applyFill="1" applyBorder="1"/>
    <xf numFmtId="0" fontId="6" fillId="0" borderId="16" xfId="0" quotePrefix="1" applyFont="1" applyBorder="1"/>
    <xf numFmtId="3" fontId="4" fillId="5" borderId="16" xfId="0" applyNumberFormat="1" applyFont="1" applyFill="1" applyBorder="1"/>
    <xf numFmtId="0" fontId="0" fillId="0" borderId="16" xfId="0" applyBorder="1"/>
    <xf numFmtId="0" fontId="6" fillId="0" borderId="16" xfId="0" applyFont="1" applyBorder="1"/>
    <xf numFmtId="3" fontId="6" fillId="0" borderId="14" xfId="0" applyNumberFormat="1" applyFont="1" applyBorder="1"/>
    <xf numFmtId="0" fontId="46" fillId="0" borderId="0" xfId="4" applyFont="1"/>
    <xf numFmtId="0" fontId="5" fillId="0" borderId="0" xfId="4" applyFont="1" applyAlignment="1">
      <alignment horizontal="center" wrapText="1"/>
    </xf>
    <xf numFmtId="0" fontId="3" fillId="0" borderId="0" xfId="4" applyAlignment="1">
      <alignment horizontal="center" wrapText="1"/>
    </xf>
    <xf numFmtId="0" fontId="47" fillId="0" borderId="0" xfId="4" applyFont="1" applyAlignment="1">
      <alignment horizontal="center" wrapText="1"/>
    </xf>
    <xf numFmtId="0" fontId="5" fillId="0" borderId="0" xfId="4" applyFont="1" applyAlignment="1">
      <alignment vertical="top"/>
    </xf>
    <xf numFmtId="0" fontId="3" fillId="0" borderId="0" xfId="4" applyAlignment="1">
      <alignment horizontal="left" vertical="top"/>
    </xf>
    <xf numFmtId="0" fontId="3" fillId="0" borderId="0" xfId="4" applyAlignment="1">
      <alignment vertical="center"/>
    </xf>
    <xf numFmtId="0" fontId="5" fillId="0" borderId="0" xfId="4" applyFont="1" applyAlignment="1">
      <alignment vertical="center" wrapText="1"/>
    </xf>
    <xf numFmtId="7" fontId="11" fillId="0" borderId="18" xfId="2" applyNumberFormat="1" applyFont="1" applyFill="1" applyBorder="1"/>
    <xf numFmtId="9" fontId="0" fillId="0" borderId="0" xfId="3" applyFont="1" applyFill="1" applyAlignment="1">
      <alignment horizontal="right"/>
    </xf>
    <xf numFmtId="9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8" fontId="3" fillId="0" borderId="0" xfId="4" applyNumberFormat="1"/>
    <xf numFmtId="22" fontId="7" fillId="0" borderId="21" xfId="4" applyNumberFormat="1" applyFont="1" applyBorder="1" applyAlignment="1">
      <alignment horizontal="center" wrapText="1"/>
    </xf>
    <xf numFmtId="22" fontId="7" fillId="0" borderId="22" xfId="4" applyNumberFormat="1" applyFont="1" applyBorder="1" applyAlignment="1">
      <alignment horizontal="center" wrapText="1"/>
    </xf>
    <xf numFmtId="184" fontId="52" fillId="9" borderId="18" xfId="4" applyNumberFormat="1" applyFont="1" applyFill="1" applyBorder="1"/>
    <xf numFmtId="10" fontId="46" fillId="0" borderId="0" xfId="3" quotePrefix="1" applyNumberFormat="1" applyFont="1" applyFill="1" applyAlignment="1">
      <alignment horizontal="right"/>
    </xf>
    <xf numFmtId="10" fontId="46" fillId="0" borderId="0" xfId="3" applyNumberFormat="1" applyFont="1" applyFill="1"/>
    <xf numFmtId="10" fontId="46" fillId="0" borderId="15" xfId="3" quotePrefix="1" applyNumberFormat="1" applyFont="1" applyFill="1" applyBorder="1" applyAlignment="1">
      <alignment horizontal="right"/>
    </xf>
    <xf numFmtId="9" fontId="13" fillId="0" borderId="15" xfId="3" quotePrefix="1" applyFont="1" applyFill="1" applyBorder="1" applyAlignment="1">
      <alignment horizontal="center"/>
    </xf>
    <xf numFmtId="10" fontId="46" fillId="0" borderId="15" xfId="3" applyNumberFormat="1" applyFont="1" applyFill="1" applyBorder="1"/>
    <xf numFmtId="10" fontId="46" fillId="0" borderId="0" xfId="3" quotePrefix="1" applyNumberFormat="1" applyFont="1" applyFill="1" applyBorder="1" applyAlignment="1">
      <alignment horizontal="right"/>
    </xf>
    <xf numFmtId="9" fontId="13" fillId="0" borderId="0" xfId="3" quotePrefix="1" applyFont="1" applyFill="1" applyBorder="1" applyAlignment="1">
      <alignment horizontal="center"/>
    </xf>
    <xf numFmtId="10" fontId="46" fillId="0" borderId="0" xfId="3" applyNumberFormat="1" applyFont="1" applyFill="1" applyBorder="1"/>
    <xf numFmtId="10" fontId="46" fillId="0" borderId="16" xfId="3" quotePrefix="1" applyNumberFormat="1" applyFont="1" applyFill="1" applyBorder="1" applyAlignment="1">
      <alignment horizontal="right"/>
    </xf>
    <xf numFmtId="9" fontId="13" fillId="0" borderId="16" xfId="3" quotePrefix="1" applyFont="1" applyFill="1" applyBorder="1" applyAlignment="1">
      <alignment horizontal="center"/>
    </xf>
    <xf numFmtId="10" fontId="46" fillId="0" borderId="16" xfId="3" applyNumberFormat="1" applyFont="1" applyFill="1" applyBorder="1"/>
    <xf numFmtId="3" fontId="46" fillId="5" borderId="0" xfId="0" applyNumberFormat="1" applyFont="1" applyFill="1"/>
    <xf numFmtId="3" fontId="46" fillId="5" borderId="15" xfId="0" applyNumberFormat="1" applyFont="1" applyFill="1" applyBorder="1"/>
    <xf numFmtId="3" fontId="46" fillId="5" borderId="16" xfId="0" applyNumberFormat="1" applyFont="1" applyFill="1" applyBorder="1"/>
    <xf numFmtId="0" fontId="5" fillId="0" borderId="0" xfId="4" applyFont="1" applyAlignment="1">
      <alignment vertical="center"/>
    </xf>
    <xf numFmtId="0" fontId="14" fillId="0" borderId="0" xfId="4" applyFont="1" applyAlignment="1">
      <alignment vertical="center" wrapText="1"/>
    </xf>
    <xf numFmtId="165" fontId="48" fillId="0" borderId="0" xfId="0" applyNumberFormat="1" applyFont="1"/>
    <xf numFmtId="179" fontId="46" fillId="0" borderId="0" xfId="0" applyNumberFormat="1" applyFont="1"/>
    <xf numFmtId="1" fontId="46" fillId="0" borderId="18" xfId="3" applyNumberFormat="1" applyFont="1" applyFill="1" applyBorder="1"/>
    <xf numFmtId="167" fontId="6" fillId="0" borderId="0" xfId="0" applyNumberFormat="1" applyFont="1"/>
    <xf numFmtId="179" fontId="4" fillId="0" borderId="0" xfId="0" applyNumberFormat="1" applyFont="1"/>
    <xf numFmtId="4" fontId="6" fillId="0" borderId="9" xfId="0" applyNumberFormat="1" applyFont="1" applyBorder="1"/>
    <xf numFmtId="167" fontId="6" fillId="0" borderId="15" xfId="0" applyNumberFormat="1" applyFont="1" applyBorder="1"/>
    <xf numFmtId="179" fontId="4" fillId="0" borderId="10" xfId="0" applyNumberFormat="1" applyFont="1" applyBorder="1"/>
    <xf numFmtId="4" fontId="6" fillId="0" borderId="11" xfId="0" applyNumberFormat="1" applyFont="1" applyBorder="1"/>
    <xf numFmtId="179" fontId="4" fillId="0" borderId="13" xfId="0" applyNumberFormat="1" applyFont="1" applyBorder="1"/>
    <xf numFmtId="9" fontId="13" fillId="0" borderId="13" xfId="3" applyFont="1" applyFill="1" applyBorder="1"/>
    <xf numFmtId="4" fontId="6" fillId="0" borderId="12" xfId="0" applyNumberFormat="1" applyFont="1" applyBorder="1"/>
    <xf numFmtId="167" fontId="0" fillId="0" borderId="16" xfId="0" applyNumberFormat="1" applyBorder="1"/>
    <xf numFmtId="179" fontId="4" fillId="0" borderId="14" xfId="0" applyNumberFormat="1" applyFont="1" applyBorder="1"/>
    <xf numFmtId="9" fontId="13" fillId="0" borderId="14" xfId="3" applyFont="1" applyFill="1" applyBorder="1"/>
    <xf numFmtId="171" fontId="3" fillId="0" borderId="0" xfId="0" applyNumberFormat="1" applyFont="1"/>
    <xf numFmtId="2" fontId="3" fillId="0" borderId="0" xfId="4" applyNumberFormat="1" applyAlignment="1">
      <alignment horizontal="right"/>
    </xf>
    <xf numFmtId="0" fontId="3" fillId="0" borderId="0" xfId="0" quotePrefix="1" applyFont="1" applyAlignment="1">
      <alignment vertical="top" wrapText="1"/>
    </xf>
    <xf numFmtId="184" fontId="52" fillId="0" borderId="0" xfId="4" applyNumberFormat="1" applyFont="1" applyAlignment="1">
      <alignment horizontal="center" vertical="top"/>
    </xf>
    <xf numFmtId="184" fontId="3" fillId="0" borderId="0" xfId="4" applyNumberFormat="1" applyAlignment="1">
      <alignment horizontal="center" vertical="top"/>
    </xf>
    <xf numFmtId="170" fontId="3" fillId="0" borderId="0" xfId="4" applyNumberFormat="1" applyAlignment="1">
      <alignment horizontal="center" vertical="top"/>
    </xf>
    <xf numFmtId="3" fontId="46" fillId="0" borderId="0" xfId="4" applyNumberFormat="1" applyFont="1" applyAlignment="1">
      <alignment horizontal="center" vertical="top"/>
    </xf>
    <xf numFmtId="183" fontId="3" fillId="0" borderId="0" xfId="4" applyNumberFormat="1" applyAlignment="1">
      <alignment horizontal="center" vertical="top"/>
    </xf>
    <xf numFmtId="1" fontId="3" fillId="0" borderId="0" xfId="4" applyNumberFormat="1" applyAlignment="1">
      <alignment horizontal="center" vertical="top"/>
    </xf>
    <xf numFmtId="3" fontId="3" fillId="0" borderId="0" xfId="4" applyNumberFormat="1" applyAlignment="1">
      <alignment horizontal="center" vertical="top"/>
    </xf>
    <xf numFmtId="174" fontId="3" fillId="0" borderId="0" xfId="3" applyNumberFormat="1" applyAlignment="1">
      <alignment horizontal="center" vertical="top"/>
    </xf>
    <xf numFmtId="37" fontId="3" fillId="0" borderId="0" xfId="1" applyNumberFormat="1" applyAlignment="1">
      <alignment horizontal="center" vertical="top"/>
    </xf>
    <xf numFmtId="184" fontId="3" fillId="0" borderId="0" xfId="4" applyNumberFormat="1" applyAlignment="1">
      <alignment horizontal="center" vertical="top" wrapText="1"/>
    </xf>
    <xf numFmtId="0" fontId="3" fillId="0" borderId="0" xfId="4" quotePrefix="1" applyAlignment="1">
      <alignment vertical="top" wrapText="1"/>
    </xf>
    <xf numFmtId="0" fontId="14" fillId="0" borderId="0" xfId="4" applyFont="1" applyAlignment="1">
      <alignment vertical="top" wrapText="1"/>
    </xf>
    <xf numFmtId="8" fontId="3" fillId="6" borderId="0" xfId="4" applyNumberFormat="1" applyFill="1"/>
    <xf numFmtId="9" fontId="54" fillId="0" borderId="0" xfId="3" applyFont="1" applyFill="1" applyBorder="1"/>
    <xf numFmtId="0" fontId="54" fillId="0" borderId="0" xfId="0" applyFont="1"/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8" fillId="0" borderId="21" xfId="0" applyFont="1" applyBorder="1" applyAlignment="1">
      <alignment vertical="center"/>
    </xf>
    <xf numFmtId="14" fontId="58" fillId="0" borderId="21" xfId="0" applyNumberFormat="1" applyFont="1" applyBorder="1" applyAlignment="1">
      <alignment horizontal="center" vertical="center"/>
    </xf>
    <xf numFmtId="14" fontId="58" fillId="0" borderId="21" xfId="0" quotePrefix="1" applyNumberFormat="1" applyFont="1" applyBorder="1" applyAlignment="1">
      <alignment horizontal="center" vertical="center"/>
    </xf>
    <xf numFmtId="0" fontId="58" fillId="0" borderId="21" xfId="0" applyFont="1" applyBorder="1"/>
    <xf numFmtId="0" fontId="57" fillId="0" borderId="21" xfId="0" applyFont="1" applyBorder="1" applyAlignment="1">
      <alignment horizontal="center" vertical="center" wrapText="1"/>
    </xf>
    <xf numFmtId="0" fontId="58" fillId="6" borderId="21" xfId="0" applyFont="1" applyFill="1" applyBorder="1" applyAlignment="1">
      <alignment vertical="center"/>
    </xf>
    <xf numFmtId="14" fontId="58" fillId="6" borderId="21" xfId="0" applyNumberFormat="1" applyFont="1" applyFill="1" applyBorder="1" applyAlignment="1">
      <alignment horizontal="center" vertical="center"/>
    </xf>
    <xf numFmtId="14" fontId="58" fillId="6" borderId="21" xfId="0" quotePrefix="1" applyNumberFormat="1" applyFont="1" applyFill="1" applyBorder="1" applyAlignment="1">
      <alignment horizontal="center" vertical="center"/>
    </xf>
    <xf numFmtId="0" fontId="58" fillId="10" borderId="21" xfId="0" applyFont="1" applyFill="1" applyBorder="1" applyAlignment="1">
      <alignment vertical="center"/>
    </xf>
    <xf numFmtId="14" fontId="58" fillId="10" borderId="21" xfId="0" applyNumberFormat="1" applyFont="1" applyFill="1" applyBorder="1" applyAlignment="1">
      <alignment horizontal="center" vertical="center"/>
    </xf>
    <xf numFmtId="14" fontId="58" fillId="10" borderId="21" xfId="0" quotePrefix="1" applyNumberFormat="1" applyFont="1" applyFill="1" applyBorder="1" applyAlignment="1">
      <alignment horizontal="center" vertical="center"/>
    </xf>
    <xf numFmtId="0" fontId="58" fillId="8" borderId="21" xfId="0" applyFont="1" applyFill="1" applyBorder="1" applyAlignment="1">
      <alignment vertical="center"/>
    </xf>
    <xf numFmtId="14" fontId="58" fillId="8" borderId="21" xfId="0" quotePrefix="1" applyNumberFormat="1" applyFont="1" applyFill="1" applyBorder="1" applyAlignment="1">
      <alignment horizontal="center" vertical="center"/>
    </xf>
    <xf numFmtId="184" fontId="46" fillId="6" borderId="0" xfId="4" applyNumberFormat="1" applyFont="1" applyFill="1" applyAlignment="1">
      <alignment horizontal="center" vertical="top"/>
    </xf>
    <xf numFmtId="10" fontId="51" fillId="0" borderId="0" xfId="3" applyNumberFormat="1" applyFont="1" applyFill="1"/>
    <xf numFmtId="0" fontId="3" fillId="0" borderId="0" xfId="4" quotePrefix="1" applyAlignment="1">
      <alignment horizontal="right"/>
    </xf>
    <xf numFmtId="174" fontId="3" fillId="0" borderId="0" xfId="3" applyNumberFormat="1" applyAlignment="1">
      <alignment horizontal="center"/>
    </xf>
    <xf numFmtId="184" fontId="3" fillId="0" borderId="0" xfId="4" quotePrefix="1" applyNumberFormat="1"/>
    <xf numFmtId="0" fontId="3" fillId="6" borderId="21" xfId="0" applyFont="1" applyFill="1" applyBorder="1" applyAlignment="1">
      <alignment horizontal="center" vertical="center" wrapText="1"/>
    </xf>
    <xf numFmtId="7" fontId="11" fillId="6" borderId="18" xfId="2" applyNumberFormat="1" applyFont="1" applyFill="1" applyBorder="1"/>
    <xf numFmtId="184" fontId="5" fillId="6" borderId="0" xfId="2" applyNumberFormat="1" applyFont="1" applyFill="1"/>
    <xf numFmtId="183" fontId="3" fillId="0" borderId="0" xfId="4" applyNumberFormat="1" applyAlignment="1">
      <alignment vertical="top"/>
    </xf>
    <xf numFmtId="183" fontId="3" fillId="0" borderId="0" xfId="4" applyNumberFormat="1" applyAlignment="1">
      <alignment vertical="center"/>
    </xf>
    <xf numFmtId="2" fontId="3" fillId="6" borderId="0" xfId="4" applyNumberFormat="1" applyFill="1"/>
    <xf numFmtId="7" fontId="3" fillId="0" borderId="0" xfId="4" applyNumberFormat="1"/>
    <xf numFmtId="5" fontId="3" fillId="0" borderId="0" xfId="4" applyNumberFormat="1"/>
    <xf numFmtId="5" fontId="11" fillId="0" borderId="0" xfId="4" applyNumberFormat="1" applyFont="1"/>
    <xf numFmtId="7" fontId="46" fillId="0" borderId="18" xfId="4" applyNumberFormat="1" applyFont="1" applyBorder="1"/>
    <xf numFmtId="0" fontId="50" fillId="0" borderId="0" xfId="4" applyFont="1" applyAlignment="1">
      <alignment horizontal="right"/>
    </xf>
    <xf numFmtId="0" fontId="50" fillId="0" borderId="0" xfId="4" applyFont="1" applyAlignment="1">
      <alignment horizontal="center"/>
    </xf>
    <xf numFmtId="0" fontId="52" fillId="0" borderId="0" xfId="4" applyFont="1"/>
    <xf numFmtId="14" fontId="0" fillId="0" borderId="0" xfId="0" applyNumberFormat="1" applyAlignment="1">
      <alignment horizontal="center"/>
    </xf>
    <xf numFmtId="0" fontId="3" fillId="10" borderId="21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0" borderId="0" xfId="0" applyFont="1" applyFill="1"/>
    <xf numFmtId="0" fontId="0" fillId="10" borderId="0" xfId="0" applyFill="1"/>
    <xf numFmtId="183" fontId="3" fillId="0" borderId="0" xfId="3" applyNumberFormat="1"/>
    <xf numFmtId="0" fontId="3" fillId="0" borderId="0" xfId="4" applyAlignment="1">
      <alignment vertical="top" wrapText="1"/>
    </xf>
    <xf numFmtId="0" fontId="51" fillId="0" borderId="0" xfId="0" applyFont="1"/>
    <xf numFmtId="43" fontId="0" fillId="0" borderId="0" xfId="0" applyNumberFormat="1"/>
    <xf numFmtId="9" fontId="3" fillId="0" borderId="0" xfId="3" applyFont="1" applyFill="1"/>
    <xf numFmtId="9" fontId="0" fillId="0" borderId="0" xfId="2" applyNumberFormat="1" applyFont="1" applyFill="1"/>
    <xf numFmtId="7" fontId="3" fillId="0" borderId="18" xfId="4" applyNumberFormat="1" applyBorder="1"/>
    <xf numFmtId="9" fontId="90" fillId="0" borderId="0" xfId="3" applyFont="1" applyFill="1" applyAlignment="1">
      <alignment horizontal="right"/>
    </xf>
    <xf numFmtId="165" fontId="3" fillId="0" borderId="0" xfId="4" applyNumberFormat="1"/>
    <xf numFmtId="180" fontId="6" fillId="6" borderId="0" xfId="1" applyNumberFormat="1" applyFont="1" applyFill="1"/>
    <xf numFmtId="184" fontId="52" fillId="0" borderId="18" xfId="4" applyNumberFormat="1" applyFont="1" applyBorder="1"/>
    <xf numFmtId="0" fontId="55" fillId="0" borderId="0" xfId="4" applyFont="1"/>
    <xf numFmtId="0" fontId="5" fillId="0" borderId="0" xfId="4" applyFont="1" applyAlignment="1">
      <alignment horizontal="center"/>
    </xf>
    <xf numFmtId="184" fontId="0" fillId="0" borderId="0" xfId="0" applyNumberFormat="1" applyAlignment="1">
      <alignment horizontal="center"/>
    </xf>
    <xf numFmtId="184" fontId="11" fillId="0" borderId="0" xfId="0" applyNumberFormat="1" applyFont="1" applyAlignment="1">
      <alignment horizontal="center"/>
    </xf>
    <xf numFmtId="7" fontId="11" fillId="9" borderId="18" xfId="2" applyNumberFormat="1" applyFont="1" applyFill="1" applyBorder="1"/>
    <xf numFmtId="10" fontId="5" fillId="0" borderId="0" xfId="3" applyNumberFormat="1" applyFont="1" applyFill="1" applyBorder="1"/>
    <xf numFmtId="10" fontId="6" fillId="0" borderId="0" xfId="3" applyNumberFormat="1" applyFont="1" applyFill="1"/>
    <xf numFmtId="10" fontId="6" fillId="0" borderId="15" xfId="3" applyNumberFormat="1" applyFont="1" applyFill="1" applyBorder="1"/>
    <xf numFmtId="10" fontId="6" fillId="0" borderId="10" xfId="3" applyNumberFormat="1" applyFont="1" applyFill="1" applyBorder="1"/>
    <xf numFmtId="10" fontId="6" fillId="0" borderId="0" xfId="3" applyNumberFormat="1" applyFont="1" applyFill="1" applyBorder="1"/>
    <xf numFmtId="10" fontId="6" fillId="0" borderId="13" xfId="3" applyNumberFormat="1" applyFont="1" applyFill="1" applyBorder="1"/>
    <xf numFmtId="10" fontId="6" fillId="0" borderId="16" xfId="3" applyNumberFormat="1" applyFont="1" applyFill="1" applyBorder="1"/>
    <xf numFmtId="10" fontId="6" fillId="0" borderId="14" xfId="3" applyNumberFormat="1" applyFont="1" applyFill="1" applyBorder="1"/>
    <xf numFmtId="2" fontId="3" fillId="0" borderId="0" xfId="4" applyNumberFormat="1"/>
    <xf numFmtId="2" fontId="3" fillId="0" borderId="0" xfId="4" applyNumberFormat="1" applyAlignment="1">
      <alignment vertical="center"/>
    </xf>
    <xf numFmtId="4" fontId="13" fillId="0" borderId="0" xfId="0" applyNumberFormat="1" applyFont="1"/>
    <xf numFmtId="4" fontId="13" fillId="0" borderId="15" xfId="0" applyNumberFormat="1" applyFont="1" applyBorder="1"/>
    <xf numFmtId="4" fontId="13" fillId="0" borderId="10" xfId="0" applyNumberFormat="1" applyFont="1" applyBorder="1"/>
    <xf numFmtId="4" fontId="13" fillId="0" borderId="13" xfId="0" applyNumberFormat="1" applyFont="1" applyBorder="1"/>
    <xf numFmtId="4" fontId="13" fillId="0" borderId="16" xfId="0" applyNumberFormat="1" applyFont="1" applyBorder="1"/>
    <xf numFmtId="4" fontId="13" fillId="0" borderId="14" xfId="0" applyNumberFormat="1" applyFont="1" applyBorder="1"/>
    <xf numFmtId="165" fontId="3" fillId="0" borderId="0" xfId="0" applyNumberFormat="1" applyFont="1"/>
    <xf numFmtId="165" fontId="46" fillId="0" borderId="0" xfId="0" applyNumberFormat="1" applyFont="1"/>
    <xf numFmtId="180" fontId="6" fillId="0" borderId="0" xfId="1" applyNumberFormat="1" applyFont="1" applyFill="1"/>
    <xf numFmtId="169" fontId="22" fillId="4" borderId="0" xfId="0" applyNumberFormat="1" applyFont="1" applyFill="1"/>
    <xf numFmtId="10" fontId="46" fillId="8" borderId="0" xfId="0" applyNumberFormat="1" applyFont="1" applyFill="1"/>
    <xf numFmtId="169" fontId="46" fillId="8" borderId="0" xfId="0" applyNumberFormat="1" applyFont="1" applyFill="1"/>
    <xf numFmtId="169" fontId="46" fillId="0" borderId="0" xfId="0" applyNumberFormat="1" applyFont="1"/>
    <xf numFmtId="44" fontId="3" fillId="0" borderId="0" xfId="2" applyFont="1" applyFill="1" applyBorder="1"/>
    <xf numFmtId="169" fontId="0" fillId="0" borderId="0" xfId="3" applyNumberFormat="1" applyFont="1" applyFill="1" applyBorder="1"/>
    <xf numFmtId="44" fontId="4" fillId="0" borderId="0" xfId="2" applyFont="1" applyFill="1" applyBorder="1"/>
    <xf numFmtId="169" fontId="46" fillId="0" borderId="0" xfId="3" applyNumberFormat="1" applyFont="1" applyFill="1" applyBorder="1"/>
    <xf numFmtId="187" fontId="0" fillId="0" borderId="0" xfId="3" applyNumberFormat="1" applyFont="1" applyFill="1" applyBorder="1"/>
    <xf numFmtId="169" fontId="56" fillId="4" borderId="0" xfId="8" applyNumberFormat="1" applyFont="1" applyFill="1" applyAlignment="1">
      <alignment vertical="center"/>
    </xf>
    <xf numFmtId="171" fontId="4" fillId="0" borderId="0" xfId="2" quotePrefix="1" applyNumberFormat="1" applyFont="1" applyFill="1" applyBorder="1"/>
    <xf numFmtId="171" fontId="3" fillId="0" borderId="0" xfId="2" quotePrefix="1" applyNumberFormat="1" applyFont="1" applyFill="1" applyBorder="1"/>
    <xf numFmtId="165" fontId="48" fillId="7" borderId="0" xfId="0" applyNumberFormat="1" applyFont="1" applyFill="1"/>
    <xf numFmtId="0" fontId="48" fillId="0" borderId="0" xfId="0" applyFont="1"/>
    <xf numFmtId="169" fontId="5" fillId="4" borderId="0" xfId="0" applyNumberFormat="1" applyFont="1" applyFill="1"/>
    <xf numFmtId="0" fontId="0" fillId="0" borderId="0" xfId="0" applyAlignment="1">
      <alignment vertical="center"/>
    </xf>
    <xf numFmtId="176" fontId="4" fillId="0" borderId="0" xfId="1" quotePrefix="1" applyNumberFormat="1" applyFont="1" applyFill="1"/>
    <xf numFmtId="176" fontId="5" fillId="0" borderId="0" xfId="1" quotePrefix="1" applyNumberFormat="1" applyFont="1" applyFill="1"/>
    <xf numFmtId="184" fontId="52" fillId="0" borderId="0" xfId="4" applyNumberFormat="1" applyFont="1" applyAlignment="1">
      <alignment horizontal="center" vertical="center"/>
    </xf>
    <xf numFmtId="184" fontId="46" fillId="0" borderId="0" xfId="4" applyNumberFormat="1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vertical="center" wrapText="1"/>
    </xf>
    <xf numFmtId="0" fontId="3" fillId="0" borderId="0" xfId="0" quotePrefix="1" applyFont="1" applyAlignment="1">
      <alignment horizontal="left" vertical="center"/>
    </xf>
    <xf numFmtId="184" fontId="3" fillId="0" borderId="0" xfId="4" applyNumberFormat="1" applyAlignment="1">
      <alignment horizontal="center" vertical="center"/>
    </xf>
    <xf numFmtId="0" fontId="3" fillId="0" borderId="0" xfId="4" quotePrefix="1" applyAlignment="1">
      <alignment vertical="center" wrapText="1"/>
    </xf>
    <xf numFmtId="170" fontId="3" fillId="0" borderId="0" xfId="4" applyNumberFormat="1" applyAlignment="1">
      <alignment horizontal="center" vertical="center"/>
    </xf>
    <xf numFmtId="3" fontId="46" fillId="0" borderId="0" xfId="4" applyNumberFormat="1" applyFont="1" applyAlignment="1">
      <alignment horizontal="center" vertical="center"/>
    </xf>
    <xf numFmtId="0" fontId="3" fillId="0" borderId="0" xfId="4" applyAlignment="1">
      <alignment horizontal="left" vertical="center"/>
    </xf>
    <xf numFmtId="183" fontId="3" fillId="0" borderId="0" xfId="4" applyNumberFormat="1" applyAlignment="1">
      <alignment horizontal="center" vertical="center"/>
    </xf>
    <xf numFmtId="0" fontId="3" fillId="0" borderId="0" xfId="4" quotePrefix="1" applyAlignment="1">
      <alignment horizontal="left" vertical="center"/>
    </xf>
    <xf numFmtId="1" fontId="3" fillId="0" borderId="0" xfId="4" applyNumberFormat="1" applyAlignment="1">
      <alignment horizontal="center" vertical="center"/>
    </xf>
    <xf numFmtId="3" fontId="3" fillId="0" borderId="0" xfId="4" applyNumberFormat="1" applyAlignment="1">
      <alignment horizontal="center" vertical="center"/>
    </xf>
    <xf numFmtId="174" fontId="3" fillId="0" borderId="0" xfId="3" applyNumberFormat="1" applyAlignment="1">
      <alignment horizontal="center" vertical="center"/>
    </xf>
    <xf numFmtId="37" fontId="3" fillId="0" borderId="0" xfId="1" applyNumberFormat="1" applyAlignment="1">
      <alignment horizontal="center" vertical="center"/>
    </xf>
    <xf numFmtId="184" fontId="3" fillId="0" borderId="0" xfId="4" applyNumberFormat="1" applyAlignment="1">
      <alignment horizontal="center" vertical="center" wrapText="1"/>
    </xf>
    <xf numFmtId="18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3" fillId="0" borderId="11" xfId="4" applyBorder="1" applyAlignment="1">
      <alignment horizontal="left" wrapText="1"/>
    </xf>
    <xf numFmtId="22" fontId="8" fillId="0" borderId="0" xfId="4" applyNumberFormat="1" applyFont="1" applyAlignment="1">
      <alignment horizontal="center"/>
    </xf>
    <xf numFmtId="22" fontId="30" fillId="0" borderId="0" xfId="4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55" fillId="0" borderId="0" xfId="4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3" fillId="0" borderId="0" xfId="4" applyAlignment="1">
      <alignment horizontal="left" vertical="top" wrapText="1"/>
    </xf>
    <xf numFmtId="0" fontId="3" fillId="0" borderId="0" xfId="4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4" applyAlignment="1">
      <alignment horizontal="center" vertical="center" wrapText="1"/>
    </xf>
    <xf numFmtId="0" fontId="3" fillId="0" borderId="0" xfId="4" quotePrefix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/>
    <xf numFmtId="0" fontId="5" fillId="0" borderId="0" xfId="0" applyFont="1" applyBorder="1"/>
  </cellXfs>
  <cellStyles count="106">
    <cellStyle name="20% - Accent1 2" xfId="54" xr:uid="{8F0795D9-E68A-47B8-B61F-9AEC43468A42}"/>
    <cellStyle name="20% - Accent1 3" xfId="9" xr:uid="{C904F50E-E946-466B-8BF7-B2BAFB549A3F}"/>
    <cellStyle name="20% - Accent2 2" xfId="55" xr:uid="{9F62E681-DE2B-4DA8-8CDA-4D5B92C8FD9B}"/>
    <cellStyle name="20% - Accent2 3" xfId="10" xr:uid="{6CAEB6EA-3AD1-43EF-B87F-AD6DCDA18324}"/>
    <cellStyle name="20% - Accent3 2" xfId="56" xr:uid="{EC0954BB-3106-4456-A30C-B99294984510}"/>
    <cellStyle name="20% - Accent3 3" xfId="11" xr:uid="{35A9A5C5-37C8-4E6B-8341-9843BC24A9E8}"/>
    <cellStyle name="20% - Accent4 2" xfId="57" xr:uid="{58B60918-25DB-4754-9016-6117A3FF2952}"/>
    <cellStyle name="20% - Accent4 3" xfId="12" xr:uid="{61D4FD99-222E-4BF6-8318-43E1D5C27218}"/>
    <cellStyle name="20% - Accent5 2" xfId="58" xr:uid="{9261E61F-FFDE-48B6-8953-0571A04DD536}"/>
    <cellStyle name="20% - Accent5 3" xfId="13" xr:uid="{C769499F-7DB5-49C3-90F5-5E93C8E54301}"/>
    <cellStyle name="20% - Accent6 2" xfId="59" xr:uid="{A2E41F61-075C-4F18-82FA-7553C6C1DB8F}"/>
    <cellStyle name="20% - Accent6 3" xfId="14" xr:uid="{766BCA98-1249-4813-B786-3318E7345E8B}"/>
    <cellStyle name="40% - Accent1 2" xfId="60" xr:uid="{D92C611C-3A0E-4BD0-B28D-A2D0F068909A}"/>
    <cellStyle name="40% - Accent1 3" xfId="15" xr:uid="{E188EB63-3FF2-43C0-A475-18413949B3F9}"/>
    <cellStyle name="40% - Accent2 2" xfId="61" xr:uid="{BC613E48-8373-4391-9E00-FA44138A7211}"/>
    <cellStyle name="40% - Accent2 3" xfId="16" xr:uid="{8071AD0E-4D45-4B43-902C-EA6E75ECC97D}"/>
    <cellStyle name="40% - Accent3 2" xfId="62" xr:uid="{B9FDBCDF-CB65-40D6-9A3A-3E55238F2BA5}"/>
    <cellStyle name="40% - Accent3 3" xfId="17" xr:uid="{C4EFAB97-294D-4A6D-AC6F-D023A2C4BF1F}"/>
    <cellStyle name="40% - Accent4 2" xfId="63" xr:uid="{1422D11F-FF8D-42EB-B74F-92774C02A449}"/>
    <cellStyle name="40% - Accent4 3" xfId="18" xr:uid="{BFC0DCDB-2DC3-4F74-B8DE-A6DA7B9B5B59}"/>
    <cellStyle name="40% - Accent5 2" xfId="64" xr:uid="{4FBE86DD-B650-4200-A21F-DF6EFCD96573}"/>
    <cellStyle name="40% - Accent5 3" xfId="19" xr:uid="{4519F4EA-913F-4E68-A563-DAAE957EB33C}"/>
    <cellStyle name="40% - Accent6 2" xfId="65" xr:uid="{F307FC42-6011-46B5-A7EF-9D0E622818AC}"/>
    <cellStyle name="40% - Accent6 3" xfId="20" xr:uid="{949A9BCE-1157-401A-A022-BF67D7B3B3A0}"/>
    <cellStyle name="60% - Accent1 2" xfId="66" xr:uid="{E793F3B9-BCA5-4584-90FF-18F4B480C77D}"/>
    <cellStyle name="60% - Accent1 3" xfId="21" xr:uid="{2BCF3D3C-1E59-4308-AAFE-9971C3C69CC6}"/>
    <cellStyle name="60% - Accent2 2" xfId="67" xr:uid="{21941C7E-EFF5-4155-A56F-924CB3C2F397}"/>
    <cellStyle name="60% - Accent2 3" xfId="22" xr:uid="{BA4D882A-1E4E-4AA2-953C-D9674449ADF0}"/>
    <cellStyle name="60% - Accent3 2" xfId="68" xr:uid="{77B17CB0-6C5A-47A6-B4EC-5F0D56AACB0D}"/>
    <cellStyle name="60% - Accent3 3" xfId="23" xr:uid="{7065D496-361D-45D8-ACB4-4E36FD29D822}"/>
    <cellStyle name="60% - Accent4 2" xfId="69" xr:uid="{23B933D5-4B88-4410-84D6-5D6A3041CFEE}"/>
    <cellStyle name="60% - Accent4 3" xfId="24" xr:uid="{D8484741-8121-4C34-9A3A-999AEE531277}"/>
    <cellStyle name="60% - Accent5 2" xfId="70" xr:uid="{C3661806-7D74-46AA-B8F2-D15B35CBAF19}"/>
    <cellStyle name="60% - Accent5 3" xfId="25" xr:uid="{DFA59DC7-A08B-41B2-BE5E-6681DB6817C6}"/>
    <cellStyle name="60% - Accent6 2" xfId="71" xr:uid="{DFC66B6F-D6F3-4A4E-8578-67A0F965DEB8}"/>
    <cellStyle name="60% - Accent6 3" xfId="26" xr:uid="{AC24A2CF-44C6-455E-931D-A2EE6F732679}"/>
    <cellStyle name="Accent1 2" xfId="72" xr:uid="{FAA8E0B1-3BC9-4803-8E87-66CCD5455BEC}"/>
    <cellStyle name="Accent1 3" xfId="27" xr:uid="{1F75CA6D-5331-45A1-9A6C-165DECA77AFF}"/>
    <cellStyle name="Accent2 2" xfId="73" xr:uid="{6118BA26-DA3E-42BF-B0AB-AD2150210B97}"/>
    <cellStyle name="Accent2 3" xfId="28" xr:uid="{9F62848E-67A4-4380-B668-6EAF92C40F61}"/>
    <cellStyle name="Accent3 2" xfId="74" xr:uid="{9533DB33-15E1-437A-AB12-E1ABB39E5AE7}"/>
    <cellStyle name="Accent3 3" xfId="29" xr:uid="{F6F05CEF-BF84-4ED2-9054-DEB372B02EFF}"/>
    <cellStyle name="Accent4 2" xfId="75" xr:uid="{A1650705-CA24-49A3-BF32-555B14B35257}"/>
    <cellStyle name="Accent4 3" xfId="30" xr:uid="{CAF28F8D-8666-4608-9BB3-AD0FC4EB56B7}"/>
    <cellStyle name="Accent5 2" xfId="76" xr:uid="{53AEEA2B-A1E0-4AA9-B327-81066228FFED}"/>
    <cellStyle name="Accent5 3" xfId="31" xr:uid="{EDADC05E-03C2-4616-938F-733BB2BDFDC7}"/>
    <cellStyle name="Accent6 2" xfId="77" xr:uid="{EB2531F7-396C-4E68-963E-5258640AE5BA}"/>
    <cellStyle name="Accent6 3" xfId="32" xr:uid="{0E0769B0-9FAD-4D57-A1E7-98884171A7CC}"/>
    <cellStyle name="Bad 2" xfId="78" xr:uid="{D70425BF-2B14-4EFF-8627-0D817DE7443D}"/>
    <cellStyle name="Bad 3" xfId="33" xr:uid="{C0FBF9CB-90F8-4A6E-B91F-B538A57785FF}"/>
    <cellStyle name="Calculation 2" xfId="79" xr:uid="{89DA89BF-7E50-416D-A4C2-2F876431B628}"/>
    <cellStyle name="Calculation 3" xfId="34" xr:uid="{54C82C00-34A5-4112-A737-DEE2518D8786}"/>
    <cellStyle name="Check Cell 2" xfId="80" xr:uid="{0173760A-5B8A-4A49-9082-36C8778F0741}"/>
    <cellStyle name="Check Cell 3" xfId="35" xr:uid="{BC544501-7709-4AF2-AA8F-0D4DF6C52A69}"/>
    <cellStyle name="Comma" xfId="1" builtinId="3"/>
    <cellStyle name="Comma 2" xfId="7" xr:uid="{E69C12F5-BA1A-4988-994F-6DED097B836C}"/>
    <cellStyle name="Comma 2 2" xfId="81" xr:uid="{03D26467-3686-4DBF-B4B9-D5A5C48C0985}"/>
    <cellStyle name="Comma 2 3" xfId="52" xr:uid="{614FAB9E-FF08-410E-B41A-BBD7A9695414}"/>
    <cellStyle name="Currency" xfId="2" builtinId="4"/>
    <cellStyle name="Currency 2" xfId="82" xr:uid="{66615651-455A-4DA1-B783-D58CDF897702}"/>
    <cellStyle name="Currency 2 2" xfId="83" xr:uid="{9E4F6016-D66D-49B1-A235-87F5464E2A36}"/>
    <cellStyle name="Explanatory Text 2" xfId="84" xr:uid="{231917A2-7784-4D17-AF4C-EF10247C1FC5}"/>
    <cellStyle name="Explanatory Text 3" xfId="36" xr:uid="{0A1D26D0-E1C3-4D84-8258-855F4FA72F48}"/>
    <cellStyle name="Good 2" xfId="85" xr:uid="{32C844DA-4B60-4FF0-8C9C-1B29727F5E8B}"/>
    <cellStyle name="Good 3" xfId="37" xr:uid="{FB49CF31-5E13-4D73-9957-84289E0AB488}"/>
    <cellStyle name="Heading 1 2" xfId="86" xr:uid="{24F564F5-347F-4A6D-8BF0-13FBF6211BC9}"/>
    <cellStyle name="Heading 1 3" xfId="38" xr:uid="{C9F2EDD7-E80B-4DC7-8686-61794FB89D01}"/>
    <cellStyle name="Heading 2 2" xfId="87" xr:uid="{364972E8-4B80-4615-AE49-16D83355F342}"/>
    <cellStyle name="Heading 2 3" xfId="39" xr:uid="{5F2D657D-8488-4230-BDEC-52DF45BA9759}"/>
    <cellStyle name="Heading 3 2" xfId="88" xr:uid="{9701F658-90C0-4973-A460-9E90DF24A297}"/>
    <cellStyle name="Heading 3 3" xfId="40" xr:uid="{C6D23C99-FC4E-4171-A2E7-C0A3FBD9FD6A}"/>
    <cellStyle name="Heading 4 2" xfId="89" xr:uid="{126B1189-4561-4EB9-A26A-2676AE6920B2}"/>
    <cellStyle name="Heading 4 3" xfId="41" xr:uid="{E3025DA2-F523-4E09-9D5E-E7002F9D2C07}"/>
    <cellStyle name="Input 2" xfId="90" xr:uid="{D8EBF4C9-0EE1-421D-A841-A12B7D800EF8}"/>
    <cellStyle name="Input 3" xfId="42" xr:uid="{7610F403-623F-46D3-BCF1-E16C7E0A4AEC}"/>
    <cellStyle name="Linked Cell 2" xfId="91" xr:uid="{AABEDC3B-37CD-4089-BFEF-24397323A89E}"/>
    <cellStyle name="Linked Cell 3" xfId="43" xr:uid="{F491665C-BC02-4859-B807-F221C40368DC}"/>
    <cellStyle name="Neutral 2" xfId="92" xr:uid="{E02D66C1-1C5B-41C0-8BD1-12C384872FAD}"/>
    <cellStyle name="Neutral 3" xfId="44" xr:uid="{5E962FED-F08C-4B76-89BB-133EA19A9EDB}"/>
    <cellStyle name="Normal" xfId="0" builtinId="0"/>
    <cellStyle name="Normal 2" xfId="4" xr:uid="{00000000-0005-0000-0000-000003000000}"/>
    <cellStyle name="Normal 2 2" xfId="93" xr:uid="{8AA38AC6-604C-4BBE-B523-AC73E42089A8}"/>
    <cellStyle name="Normal 2 3" xfId="94" xr:uid="{E2F3C769-F7A1-4C11-90E2-8E65E17EE42D}"/>
    <cellStyle name="Normal 2 4" xfId="8" xr:uid="{10C07421-F444-4C3C-9780-C2FC7B4CF7ED}"/>
    <cellStyle name="Normal 2 5" xfId="102" xr:uid="{84E41ABB-9960-4E09-A83F-E5D746126C29}"/>
    <cellStyle name="Normal 2 5 2" xfId="103" xr:uid="{46FA2591-99A8-49F6-83B6-1A51D92B1745}"/>
    <cellStyle name="Normal 2 5 2 2" xfId="104" xr:uid="{9721A841-B1D5-4A48-8E82-0C75C16EA32A}"/>
    <cellStyle name="Normal 2 5 2 2 2" xfId="105" xr:uid="{77EF22C5-B8CA-45E2-AA94-93D40040BB03}"/>
    <cellStyle name="Normal 2 6" xfId="50" xr:uid="{0295A433-859E-4CCF-830D-30D76DEB83B5}"/>
    <cellStyle name="Normal 3" xfId="5" xr:uid="{00000000-0005-0000-0000-000004000000}"/>
    <cellStyle name="Normal 3 2" xfId="51" xr:uid="{77AC8BAC-D97D-40EE-8622-EECD308EF558}"/>
    <cellStyle name="Normal 4" xfId="53" xr:uid="{E0B91427-9EF0-4AE4-9F53-234A88339E98}"/>
    <cellStyle name="Note 2" xfId="95" xr:uid="{AA0FA657-1B93-41FB-9D64-103500C726C9}"/>
    <cellStyle name="Note 3" xfId="96" xr:uid="{E0705A21-6086-4A92-9C79-4FA47B7BA658}"/>
    <cellStyle name="Note 4" xfId="45" xr:uid="{AFB10C42-0F82-46E8-9AEA-68D6425B698E}"/>
    <cellStyle name="Output 2" xfId="97" xr:uid="{5B09DDC3-24A0-4B43-9814-75C814E481BB}"/>
    <cellStyle name="Output 3" xfId="46" xr:uid="{7CE86AB1-5DB7-4E41-A58E-E3FBF02264B6}"/>
    <cellStyle name="Percent" xfId="3" builtinId="5"/>
    <cellStyle name="Percent 2" xfId="6" xr:uid="{00000000-0005-0000-0000-000006000000}"/>
    <cellStyle name="Percent 2 2" xfId="98" xr:uid="{1CBDE0F0-1062-4DB7-AD4F-F5B1BC55F6E4}"/>
    <cellStyle name="Title 2" xfId="99" xr:uid="{DA48E843-CA9B-4176-A102-26B286261221}"/>
    <cellStyle name="Title 3" xfId="47" xr:uid="{9C00A639-C103-4C66-8A67-74853B885618}"/>
    <cellStyle name="Total 2" xfId="100" xr:uid="{FF0AF91B-1AA9-4062-9FCF-A8AAB07B40C2}"/>
    <cellStyle name="Total 3" xfId="48" xr:uid="{0D5966B5-5913-4A25-9E04-7E54CA2FC405}"/>
    <cellStyle name="Warning Text 2" xfId="101" xr:uid="{EE9C5A84-0530-436E-8A7C-436169DDB331}"/>
    <cellStyle name="Warning Text 3" xfId="49" xr:uid="{127AD8C1-F2E3-4712-9AE3-226090B61E8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A4A636-26FE-4FC1-A61A-3D9642A05246}">
      <tableStyleElement type="wholeTable" dxfId="1"/>
      <tableStyleElement type="headerRow" dxfId="0"/>
    </tableStyle>
  </tableStyles>
  <colors>
    <mruColors>
      <color rgb="FF0000FF"/>
      <color rgb="FF006600"/>
      <color rgb="FFCC99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8</xdr:row>
      <xdr:rowOff>19200</xdr:rowOff>
    </xdr:from>
    <xdr:to>
      <xdr:col>18</xdr:col>
      <xdr:colOff>379157</xdr:colOff>
      <xdr:row>9</xdr:row>
      <xdr:rowOff>115546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3C848B-4934-48A3-B493-ABAF0BB29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9938" y="1868638"/>
          <a:ext cx="6440762" cy="583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Y347"/>
  <sheetViews>
    <sheetView tabSelected="1" view="pageBreakPreview" zoomScaleNormal="60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4.54296875" customWidth="1"/>
    <col min="4" max="4" width="12.54296875" customWidth="1"/>
    <col min="5" max="5" width="16.54296875" customWidth="1"/>
    <col min="6" max="6" width="16" customWidth="1"/>
    <col min="7" max="7" width="16.54296875" customWidth="1"/>
    <col min="8" max="8" width="15.453125" customWidth="1"/>
    <col min="9" max="9" width="14.08984375" customWidth="1"/>
    <col min="10" max="10" width="16.453125" customWidth="1"/>
    <col min="11" max="11" width="12.54296875" customWidth="1"/>
    <col min="12" max="12" width="16.54296875" hidden="1" customWidth="1"/>
    <col min="13" max="13" width="21.81640625" hidden="1" customWidth="1"/>
    <col min="14" max="14" width="15.08984375" hidden="1" customWidth="1"/>
    <col min="15" max="16" width="12.453125" hidden="1" customWidth="1"/>
    <col min="17" max="17" width="13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0.54296875" hidden="1" customWidth="1"/>
    <col min="26" max="26" width="11.54296875" hidden="1" customWidth="1"/>
    <col min="27" max="27" width="12.54296875" hidden="1" customWidth="1"/>
    <col min="28" max="28" width="13.453125" hidden="1" customWidth="1"/>
    <col min="29" max="29" width="11" hidden="1" customWidth="1"/>
    <col min="30" max="30" width="14.08984375" hidden="1" customWidth="1"/>
    <col min="31" max="31" width="9.90625" hidden="1" customWidth="1"/>
    <col min="32" max="32" width="9.08984375" hidden="1" customWidth="1"/>
    <col min="33" max="33" width="12" hidden="1" customWidth="1"/>
    <col min="34" max="37" width="9.08984375" hidden="1" customWidth="1"/>
    <col min="38" max="38" width="9.453125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570" t="s">
        <v>69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</row>
    <row r="2" spans="1:26" ht="15.5" x14ac:dyDescent="0.7">
      <c r="B2" s="570" t="s">
        <v>187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</row>
    <row r="3" spans="1:26" ht="15.5" x14ac:dyDescent="0.7">
      <c r="B3" s="570" t="str">
        <f>'BGS PTY23 Cost Alloc'!$B$3</f>
        <v>2025 BGS Auction Cost and Bid Factor Tables</v>
      </c>
      <c r="C3" s="570"/>
      <c r="D3" s="570"/>
      <c r="E3" s="570"/>
      <c r="F3" s="570"/>
      <c r="G3" s="570"/>
      <c r="H3" s="570"/>
      <c r="I3" s="570"/>
      <c r="J3" s="570"/>
      <c r="K3" s="570"/>
      <c r="L3" s="570"/>
    </row>
    <row r="4" spans="1:26" ht="15.5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6" ht="15.5" x14ac:dyDescent="0.7">
      <c r="B5" s="571" t="s">
        <v>433</v>
      </c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26" x14ac:dyDescent="0.6">
      <c r="L6" s="102" t="s">
        <v>251</v>
      </c>
    </row>
    <row r="8" spans="1:26" ht="15.5" x14ac:dyDescent="0.7">
      <c r="B8" s="13" t="s">
        <v>50</v>
      </c>
    </row>
    <row r="9" spans="1:26" x14ac:dyDescent="0.6">
      <c r="A9" s="14"/>
      <c r="B9" s="1" t="s">
        <v>45</v>
      </c>
    </row>
    <row r="10" spans="1:26" x14ac:dyDescent="0.6">
      <c r="E10" s="15" t="str">
        <f>'BGS PTY23 Cost Alloc'!$E$10</f>
        <v>Based on an average of 2021,2022 and 2023 Load Profile Information</v>
      </c>
    </row>
    <row r="11" spans="1:26" x14ac:dyDescent="0.6">
      <c r="A11" s="6" t="s">
        <v>30</v>
      </c>
      <c r="B11" s="16" t="s">
        <v>47</v>
      </c>
      <c r="C11" s="17"/>
      <c r="E11" s="15" t="s">
        <v>27</v>
      </c>
      <c r="N11" s="16"/>
      <c r="P11" s="18"/>
      <c r="Q11" s="16" t="s">
        <v>212</v>
      </c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" x14ac:dyDescent="0.6">
      <c r="A12" s="7"/>
      <c r="C12" s="19"/>
      <c r="D12" s="19"/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56</v>
      </c>
      <c r="K12" s="19"/>
      <c r="L12" s="19"/>
      <c r="M12" s="19"/>
      <c r="N12" s="15"/>
      <c r="O12" s="19"/>
      <c r="P12" s="19"/>
      <c r="Q12" s="19" t="s">
        <v>24</v>
      </c>
      <c r="R12" s="19" t="s">
        <v>24</v>
      </c>
      <c r="S12" s="19" t="s">
        <v>24</v>
      </c>
      <c r="T12" s="19" t="s">
        <v>24</v>
      </c>
      <c r="U12" s="19" t="s">
        <v>56</v>
      </c>
      <c r="W12" s="19"/>
      <c r="X12" s="19"/>
      <c r="Y12" s="19"/>
      <c r="Z12" s="19"/>
    </row>
    <row r="13" spans="1:26" x14ac:dyDescent="0.6">
      <c r="A13" s="7"/>
      <c r="B13" s="20" t="s">
        <v>190</v>
      </c>
      <c r="C13" s="21"/>
      <c r="D13" s="21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1"/>
      <c r="K13" s="21"/>
      <c r="L13" s="21"/>
      <c r="M13" s="21"/>
      <c r="N13" s="22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6">
      <c r="A15" s="7"/>
      <c r="B15" s="23" t="s">
        <v>1</v>
      </c>
      <c r="C15" s="24"/>
      <c r="D15" s="24"/>
      <c r="E15" s="131">
        <f>'BGS PTY23 Cost Alloc'!E15</f>
        <v>0.44990000000000002</v>
      </c>
      <c r="F15" s="131">
        <f>'BGS PTY23 Cost Alloc'!F15</f>
        <v>0.4743</v>
      </c>
      <c r="G15" s="131">
        <f>'BGS PTY23 Cost Alloc'!G15</f>
        <v>0.52459999999999996</v>
      </c>
      <c r="H15" s="131">
        <f>'BGS PTY23 Cost Alloc'!H15</f>
        <v>0.50700000000000001</v>
      </c>
      <c r="I15" s="131">
        <f>'BGS PTY23 Cost Alloc'!I15</f>
        <v>0.31559999999999999</v>
      </c>
      <c r="J15" s="24"/>
      <c r="K15" s="25"/>
      <c r="L15" s="25"/>
      <c r="M15" s="25"/>
      <c r="N15" s="26"/>
      <c r="O15" s="27"/>
      <c r="P15" s="27"/>
      <c r="Q15" s="27">
        <f t="shared" ref="Q15:U26" si="0">1-E15</f>
        <v>0.55010000000000003</v>
      </c>
      <c r="R15" s="27">
        <f t="shared" si="0"/>
        <v>0.52570000000000006</v>
      </c>
      <c r="S15" s="27">
        <f t="shared" si="0"/>
        <v>0.47540000000000004</v>
      </c>
      <c r="T15" s="27">
        <f t="shared" si="0"/>
        <v>0.49299999999999999</v>
      </c>
      <c r="U15" s="27">
        <f t="shared" si="0"/>
        <v>0.68440000000000001</v>
      </c>
      <c r="V15" s="27"/>
      <c r="W15" s="27"/>
      <c r="X15" s="27"/>
      <c r="Y15" s="27"/>
      <c r="Z15" s="27"/>
    </row>
    <row r="16" spans="1:26" x14ac:dyDescent="0.6">
      <c r="A16" s="7"/>
      <c r="B16" s="23" t="s">
        <v>2</v>
      </c>
      <c r="C16" s="24"/>
      <c r="D16" s="24"/>
      <c r="E16" s="131">
        <f>'BGS PTY23 Cost Alloc'!E16</f>
        <v>0.47739999999999999</v>
      </c>
      <c r="F16" s="131">
        <f>'BGS PTY23 Cost Alloc'!F16</f>
        <v>0.50419999999999998</v>
      </c>
      <c r="G16" s="131">
        <f>'BGS PTY23 Cost Alloc'!G16</f>
        <v>0.55489999999999995</v>
      </c>
      <c r="H16" s="131">
        <f>'BGS PTY23 Cost Alloc'!H16</f>
        <v>0.54020000000000001</v>
      </c>
      <c r="I16" s="131">
        <f>'BGS PTY23 Cost Alloc'!I16</f>
        <v>0.30590000000000001</v>
      </c>
      <c r="J16" s="24"/>
      <c r="K16" s="25"/>
      <c r="L16" s="25"/>
      <c r="M16" s="25"/>
      <c r="N16" s="26"/>
      <c r="O16" s="27"/>
      <c r="P16" s="27"/>
      <c r="Q16" s="27">
        <f t="shared" si="0"/>
        <v>0.52259999999999995</v>
      </c>
      <c r="R16" s="27">
        <f t="shared" si="0"/>
        <v>0.49580000000000002</v>
      </c>
      <c r="S16" s="27">
        <f t="shared" si="0"/>
        <v>0.44510000000000005</v>
      </c>
      <c r="T16" s="27">
        <f t="shared" si="0"/>
        <v>0.45979999999999999</v>
      </c>
      <c r="U16" s="27">
        <f t="shared" si="0"/>
        <v>0.69409999999999994</v>
      </c>
      <c r="V16" s="27"/>
      <c r="W16" s="27"/>
      <c r="X16" s="27"/>
      <c r="Y16" s="27"/>
      <c r="Z16" s="27"/>
    </row>
    <row r="17" spans="1:26" x14ac:dyDescent="0.6">
      <c r="A17" s="7"/>
      <c r="B17" s="23" t="s">
        <v>3</v>
      </c>
      <c r="C17" s="24"/>
      <c r="D17" s="24"/>
      <c r="E17" s="131">
        <f>'BGS PTY23 Cost Alloc'!E17</f>
        <v>0.50470000000000004</v>
      </c>
      <c r="F17" s="131">
        <f>'BGS PTY23 Cost Alloc'!F17</f>
        <v>0.5323</v>
      </c>
      <c r="G17" s="131">
        <f>'BGS PTY23 Cost Alloc'!G17</f>
        <v>0.58879999999999999</v>
      </c>
      <c r="H17" s="131">
        <f>'BGS PTY23 Cost Alloc'!H17</f>
        <v>0.55969999999999998</v>
      </c>
      <c r="I17" s="131">
        <f>'BGS PTY23 Cost Alloc'!I17</f>
        <v>0.3175</v>
      </c>
      <c r="J17" s="24"/>
      <c r="K17" s="25"/>
      <c r="L17" s="25"/>
      <c r="M17" s="25"/>
      <c r="N17" s="26"/>
      <c r="O17" s="27"/>
      <c r="P17" s="27"/>
      <c r="Q17" s="27">
        <f t="shared" si="0"/>
        <v>0.49529999999999996</v>
      </c>
      <c r="R17" s="27">
        <f t="shared" si="0"/>
        <v>0.4677</v>
      </c>
      <c r="S17" s="27">
        <f t="shared" si="0"/>
        <v>0.41120000000000001</v>
      </c>
      <c r="T17" s="27">
        <f t="shared" si="0"/>
        <v>0.44030000000000002</v>
      </c>
      <c r="U17" s="27">
        <f t="shared" si="0"/>
        <v>0.6825</v>
      </c>
      <c r="V17" s="27"/>
      <c r="W17" s="27"/>
      <c r="X17" s="27"/>
      <c r="Y17" s="27"/>
      <c r="Z17" s="27"/>
    </row>
    <row r="18" spans="1:26" x14ac:dyDescent="0.6">
      <c r="A18" s="7"/>
      <c r="B18" s="23" t="s">
        <v>4</v>
      </c>
      <c r="C18" s="24"/>
      <c r="D18" s="24"/>
      <c r="E18" s="131">
        <f>'BGS PTY23 Cost Alloc'!E18</f>
        <v>0.48959999999999998</v>
      </c>
      <c r="F18" s="131">
        <f>'BGS PTY23 Cost Alloc'!F18</f>
        <v>0.51</v>
      </c>
      <c r="G18" s="131">
        <f>'BGS PTY23 Cost Alloc'!G18</f>
        <v>0.56459999999999999</v>
      </c>
      <c r="H18" s="131">
        <f>'BGS PTY23 Cost Alloc'!H18</f>
        <v>0.54920000000000002</v>
      </c>
      <c r="I18" s="131">
        <f>'BGS PTY23 Cost Alloc'!I18</f>
        <v>0.30209999999999998</v>
      </c>
      <c r="J18" s="24"/>
      <c r="K18" s="25"/>
      <c r="L18" s="25"/>
      <c r="M18" s="25"/>
      <c r="N18" s="26"/>
      <c r="O18" s="27"/>
      <c r="P18" s="27"/>
      <c r="Q18" s="27">
        <f t="shared" si="0"/>
        <v>0.51039999999999996</v>
      </c>
      <c r="R18" s="27">
        <f t="shared" si="0"/>
        <v>0.49</v>
      </c>
      <c r="S18" s="27">
        <f t="shared" si="0"/>
        <v>0.43540000000000001</v>
      </c>
      <c r="T18" s="27">
        <f t="shared" si="0"/>
        <v>0.45079999999999998</v>
      </c>
      <c r="U18" s="27">
        <f t="shared" si="0"/>
        <v>0.69789999999999996</v>
      </c>
      <c r="V18" s="27"/>
      <c r="W18" s="27"/>
      <c r="X18" s="27"/>
      <c r="Y18" s="27"/>
      <c r="Z18" s="27"/>
    </row>
    <row r="19" spans="1:26" x14ac:dyDescent="0.6">
      <c r="A19" s="7"/>
      <c r="B19" s="23" t="s">
        <v>5</v>
      </c>
      <c r="C19" s="24"/>
      <c r="D19" s="24"/>
      <c r="E19" s="131">
        <f>'BGS PTY23 Cost Alloc'!E19</f>
        <v>0.45219999999999999</v>
      </c>
      <c r="F19" s="131">
        <f>'BGS PTY23 Cost Alloc'!F19</f>
        <v>0.47449999999999998</v>
      </c>
      <c r="G19" s="131">
        <f>'BGS PTY23 Cost Alloc'!G19</f>
        <v>0.54669999999999996</v>
      </c>
      <c r="H19" s="131">
        <f>'BGS PTY23 Cost Alloc'!H19</f>
        <v>0.52849999999999997</v>
      </c>
      <c r="I19" s="131">
        <f>'BGS PTY23 Cost Alloc'!I19</f>
        <v>0.28599999999999998</v>
      </c>
      <c r="J19" s="24"/>
      <c r="K19" s="25"/>
      <c r="L19" s="25"/>
      <c r="M19" s="25"/>
      <c r="N19" s="26"/>
      <c r="O19" s="27"/>
      <c r="P19" s="27"/>
      <c r="Q19" s="27">
        <f t="shared" si="0"/>
        <v>0.54780000000000006</v>
      </c>
      <c r="R19" s="27">
        <f t="shared" si="0"/>
        <v>0.52550000000000008</v>
      </c>
      <c r="S19" s="27">
        <f t="shared" si="0"/>
        <v>0.45330000000000004</v>
      </c>
      <c r="T19" s="27">
        <f t="shared" si="0"/>
        <v>0.47150000000000003</v>
      </c>
      <c r="U19" s="27">
        <f t="shared" si="0"/>
        <v>0.71399999999999997</v>
      </c>
      <c r="V19" s="27"/>
      <c r="W19" s="27"/>
      <c r="X19" s="27"/>
      <c r="Y19" s="27"/>
      <c r="Z19" s="27"/>
    </row>
    <row r="20" spans="1:26" x14ac:dyDescent="0.6">
      <c r="A20" s="7"/>
      <c r="B20" s="155" t="s">
        <v>6</v>
      </c>
      <c r="C20" s="175"/>
      <c r="D20" s="175"/>
      <c r="E20" s="179">
        <f>'BGS PTY23 Cost Alloc'!E20</f>
        <v>0.53900000000000003</v>
      </c>
      <c r="F20" s="179">
        <f>'BGS PTY23 Cost Alloc'!F20</f>
        <v>0.54600000000000004</v>
      </c>
      <c r="G20" s="179">
        <f>'BGS PTY23 Cost Alloc'!G20</f>
        <v>0.58720000000000006</v>
      </c>
      <c r="H20" s="179">
        <f>'BGS PTY23 Cost Alloc'!H20</f>
        <v>0.57999999999999996</v>
      </c>
      <c r="I20" s="194">
        <f>'BGS PTY23 Cost Alloc'!I20</f>
        <v>0.30249999999999999</v>
      </c>
      <c r="J20" s="24"/>
      <c r="K20" s="25"/>
      <c r="L20" s="25"/>
      <c r="M20" s="25"/>
      <c r="N20" s="26"/>
      <c r="O20" s="27"/>
      <c r="P20" s="27"/>
      <c r="Q20" s="27">
        <f t="shared" si="0"/>
        <v>0.46099999999999997</v>
      </c>
      <c r="R20" s="27">
        <f t="shared" si="0"/>
        <v>0.45399999999999996</v>
      </c>
      <c r="S20" s="27">
        <f t="shared" si="0"/>
        <v>0.41279999999999994</v>
      </c>
      <c r="T20" s="27">
        <f t="shared" si="0"/>
        <v>0.42000000000000004</v>
      </c>
      <c r="U20" s="27">
        <f t="shared" si="0"/>
        <v>0.69750000000000001</v>
      </c>
      <c r="V20" s="27"/>
      <c r="W20" s="27"/>
      <c r="X20" s="27"/>
      <c r="Y20" s="27"/>
      <c r="Z20" s="27"/>
    </row>
    <row r="21" spans="1:26" x14ac:dyDescent="0.6">
      <c r="A21" s="7"/>
      <c r="B21" s="159" t="s">
        <v>7</v>
      </c>
      <c r="C21" s="153"/>
      <c r="D21" s="153"/>
      <c r="E21" s="174">
        <f>'BGS PTY23 Cost Alloc'!E21</f>
        <v>0.50470000000000004</v>
      </c>
      <c r="F21" s="174">
        <f>'BGS PTY23 Cost Alloc'!F21</f>
        <v>0.50349999999999995</v>
      </c>
      <c r="G21" s="174">
        <f>'BGS PTY23 Cost Alloc'!G21</f>
        <v>0.54390000000000005</v>
      </c>
      <c r="H21" s="174">
        <f>'BGS PTY23 Cost Alloc'!H21</f>
        <v>0.52839999999999998</v>
      </c>
      <c r="I21" s="195">
        <f>'BGS PTY23 Cost Alloc'!I21</f>
        <v>0.26240000000000002</v>
      </c>
      <c r="J21" s="24"/>
      <c r="K21" s="25"/>
      <c r="L21" s="25"/>
      <c r="M21" s="25"/>
      <c r="N21" s="26"/>
      <c r="O21" s="27"/>
      <c r="P21" s="27"/>
      <c r="Q21" s="27">
        <f t="shared" si="0"/>
        <v>0.49529999999999996</v>
      </c>
      <c r="R21" s="27">
        <f t="shared" si="0"/>
        <v>0.49650000000000005</v>
      </c>
      <c r="S21" s="27">
        <f t="shared" si="0"/>
        <v>0.45609999999999995</v>
      </c>
      <c r="T21" s="27">
        <f t="shared" si="0"/>
        <v>0.47160000000000002</v>
      </c>
      <c r="U21" s="27">
        <f t="shared" si="0"/>
        <v>0.73760000000000003</v>
      </c>
      <c r="V21" s="27"/>
      <c r="W21" s="27"/>
      <c r="X21" s="27"/>
      <c r="Y21" s="27"/>
      <c r="Z21" s="27"/>
    </row>
    <row r="22" spans="1:26" x14ac:dyDescent="0.6">
      <c r="A22" s="7"/>
      <c r="B22" s="159" t="s">
        <v>8</v>
      </c>
      <c r="C22" s="153"/>
      <c r="D22" s="153"/>
      <c r="E22" s="174">
        <f>'BGS PTY23 Cost Alloc'!E22</f>
        <v>0.54759999999999998</v>
      </c>
      <c r="F22" s="174">
        <f>'BGS PTY23 Cost Alloc'!F22</f>
        <v>0.55159999999999998</v>
      </c>
      <c r="G22" s="174">
        <f>'BGS PTY23 Cost Alloc'!G22</f>
        <v>0.59250000000000003</v>
      </c>
      <c r="H22" s="174">
        <f>'BGS PTY23 Cost Alloc'!H22</f>
        <v>0.57050000000000001</v>
      </c>
      <c r="I22" s="195">
        <f>'BGS PTY23 Cost Alloc'!I22</f>
        <v>0.30059999999999998</v>
      </c>
      <c r="J22" s="24"/>
      <c r="K22" s="25"/>
      <c r="L22" s="25"/>
      <c r="M22" s="25"/>
      <c r="N22" s="26"/>
      <c r="O22" s="27"/>
      <c r="P22" s="27"/>
      <c r="Q22" s="27">
        <f t="shared" si="0"/>
        <v>0.45240000000000002</v>
      </c>
      <c r="R22" s="27">
        <f t="shared" si="0"/>
        <v>0.44840000000000002</v>
      </c>
      <c r="S22" s="27">
        <f t="shared" si="0"/>
        <v>0.40749999999999997</v>
      </c>
      <c r="T22" s="27">
        <f t="shared" si="0"/>
        <v>0.42949999999999999</v>
      </c>
      <c r="U22" s="27">
        <f t="shared" si="0"/>
        <v>0.69940000000000002</v>
      </c>
      <c r="V22" s="27"/>
      <c r="W22" s="27"/>
      <c r="X22" s="27"/>
      <c r="Y22" s="27"/>
      <c r="Z22" s="27"/>
    </row>
    <row r="23" spans="1:26" x14ac:dyDescent="0.6">
      <c r="A23" s="7"/>
      <c r="B23" s="161" t="s">
        <v>9</v>
      </c>
      <c r="C23" s="176"/>
      <c r="D23" s="176"/>
      <c r="E23" s="184">
        <f>'BGS PTY23 Cost Alloc'!E23</f>
        <v>0.48970000000000002</v>
      </c>
      <c r="F23" s="184">
        <f>'BGS PTY23 Cost Alloc'!F23</f>
        <v>0.4965</v>
      </c>
      <c r="G23" s="184">
        <f>'BGS PTY23 Cost Alloc'!G23</f>
        <v>0.56679999999999997</v>
      </c>
      <c r="H23" s="184">
        <f>'BGS PTY23 Cost Alloc'!H23</f>
        <v>0.55359999999999998</v>
      </c>
      <c r="I23" s="196">
        <f>'BGS PTY23 Cost Alloc'!I23</f>
        <v>0.29980000000000001</v>
      </c>
      <c r="J23" s="24"/>
      <c r="K23" s="25"/>
      <c r="L23" s="25"/>
      <c r="M23" s="25"/>
      <c r="N23" s="26"/>
      <c r="O23" s="27"/>
      <c r="P23" s="27"/>
      <c r="Q23" s="27">
        <f t="shared" si="0"/>
        <v>0.51029999999999998</v>
      </c>
      <c r="R23" s="27">
        <f t="shared" si="0"/>
        <v>0.50350000000000006</v>
      </c>
      <c r="S23" s="27">
        <f t="shared" si="0"/>
        <v>0.43320000000000003</v>
      </c>
      <c r="T23" s="27">
        <f t="shared" si="0"/>
        <v>0.44640000000000002</v>
      </c>
      <c r="U23" s="27">
        <f t="shared" si="0"/>
        <v>0.70019999999999993</v>
      </c>
      <c r="V23" s="27"/>
      <c r="W23" s="27"/>
      <c r="X23" s="27"/>
      <c r="Y23" s="27"/>
      <c r="Z23" s="27"/>
    </row>
    <row r="24" spans="1:26" x14ac:dyDescent="0.6">
      <c r="A24" s="7"/>
      <c r="B24" s="23" t="s">
        <v>10</v>
      </c>
      <c r="C24" s="24"/>
      <c r="D24" s="24"/>
      <c r="E24" s="131">
        <f>'BGS PTY23 Cost Alloc'!E24</f>
        <v>0.47660000000000002</v>
      </c>
      <c r="F24" s="131">
        <f>'BGS PTY23 Cost Alloc'!F24</f>
        <v>0.49880000000000002</v>
      </c>
      <c r="G24" s="131">
        <f>'BGS PTY23 Cost Alloc'!G24</f>
        <v>0.55959999999999999</v>
      </c>
      <c r="H24" s="131">
        <f>'BGS PTY23 Cost Alloc'!H24</f>
        <v>0.5383</v>
      </c>
      <c r="I24" s="131">
        <f>'BGS PTY23 Cost Alloc'!I24</f>
        <v>0.31240000000000001</v>
      </c>
      <c r="J24" s="24"/>
      <c r="K24" s="25"/>
      <c r="L24" s="25"/>
      <c r="M24" s="25"/>
      <c r="N24" s="26"/>
      <c r="O24" s="27"/>
      <c r="P24" s="27"/>
      <c r="Q24" s="27">
        <f t="shared" si="0"/>
        <v>0.52339999999999998</v>
      </c>
      <c r="R24" s="27">
        <f t="shared" si="0"/>
        <v>0.50119999999999998</v>
      </c>
      <c r="S24" s="27">
        <f t="shared" si="0"/>
        <v>0.44040000000000001</v>
      </c>
      <c r="T24" s="27">
        <f t="shared" si="0"/>
        <v>0.4617</v>
      </c>
      <c r="U24" s="27">
        <f t="shared" si="0"/>
        <v>0.68759999999999999</v>
      </c>
      <c r="V24" s="27"/>
      <c r="W24" s="27"/>
      <c r="X24" s="27"/>
      <c r="Y24" s="27"/>
      <c r="Z24" s="27"/>
    </row>
    <row r="25" spans="1:26" x14ac:dyDescent="0.6">
      <c r="A25" s="7"/>
      <c r="B25" s="23" t="s">
        <v>11</v>
      </c>
      <c r="C25" s="24"/>
      <c r="D25" s="24"/>
      <c r="E25" s="131">
        <f>'BGS PTY23 Cost Alloc'!E25</f>
        <v>0.47149999999999997</v>
      </c>
      <c r="F25" s="131">
        <f>'BGS PTY23 Cost Alloc'!F25</f>
        <v>0.50149999999999995</v>
      </c>
      <c r="G25" s="131">
        <f>'BGS PTY23 Cost Alloc'!G25</f>
        <v>0.56210000000000004</v>
      </c>
      <c r="H25" s="131">
        <f>'BGS PTY23 Cost Alloc'!H25</f>
        <v>0.5413</v>
      </c>
      <c r="I25" s="131">
        <f>'BGS PTY23 Cost Alloc'!I25</f>
        <v>0.32179999999999997</v>
      </c>
      <c r="J25" s="24"/>
      <c r="K25" s="25"/>
      <c r="L25" s="25"/>
      <c r="M25" s="25"/>
      <c r="N25" s="26"/>
      <c r="O25" s="27"/>
      <c r="P25" s="27"/>
      <c r="Q25" s="27">
        <f t="shared" si="0"/>
        <v>0.52849999999999997</v>
      </c>
      <c r="R25" s="27">
        <f t="shared" si="0"/>
        <v>0.49850000000000005</v>
      </c>
      <c r="S25" s="27">
        <f t="shared" si="0"/>
        <v>0.43789999999999996</v>
      </c>
      <c r="T25" s="27">
        <f t="shared" si="0"/>
        <v>0.4587</v>
      </c>
      <c r="U25" s="27">
        <f t="shared" si="0"/>
        <v>0.67820000000000003</v>
      </c>
      <c r="V25" s="27"/>
      <c r="W25" s="27"/>
      <c r="X25" s="27"/>
      <c r="Y25" s="27"/>
      <c r="Z25" s="27"/>
    </row>
    <row r="26" spans="1:26" x14ac:dyDescent="0.6">
      <c r="A26" s="7"/>
      <c r="B26" s="23" t="s">
        <v>12</v>
      </c>
      <c r="C26" s="24"/>
      <c r="D26" s="24"/>
      <c r="E26" s="131">
        <f>'BGS PTY23 Cost Alloc'!E26</f>
        <v>0.48380000000000001</v>
      </c>
      <c r="F26" s="131">
        <f>'BGS PTY23 Cost Alloc'!F26</f>
        <v>0.49409999999999998</v>
      </c>
      <c r="G26" s="131">
        <f>'BGS PTY23 Cost Alloc'!G26</f>
        <v>0.54910000000000003</v>
      </c>
      <c r="H26" s="131">
        <f>'BGS PTY23 Cost Alloc'!H26</f>
        <v>0.53990000000000005</v>
      </c>
      <c r="I26" s="131">
        <f>'BGS PTY23 Cost Alloc'!I26</f>
        <v>0.3246</v>
      </c>
      <c r="J26" s="24"/>
      <c r="K26" s="25"/>
      <c r="L26" s="25"/>
      <c r="M26" s="25"/>
      <c r="N26" s="26"/>
      <c r="O26" s="27"/>
      <c r="P26" s="27"/>
      <c r="Q26" s="27">
        <f t="shared" si="0"/>
        <v>0.51619999999999999</v>
      </c>
      <c r="R26" s="27">
        <f t="shared" si="0"/>
        <v>0.50590000000000002</v>
      </c>
      <c r="S26" s="27">
        <f t="shared" si="0"/>
        <v>0.45089999999999997</v>
      </c>
      <c r="T26" s="27">
        <f t="shared" si="0"/>
        <v>0.46009999999999995</v>
      </c>
      <c r="U26" s="27">
        <f t="shared" si="0"/>
        <v>0.6754</v>
      </c>
      <c r="V26" s="27"/>
      <c r="W26" s="27"/>
      <c r="X26" s="27"/>
      <c r="Y26" s="27"/>
      <c r="Z26" s="27"/>
    </row>
    <row r="27" spans="1:26" x14ac:dyDescent="0.6">
      <c r="A27" s="7"/>
      <c r="B27" s="23"/>
      <c r="C27" s="26"/>
      <c r="D27" s="26"/>
      <c r="E27" s="26"/>
      <c r="F27" s="26"/>
      <c r="G27" s="26"/>
      <c r="H27" s="26"/>
      <c r="I27" s="28"/>
      <c r="J27" s="28"/>
      <c r="K27" s="26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6">
      <c r="A28" s="7"/>
      <c r="B28" s="23"/>
      <c r="C28" s="26"/>
      <c r="D28" s="26"/>
      <c r="E28" s="26"/>
      <c r="F28" s="26"/>
      <c r="G28" s="26"/>
      <c r="H28" s="26"/>
      <c r="I28" s="28"/>
      <c r="J28" s="28"/>
      <c r="K28" s="26"/>
      <c r="L28" s="26"/>
      <c r="M28" s="26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6">
      <c r="A29" s="6" t="s">
        <v>31</v>
      </c>
      <c r="B29" s="16" t="s">
        <v>57</v>
      </c>
      <c r="C29" s="26"/>
      <c r="D29" s="26"/>
      <c r="E29" s="26"/>
      <c r="F29" s="29" t="s">
        <v>46</v>
      </c>
      <c r="G29" s="26"/>
      <c r="H29" s="26"/>
      <c r="I29" s="28"/>
      <c r="J29" s="28"/>
      <c r="K29" s="26"/>
      <c r="L29" s="26"/>
      <c r="M29" s="26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53.25" customHeight="1" x14ac:dyDescent="0.6">
      <c r="A30" s="7"/>
      <c r="C30" s="19"/>
      <c r="D30" s="19"/>
      <c r="E30" s="19" t="str">
        <f>'BGS PTY23 Cost Alloc'!$E$30</f>
        <v>2024 Forecasted Calendar Month Sales</v>
      </c>
      <c r="F30" s="19" t="s">
        <v>39</v>
      </c>
      <c r="G30" s="19" t="s">
        <v>39</v>
      </c>
      <c r="H30" s="19" t="str">
        <f>'BGS PTY23 Cost Alloc'!$E$30</f>
        <v>2024 Forecasted Calendar Month Sales</v>
      </c>
      <c r="I30" s="19" t="s">
        <v>39</v>
      </c>
      <c r="J30" s="19"/>
      <c r="K30" s="19"/>
      <c r="L30" s="19"/>
      <c r="M30" s="19"/>
      <c r="N30" s="15"/>
      <c r="O30" s="19"/>
      <c r="P30" s="19"/>
      <c r="Q30" s="19" t="str">
        <f>'BGS PTY23 Cost Alloc'!Q30</f>
        <v>2024 Forecasted Calendar Month Sales</v>
      </c>
      <c r="R30" s="19" t="s">
        <v>39</v>
      </c>
      <c r="S30" s="19" t="s">
        <v>39</v>
      </c>
      <c r="T30" s="19" t="str">
        <f>'BGS PTY23 Cost Alloc'!T30</f>
        <v>2024 Forecasted Calendar Month Sales</v>
      </c>
      <c r="U30" s="19" t="s">
        <v>39</v>
      </c>
      <c r="V30" s="19"/>
      <c r="W30" s="19"/>
      <c r="X30" s="19"/>
      <c r="Y30" s="19"/>
      <c r="Z30" s="19"/>
    </row>
    <row r="31" spans="1:26" x14ac:dyDescent="0.6">
      <c r="A31" s="7"/>
      <c r="B31" s="20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22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6">
      <c r="A33" s="7"/>
      <c r="B33" s="23" t="s">
        <v>1</v>
      </c>
      <c r="C33" s="30"/>
      <c r="D33" s="113"/>
      <c r="E33" s="131">
        <f>'BGS PTY23 Cost Alloc'!E33</f>
        <v>0.35580000000000001</v>
      </c>
      <c r="F33" s="134" t="s">
        <v>40</v>
      </c>
      <c r="G33" s="134" t="s">
        <v>40</v>
      </c>
      <c r="H33" s="131">
        <f>'BGS PTY23 Cost Alloc'!H33</f>
        <v>0.41980000000000001</v>
      </c>
      <c r="I33" s="134" t="s">
        <v>40</v>
      </c>
      <c r="J33" s="30"/>
      <c r="K33" s="30"/>
      <c r="L33" s="26"/>
      <c r="M33" s="25"/>
      <c r="N33" s="26"/>
      <c r="O33" s="27"/>
      <c r="P33" s="27"/>
      <c r="Q33" s="27">
        <f t="shared" ref="Q33:Q44" si="1">1-E33</f>
        <v>0.64419999999999999</v>
      </c>
      <c r="R33" s="27"/>
      <c r="S33" s="27"/>
      <c r="T33" s="27">
        <f t="shared" ref="T33:T44" si="2">1-H33</f>
        <v>0.58020000000000005</v>
      </c>
      <c r="U33" s="27"/>
      <c r="V33" s="27"/>
      <c r="W33" s="27"/>
      <c r="X33" s="27"/>
      <c r="Y33" s="27"/>
      <c r="Z33" s="27"/>
    </row>
    <row r="34" spans="1:26" x14ac:dyDescent="0.6">
      <c r="A34" s="7"/>
      <c r="B34" s="23" t="s">
        <v>2</v>
      </c>
      <c r="C34" s="30"/>
      <c r="D34" s="113"/>
      <c r="E34" s="131">
        <f>'BGS PTY23 Cost Alloc'!E34</f>
        <v>0.34810000000000002</v>
      </c>
      <c r="F34" s="134" t="s">
        <v>40</v>
      </c>
      <c r="G34" s="134" t="s">
        <v>40</v>
      </c>
      <c r="H34" s="131">
        <f>'BGS PTY23 Cost Alloc'!H34</f>
        <v>0.41289999999999999</v>
      </c>
      <c r="I34" s="134" t="s">
        <v>40</v>
      </c>
      <c r="J34" s="30"/>
      <c r="K34" s="30"/>
      <c r="L34" s="26"/>
      <c r="M34" s="25"/>
      <c r="N34" s="26"/>
      <c r="O34" s="27"/>
      <c r="P34" s="27"/>
      <c r="Q34" s="27">
        <f t="shared" si="1"/>
        <v>0.65189999999999992</v>
      </c>
      <c r="R34" s="27"/>
      <c r="S34" s="27"/>
      <c r="T34" s="27">
        <f t="shared" si="2"/>
        <v>0.58709999999999996</v>
      </c>
      <c r="U34" s="27"/>
      <c r="V34" s="27"/>
      <c r="W34" s="27"/>
      <c r="X34" s="27"/>
      <c r="Y34" s="27"/>
      <c r="Z34" s="27"/>
    </row>
    <row r="35" spans="1:26" x14ac:dyDescent="0.6">
      <c r="A35" s="7"/>
      <c r="B35" s="23" t="s">
        <v>3</v>
      </c>
      <c r="C35" s="30"/>
      <c r="D35" s="113"/>
      <c r="E35" s="131">
        <f>'BGS PTY23 Cost Alloc'!E35</f>
        <v>0.34720000000000001</v>
      </c>
      <c r="F35" s="134" t="s">
        <v>40</v>
      </c>
      <c r="G35" s="134" t="s">
        <v>40</v>
      </c>
      <c r="H35" s="131">
        <f>'BGS PTY23 Cost Alloc'!H35</f>
        <v>0.41339999999999999</v>
      </c>
      <c r="I35" s="134" t="s">
        <v>40</v>
      </c>
      <c r="J35" s="30"/>
      <c r="K35" s="30"/>
      <c r="L35" s="26"/>
      <c r="M35" s="25"/>
      <c r="N35" s="26"/>
      <c r="O35" s="27"/>
      <c r="P35" s="27"/>
      <c r="Q35" s="27">
        <f t="shared" si="1"/>
        <v>0.65280000000000005</v>
      </c>
      <c r="R35" s="27"/>
      <c r="S35" s="27"/>
      <c r="T35" s="27">
        <f t="shared" si="2"/>
        <v>0.58660000000000001</v>
      </c>
      <c r="U35" s="27"/>
      <c r="V35" s="27"/>
      <c r="W35" s="27"/>
      <c r="X35" s="27"/>
      <c r="Y35" s="27"/>
      <c r="Z35" s="27"/>
    </row>
    <row r="36" spans="1:26" x14ac:dyDescent="0.6">
      <c r="A36" s="7"/>
      <c r="B36" s="23" t="s">
        <v>4</v>
      </c>
      <c r="C36" s="30"/>
      <c r="D36" s="113"/>
      <c r="E36" s="131">
        <f>'BGS PTY23 Cost Alloc'!E36</f>
        <v>0.35630000000000001</v>
      </c>
      <c r="F36" s="134" t="s">
        <v>40</v>
      </c>
      <c r="G36" s="134" t="s">
        <v>40</v>
      </c>
      <c r="H36" s="131">
        <f>'BGS PTY23 Cost Alloc'!H36</f>
        <v>0.41749999999999998</v>
      </c>
      <c r="I36" s="134" t="s">
        <v>40</v>
      </c>
      <c r="J36" s="30"/>
      <c r="K36" s="30"/>
      <c r="L36" s="26"/>
      <c r="M36" s="25"/>
      <c r="N36" s="26"/>
      <c r="O36" s="27"/>
      <c r="P36" s="27"/>
      <c r="Q36" s="27">
        <f t="shared" si="1"/>
        <v>0.64369999999999994</v>
      </c>
      <c r="R36" s="27"/>
      <c r="S36" s="27"/>
      <c r="T36" s="27">
        <f t="shared" si="2"/>
        <v>0.58250000000000002</v>
      </c>
      <c r="U36" s="27"/>
      <c r="V36" s="27"/>
      <c r="W36" s="27"/>
      <c r="X36" s="27"/>
      <c r="Y36" s="27"/>
      <c r="Z36" s="27"/>
    </row>
    <row r="37" spans="1:26" x14ac:dyDescent="0.6">
      <c r="A37" s="7"/>
      <c r="B37" s="23" t="s">
        <v>5</v>
      </c>
      <c r="C37" s="30"/>
      <c r="D37" s="113"/>
      <c r="E37" s="131">
        <f>'BGS PTY23 Cost Alloc'!E37</f>
        <v>0.37990000000000002</v>
      </c>
      <c r="F37" s="134" t="s">
        <v>40</v>
      </c>
      <c r="G37" s="134" t="s">
        <v>40</v>
      </c>
      <c r="H37" s="131">
        <f>'BGS PTY23 Cost Alloc'!H37</f>
        <v>0.42449999999999999</v>
      </c>
      <c r="I37" s="134" t="s">
        <v>40</v>
      </c>
      <c r="J37" s="30"/>
      <c r="K37" s="30"/>
      <c r="L37" s="26"/>
      <c r="M37" s="25"/>
      <c r="N37" s="26"/>
      <c r="O37" s="27"/>
      <c r="P37" s="27"/>
      <c r="Q37" s="27">
        <f t="shared" si="1"/>
        <v>0.62009999999999998</v>
      </c>
      <c r="R37" s="27"/>
      <c r="S37" s="27"/>
      <c r="T37" s="27">
        <f t="shared" si="2"/>
        <v>0.57550000000000001</v>
      </c>
      <c r="U37" s="27"/>
      <c r="V37" s="27"/>
      <c r="W37" s="27"/>
      <c r="X37" s="27"/>
      <c r="Y37" s="27"/>
      <c r="Z37" s="27"/>
    </row>
    <row r="38" spans="1:26" x14ac:dyDescent="0.6">
      <c r="A38" s="7"/>
      <c r="B38" s="23" t="s">
        <v>6</v>
      </c>
      <c r="C38" s="30"/>
      <c r="D38" s="113"/>
      <c r="E38" s="131">
        <f>'BGS PTY23 Cost Alloc'!E38</f>
        <v>0.40870000000000001</v>
      </c>
      <c r="F38" s="134" t="s">
        <v>40</v>
      </c>
      <c r="G38" s="134" t="s">
        <v>40</v>
      </c>
      <c r="H38" s="131">
        <f>'BGS PTY23 Cost Alloc'!H38</f>
        <v>0.4405</v>
      </c>
      <c r="I38" s="134" t="s">
        <v>40</v>
      </c>
      <c r="J38" s="30"/>
      <c r="K38" s="30"/>
      <c r="L38" s="26"/>
      <c r="M38" s="25"/>
      <c r="N38" s="26"/>
      <c r="O38" s="27"/>
      <c r="P38" s="27"/>
      <c r="Q38" s="27">
        <f t="shared" si="1"/>
        <v>0.59129999999999994</v>
      </c>
      <c r="R38" s="27"/>
      <c r="S38" s="27"/>
      <c r="T38" s="27">
        <f t="shared" si="2"/>
        <v>0.5595</v>
      </c>
      <c r="U38" s="27"/>
      <c r="V38" s="27"/>
      <c r="W38" s="27"/>
      <c r="X38" s="27"/>
      <c r="Y38" s="27"/>
      <c r="Z38" s="27"/>
    </row>
    <row r="39" spans="1:26" x14ac:dyDescent="0.6">
      <c r="A39" s="7"/>
      <c r="B39" s="23" t="s">
        <v>7</v>
      </c>
      <c r="C39" s="30"/>
      <c r="D39" s="113"/>
      <c r="E39" s="131">
        <f>'BGS PTY23 Cost Alloc'!E39</f>
        <v>0.42470000000000002</v>
      </c>
      <c r="F39" s="134" t="s">
        <v>40</v>
      </c>
      <c r="G39" s="134" t="s">
        <v>40</v>
      </c>
      <c r="H39" s="131">
        <f>'BGS PTY23 Cost Alloc'!H39</f>
        <v>0.45090000000000002</v>
      </c>
      <c r="I39" s="134" t="s">
        <v>40</v>
      </c>
      <c r="J39" s="30"/>
      <c r="K39" s="30"/>
      <c r="L39" s="26"/>
      <c r="M39" s="25"/>
      <c r="N39" s="26"/>
      <c r="O39" s="27"/>
      <c r="P39" s="27"/>
      <c r="Q39" s="27">
        <f t="shared" si="1"/>
        <v>0.57529999999999992</v>
      </c>
      <c r="R39" s="27"/>
      <c r="S39" s="27"/>
      <c r="T39" s="27">
        <f t="shared" si="2"/>
        <v>0.54909999999999992</v>
      </c>
      <c r="U39" s="27"/>
      <c r="V39" s="27"/>
      <c r="W39" s="27"/>
      <c r="X39" s="27"/>
      <c r="Y39" s="27"/>
      <c r="Z39" s="27"/>
    </row>
    <row r="40" spans="1:26" x14ac:dyDescent="0.6">
      <c r="A40" s="7"/>
      <c r="B40" s="23" t="s">
        <v>8</v>
      </c>
      <c r="C40" s="30"/>
      <c r="D40" s="113"/>
      <c r="E40" s="131">
        <f>'BGS PTY23 Cost Alloc'!E40</f>
        <v>0.42870000000000003</v>
      </c>
      <c r="F40" s="134" t="s">
        <v>40</v>
      </c>
      <c r="G40" s="134" t="s">
        <v>40</v>
      </c>
      <c r="H40" s="131">
        <f>'BGS PTY23 Cost Alloc'!H40</f>
        <v>0.44390000000000002</v>
      </c>
      <c r="I40" s="134" t="s">
        <v>40</v>
      </c>
      <c r="J40" s="30"/>
      <c r="K40" s="30"/>
      <c r="L40" s="26"/>
      <c r="M40" s="25"/>
      <c r="N40" s="26"/>
      <c r="O40" s="27"/>
      <c r="P40" s="27"/>
      <c r="Q40" s="27">
        <f t="shared" si="1"/>
        <v>0.57129999999999992</v>
      </c>
      <c r="R40" s="27"/>
      <c r="S40" s="27"/>
      <c r="T40" s="27">
        <f t="shared" si="2"/>
        <v>0.55610000000000004</v>
      </c>
      <c r="U40" s="27"/>
      <c r="V40" s="27"/>
      <c r="W40" s="27"/>
      <c r="X40" s="27"/>
      <c r="Y40" s="27"/>
      <c r="Z40" s="27"/>
    </row>
    <row r="41" spans="1:26" x14ac:dyDescent="0.6">
      <c r="A41" s="7"/>
      <c r="B41" s="23" t="s">
        <v>9</v>
      </c>
      <c r="C41" s="30"/>
      <c r="D41" s="113"/>
      <c r="E41" s="131">
        <f>'BGS PTY23 Cost Alloc'!E41</f>
        <v>0.41770000000000002</v>
      </c>
      <c r="F41" s="134" t="s">
        <v>40</v>
      </c>
      <c r="G41" s="134" t="s">
        <v>40</v>
      </c>
      <c r="H41" s="131">
        <f>'BGS PTY23 Cost Alloc'!H41</f>
        <v>0.4466</v>
      </c>
      <c r="I41" s="134" t="s">
        <v>40</v>
      </c>
      <c r="J41" s="30"/>
      <c r="K41" s="30"/>
      <c r="L41" s="26"/>
      <c r="M41" s="25"/>
      <c r="N41" s="26"/>
      <c r="O41" s="27"/>
      <c r="P41" s="27"/>
      <c r="Q41" s="27">
        <f t="shared" si="1"/>
        <v>0.58230000000000004</v>
      </c>
      <c r="R41" s="27"/>
      <c r="S41" s="27"/>
      <c r="T41" s="27">
        <f t="shared" si="2"/>
        <v>0.5534</v>
      </c>
      <c r="U41" s="27"/>
      <c r="V41" s="27"/>
      <c r="W41" s="27"/>
      <c r="X41" s="27"/>
      <c r="Y41" s="27"/>
      <c r="Z41" s="27"/>
    </row>
    <row r="42" spans="1:26" x14ac:dyDescent="0.6">
      <c r="A42" s="7"/>
      <c r="B42" s="23" t="s">
        <v>10</v>
      </c>
      <c r="C42" s="30"/>
      <c r="D42" s="113"/>
      <c r="E42" s="131">
        <f>'BGS PTY23 Cost Alloc'!E42</f>
        <v>0.38540000000000002</v>
      </c>
      <c r="F42" s="134" t="s">
        <v>40</v>
      </c>
      <c r="G42" s="134" t="s">
        <v>40</v>
      </c>
      <c r="H42" s="131">
        <f>'BGS PTY23 Cost Alloc'!H42</f>
        <v>0.44490000000000002</v>
      </c>
      <c r="I42" s="134" t="s">
        <v>40</v>
      </c>
      <c r="J42" s="30"/>
      <c r="K42" s="30"/>
      <c r="L42" s="26"/>
      <c r="M42" s="25"/>
      <c r="N42" s="26"/>
      <c r="O42" s="27"/>
      <c r="P42" s="27"/>
      <c r="Q42" s="27">
        <f t="shared" si="1"/>
        <v>0.61460000000000004</v>
      </c>
      <c r="R42" s="27"/>
      <c r="S42" s="27"/>
      <c r="T42" s="27">
        <f t="shared" si="2"/>
        <v>0.55509999999999993</v>
      </c>
      <c r="U42" s="27"/>
      <c r="V42" s="27"/>
      <c r="W42" s="27"/>
      <c r="X42" s="27"/>
      <c r="Y42" s="27"/>
      <c r="Z42" s="27"/>
    </row>
    <row r="43" spans="1:26" x14ac:dyDescent="0.6">
      <c r="A43" s="7"/>
      <c r="B43" s="23" t="s">
        <v>11</v>
      </c>
      <c r="C43" s="30"/>
      <c r="D43" s="113"/>
      <c r="E43" s="131">
        <f>'BGS PTY23 Cost Alloc'!E43</f>
        <v>0.36199999999999999</v>
      </c>
      <c r="F43" s="134" t="s">
        <v>40</v>
      </c>
      <c r="G43" s="134" t="s">
        <v>40</v>
      </c>
      <c r="H43" s="131">
        <f>'BGS PTY23 Cost Alloc'!H43</f>
        <v>0.43330000000000002</v>
      </c>
      <c r="I43" s="134" t="s">
        <v>40</v>
      </c>
      <c r="J43" s="30"/>
      <c r="K43" s="30"/>
      <c r="L43" s="26"/>
      <c r="M43" s="25"/>
      <c r="N43" s="26"/>
      <c r="O43" s="27"/>
      <c r="P43" s="27"/>
      <c r="Q43" s="27">
        <f t="shared" si="1"/>
        <v>0.63800000000000001</v>
      </c>
      <c r="R43" s="27"/>
      <c r="S43" s="27"/>
      <c r="T43" s="27">
        <f t="shared" si="2"/>
        <v>0.56669999999999998</v>
      </c>
      <c r="U43" s="27"/>
      <c r="V43" s="27"/>
      <c r="W43" s="27"/>
      <c r="X43" s="27"/>
      <c r="Y43" s="27"/>
      <c r="Z43" s="27"/>
    </row>
    <row r="44" spans="1:26" x14ac:dyDescent="0.6">
      <c r="A44" s="7"/>
      <c r="B44" s="23" t="s">
        <v>12</v>
      </c>
      <c r="C44" s="30"/>
      <c r="D44" s="113"/>
      <c r="E44" s="131">
        <f>'BGS PTY23 Cost Alloc'!E44</f>
        <v>0.35899999999999999</v>
      </c>
      <c r="F44" s="134" t="s">
        <v>40</v>
      </c>
      <c r="G44" s="134" t="s">
        <v>40</v>
      </c>
      <c r="H44" s="131">
        <f>'BGS PTY23 Cost Alloc'!H44</f>
        <v>0.42049999999999998</v>
      </c>
      <c r="I44" s="134" t="s">
        <v>40</v>
      </c>
      <c r="J44" s="30"/>
      <c r="K44" s="30"/>
      <c r="L44" s="26"/>
      <c r="M44" s="25"/>
      <c r="N44" s="26"/>
      <c r="O44" s="27"/>
      <c r="P44" s="27"/>
      <c r="Q44" s="27">
        <f t="shared" si="1"/>
        <v>0.64100000000000001</v>
      </c>
      <c r="R44" s="27"/>
      <c r="S44" s="27"/>
      <c r="T44" s="27">
        <f t="shared" si="2"/>
        <v>0.57950000000000002</v>
      </c>
      <c r="U44" s="27"/>
      <c r="V44" s="27"/>
      <c r="W44" s="27"/>
      <c r="X44" s="27"/>
      <c r="Y44" s="27"/>
      <c r="Z44" s="27"/>
    </row>
    <row r="45" spans="1:26" x14ac:dyDescent="0.6">
      <c r="A45" s="7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26"/>
      <c r="M45" s="25"/>
      <c r="N45" s="26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6">
      <c r="A46" s="7"/>
      <c r="B46" s="31" t="s">
        <v>202</v>
      </c>
      <c r="C46" s="30"/>
      <c r="D46" s="30"/>
      <c r="E46" s="30"/>
      <c r="F46" s="30"/>
      <c r="G46" s="30"/>
      <c r="H46" s="30"/>
      <c r="I46" s="30"/>
      <c r="J46" s="30"/>
      <c r="K46" s="30"/>
      <c r="L46" s="26"/>
      <c r="M46" s="25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6">
      <c r="A47" s="7"/>
      <c r="B47" s="31" t="s">
        <v>213</v>
      </c>
      <c r="C47" s="26"/>
      <c r="D47" s="26"/>
      <c r="E47" s="26"/>
      <c r="F47" s="26"/>
      <c r="G47" s="26"/>
      <c r="H47" s="26"/>
      <c r="I47" s="28"/>
      <c r="J47" s="28"/>
      <c r="K47" s="26"/>
      <c r="L47" s="26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6">
      <c r="A48" s="7"/>
      <c r="B48" s="31" t="s">
        <v>66</v>
      </c>
      <c r="C48" s="26"/>
      <c r="D48" s="26"/>
      <c r="E48" s="26"/>
      <c r="F48" s="26"/>
      <c r="G48" s="26"/>
      <c r="H48" s="26"/>
      <c r="I48" s="28"/>
      <c r="J48" s="28"/>
      <c r="K48" s="26"/>
      <c r="L48" s="26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33" x14ac:dyDescent="0.6">
      <c r="A49" s="7"/>
      <c r="B49" s="31" t="s">
        <v>67</v>
      </c>
      <c r="C49" s="26"/>
      <c r="D49" s="26"/>
      <c r="E49" s="26"/>
      <c r="F49" s="26"/>
      <c r="G49" s="26"/>
      <c r="H49" s="26"/>
      <c r="I49" s="28"/>
      <c r="J49" s="28"/>
      <c r="K49" s="26"/>
      <c r="L49" s="26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33" x14ac:dyDescent="0.6">
      <c r="A50" s="7"/>
      <c r="B50" s="31" t="s">
        <v>68</v>
      </c>
      <c r="C50" s="26"/>
      <c r="D50" s="26"/>
      <c r="E50" s="26"/>
      <c r="F50" s="26"/>
      <c r="G50" s="26"/>
      <c r="H50" s="26"/>
      <c r="I50" s="28"/>
      <c r="J50" s="28"/>
      <c r="K50" s="26"/>
      <c r="L50" s="26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33" x14ac:dyDescent="0.6">
      <c r="A51" s="7"/>
      <c r="B51" s="23"/>
      <c r="C51" s="26"/>
      <c r="D51" s="26"/>
      <c r="E51" s="26"/>
      <c r="F51" s="26"/>
      <c r="G51" s="26"/>
      <c r="H51" s="26"/>
      <c r="I51" s="28"/>
      <c r="J51" s="28"/>
      <c r="K51" s="26"/>
      <c r="L51" s="26"/>
      <c r="M51" s="26"/>
      <c r="N51" s="26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33" ht="15.5" x14ac:dyDescent="0.7">
      <c r="A52" s="7"/>
      <c r="B52" s="570" t="str">
        <f>$B$1</f>
        <v xml:space="preserve">Jersey Central Power &amp; Light </v>
      </c>
      <c r="C52" s="570"/>
      <c r="D52" s="570"/>
      <c r="E52" s="570"/>
      <c r="F52" s="570"/>
      <c r="G52" s="570"/>
      <c r="H52" s="570"/>
      <c r="I52" s="570"/>
      <c r="J52" s="570"/>
      <c r="K52" s="570"/>
      <c r="L52" s="570"/>
      <c r="M52" s="26"/>
      <c r="N52" s="26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33" ht="15.5" x14ac:dyDescent="0.7">
      <c r="A53" s="7"/>
      <c r="B53" s="570" t="str">
        <f>$B$2</f>
        <v>Attachment 2</v>
      </c>
      <c r="C53" s="570"/>
      <c r="D53" s="570"/>
      <c r="E53" s="570"/>
      <c r="F53" s="570"/>
      <c r="G53" s="570"/>
      <c r="H53" s="570"/>
      <c r="I53" s="570"/>
      <c r="J53" s="570"/>
      <c r="K53" s="570"/>
      <c r="L53" s="570"/>
      <c r="M53" s="26"/>
      <c r="N53" s="26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33" x14ac:dyDescent="0.6">
      <c r="A54" s="7"/>
      <c r="B54" s="23"/>
      <c r="C54" s="26"/>
      <c r="D54" s="26"/>
      <c r="E54" s="26"/>
      <c r="F54" s="26"/>
      <c r="G54" s="26"/>
      <c r="H54" s="26"/>
      <c r="I54" s="28"/>
      <c r="J54" s="28"/>
      <c r="K54" s="26"/>
      <c r="L54" s="26"/>
      <c r="M54" s="26"/>
      <c r="N54" s="26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33" x14ac:dyDescent="0.6">
      <c r="A55" s="7"/>
      <c r="B55" s="23"/>
      <c r="C55" s="26"/>
      <c r="D55" s="26"/>
      <c r="E55" s="26"/>
      <c r="F55" s="26"/>
      <c r="G55" s="26"/>
      <c r="H55" s="26"/>
      <c r="I55" s="28"/>
      <c r="J55" s="28"/>
      <c r="K55" s="26"/>
      <c r="L55" s="26"/>
      <c r="M55" s="26"/>
      <c r="N55" s="26"/>
      <c r="O55" s="27"/>
      <c r="P55" s="27"/>
      <c r="Q55" s="27"/>
      <c r="R55" s="27"/>
      <c r="S55" s="27"/>
      <c r="T55" s="27"/>
      <c r="U55" s="27"/>
      <c r="V55" s="27"/>
      <c r="W55" s="146" t="str">
        <f>'BGS PTY23 Cost Alloc'!Y55</f>
        <v>Forecast 2024 Delivery MWh</v>
      </c>
      <c r="X55" s="147"/>
      <c r="Y55" s="147"/>
      <c r="Z55" s="26"/>
    </row>
    <row r="56" spans="1:33" x14ac:dyDescent="0.6">
      <c r="A56" s="6" t="s">
        <v>36</v>
      </c>
      <c r="B56" s="32" t="s">
        <v>48</v>
      </c>
      <c r="E56" s="26"/>
      <c r="F56" s="26"/>
      <c r="G56" s="26"/>
      <c r="H56" s="26"/>
      <c r="I56" s="28"/>
      <c r="J56" s="28"/>
      <c r="O56" s="1"/>
      <c r="W56" s="1"/>
      <c r="X56" s="1"/>
      <c r="Z56" s="144" t="s">
        <v>247</v>
      </c>
    </row>
    <row r="57" spans="1:33" x14ac:dyDescent="0.6">
      <c r="A57" s="7"/>
      <c r="B57" s="33" t="str">
        <f>'BGS PTY23 Cost Alloc'!$B$57</f>
        <v>calendar month sales forecasted for 2024</v>
      </c>
      <c r="N57" s="34"/>
      <c r="O57" s="35"/>
      <c r="P57" s="35"/>
      <c r="Q57" s="35" t="s">
        <v>129</v>
      </c>
      <c r="R57" s="35"/>
      <c r="S57" s="35"/>
      <c r="T57" s="35"/>
      <c r="U57" s="36"/>
      <c r="W57" s="2" t="s">
        <v>13</v>
      </c>
    </row>
    <row r="58" spans="1:33" x14ac:dyDescent="0.6">
      <c r="A58" s="7"/>
      <c r="B58" s="15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3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3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" t="s">
        <v>60</v>
      </c>
      <c r="AA58" s="2" t="s">
        <v>52</v>
      </c>
      <c r="AB58" s="2" t="s">
        <v>0</v>
      </c>
      <c r="AC58" s="2" t="s">
        <v>53</v>
      </c>
      <c r="AD58" s="2" t="s">
        <v>53</v>
      </c>
      <c r="AG58" s="2" t="s">
        <v>54</v>
      </c>
    </row>
    <row r="59" spans="1:33" x14ac:dyDescent="0.6">
      <c r="A59" s="7"/>
      <c r="M59" s="1" t="s">
        <v>180</v>
      </c>
      <c r="N59" s="39"/>
      <c r="U59" s="40"/>
    </row>
    <row r="60" spans="1:33" x14ac:dyDescent="0.6">
      <c r="A60" s="7"/>
      <c r="B60" s="23" t="s">
        <v>1</v>
      </c>
      <c r="C60" s="41"/>
      <c r="D60" s="41"/>
      <c r="E60" s="42">
        <f>'BGS PTY23 Cost Alloc'!E60</f>
        <v>19988</v>
      </c>
      <c r="F60" s="42">
        <f>'BGS PTY23 Cost Alloc'!F60</f>
        <v>843633</v>
      </c>
      <c r="G60" s="42">
        <f>'BGS PTY23 Cost Alloc'!G60</f>
        <v>507045</v>
      </c>
      <c r="H60" s="42">
        <f>'BGS PTY23 Cost Alloc'!H60</f>
        <v>14625</v>
      </c>
      <c r="I60" s="42">
        <f>'BGS PTY23 Cost Alloc'!I60</f>
        <v>11325</v>
      </c>
      <c r="J60" s="42">
        <f t="shared" ref="J60:J72" si="3">SUM(E60:I60)</f>
        <v>1396616</v>
      </c>
      <c r="K60" s="41"/>
      <c r="L60" s="41"/>
      <c r="M60" s="42">
        <f t="shared" ref="M60:M71" si="4">E60-ROUND(SUM($W60/1000),0)</f>
        <v>19274</v>
      </c>
      <c r="N60" s="43" t="s">
        <v>28</v>
      </c>
      <c r="O60" s="44"/>
      <c r="P60" s="4"/>
      <c r="Q60" s="4">
        <f>SUM(E60:E64,E69:E71)</f>
        <v>122419</v>
      </c>
      <c r="R60" s="4">
        <f>SUM(F60:F64,F69:F71)</f>
        <v>5568269</v>
      </c>
      <c r="S60" s="4">
        <f>SUM(G60:G64,G69:G71)</f>
        <v>3857947</v>
      </c>
      <c r="T60" s="4">
        <f>SUM(H60:H64,H69:H71)</f>
        <v>96129</v>
      </c>
      <c r="U60" s="45">
        <f>SUM(I60:I64,I69:I71)</f>
        <v>90653</v>
      </c>
      <c r="V60" s="145">
        <f>'BGS PTY23 Cost Alloc'!V60</f>
        <v>45292</v>
      </c>
      <c r="W60" s="42">
        <f>'BGS PTY23 Cost Alloc'!W60</f>
        <v>714168.30594957422</v>
      </c>
      <c r="X60" s="42">
        <f>'BGS PTY23 Cost Alloc'!X60</f>
        <v>47310.450338394672</v>
      </c>
      <c r="Y60" s="4">
        <f t="shared" ref="Y60:Y71" si="5">W60-X60</f>
        <v>666857.85561117949</v>
      </c>
      <c r="Z60" s="42">
        <f>'BGS PTY23 Cost Alloc'!Z60</f>
        <v>1738459.1219203153</v>
      </c>
      <c r="AA60" s="42">
        <f>'BGS PTY23 Cost Alloc'!AA60</f>
        <v>19273.66750889063</v>
      </c>
      <c r="AB60" s="42">
        <f>'BGS PTY23 Cost Alloc'!AB60</f>
        <v>841894.94779618143</v>
      </c>
      <c r="AC60" s="42">
        <f>'BGS PTY23 Cost Alloc'!AC60</f>
        <v>507092.13169780897</v>
      </c>
      <c r="AD60" s="42">
        <f>'BGS PTY23 Cost Alloc'!AD60</f>
        <v>559184.237697809</v>
      </c>
      <c r="AG60" s="42">
        <f>'BGS PTY23 Cost Alloc'!AG60</f>
        <v>14625.477903780222</v>
      </c>
    </row>
    <row r="61" spans="1:33" x14ac:dyDescent="0.6">
      <c r="A61" s="7"/>
      <c r="B61" s="23" t="s">
        <v>2</v>
      </c>
      <c r="C61" s="41"/>
      <c r="D61" s="41"/>
      <c r="E61" s="42">
        <f>'BGS PTY23 Cost Alloc'!E61</f>
        <v>20407</v>
      </c>
      <c r="F61" s="42">
        <f>'BGS PTY23 Cost Alloc'!F61</f>
        <v>815975</v>
      </c>
      <c r="G61" s="42">
        <f>'BGS PTY23 Cost Alloc'!G61</f>
        <v>519777</v>
      </c>
      <c r="H61" s="42">
        <f>'BGS PTY23 Cost Alloc'!H61</f>
        <v>13590</v>
      </c>
      <c r="I61" s="42">
        <f>'BGS PTY23 Cost Alloc'!I61</f>
        <v>11326</v>
      </c>
      <c r="J61" s="42">
        <f t="shared" si="3"/>
        <v>1381075</v>
      </c>
      <c r="K61" s="41"/>
      <c r="L61" s="41"/>
      <c r="M61" s="42">
        <f t="shared" si="4"/>
        <v>19714</v>
      </c>
      <c r="N61" s="43"/>
      <c r="O61" s="44"/>
      <c r="P61" s="73" t="s">
        <v>193</v>
      </c>
      <c r="Q61" s="4">
        <f>SUMPRODUCT(E33:E37,M60:M64)+SUMPRODUCT(E42:E44,M69:M71)</f>
        <v>42194.068100000004</v>
      </c>
      <c r="S61" s="5" t="s">
        <v>177</v>
      </c>
      <c r="T61" s="4">
        <f>SUMPRODUCT(H33:H37,H60:H64)+SUMPRODUCT(H42:H44,H69:H71)</f>
        <v>40633.899299999997</v>
      </c>
      <c r="U61" s="40">
        <f>T61/T60</f>
        <v>0.42270177885965732</v>
      </c>
      <c r="V61" s="145">
        <f>'BGS PTY23 Cost Alloc'!V61</f>
        <v>45323</v>
      </c>
      <c r="W61" s="42">
        <f>'BGS PTY23 Cost Alloc'!W61</f>
        <v>692855.51320816192</v>
      </c>
      <c r="X61" s="42">
        <f>'BGS PTY23 Cost Alloc'!X61</f>
        <v>21418.423384593865</v>
      </c>
      <c r="Y61" s="4">
        <f t="shared" si="5"/>
        <v>671437.08982356801</v>
      </c>
      <c r="Z61" s="42">
        <f>'BGS PTY23 Cost Alloc'!Z61</f>
        <v>1643777.4472847255</v>
      </c>
      <c r="AA61" s="42">
        <f>'BGS PTY23 Cost Alloc'!AA61</f>
        <v>19713.802880403193</v>
      </c>
      <c r="AB61" s="42">
        <f>'BGS PTY23 Cost Alloc'!AB61</f>
        <v>814330.98314831348</v>
      </c>
      <c r="AC61" s="42">
        <f>'BGS PTY23 Cost Alloc'!AC61</f>
        <v>519797.88675883482</v>
      </c>
      <c r="AD61" s="42">
        <f>'BGS PTY23 Cost Alloc'!AD61</f>
        <v>569419.8887588348</v>
      </c>
      <c r="AG61" s="42">
        <f>'BGS PTY23 Cost Alloc'!AG61</f>
        <v>13590.015416756458</v>
      </c>
    </row>
    <row r="62" spans="1:33" x14ac:dyDescent="0.6">
      <c r="A62" s="7"/>
      <c r="B62" s="23" t="s">
        <v>3</v>
      </c>
      <c r="C62" s="41"/>
      <c r="D62" s="41"/>
      <c r="E62" s="42">
        <f>'BGS PTY23 Cost Alloc'!E62</f>
        <v>18383</v>
      </c>
      <c r="F62" s="42">
        <f>'BGS PTY23 Cost Alloc'!F62</f>
        <v>744210</v>
      </c>
      <c r="G62" s="42">
        <f>'BGS PTY23 Cost Alloc'!G62</f>
        <v>518622</v>
      </c>
      <c r="H62" s="42">
        <f>'BGS PTY23 Cost Alloc'!H62</f>
        <v>9553</v>
      </c>
      <c r="I62" s="42">
        <f>'BGS PTY23 Cost Alloc'!I62</f>
        <v>11328</v>
      </c>
      <c r="J62" s="42">
        <f t="shared" si="3"/>
        <v>1302096</v>
      </c>
      <c r="K62" s="41"/>
      <c r="L62" s="41"/>
      <c r="M62" s="42">
        <f t="shared" si="4"/>
        <v>17735</v>
      </c>
      <c r="N62" s="43"/>
      <c r="O62" s="44"/>
      <c r="P62" s="73" t="s">
        <v>194</v>
      </c>
      <c r="Q62" s="4">
        <f>SUMPRODUCT(Q33:Q37,M60:M64)+SUMPRODUCT(Q42:Q44,M69:M71)</f>
        <v>75293.931899999996</v>
      </c>
      <c r="S62" s="5" t="s">
        <v>178</v>
      </c>
      <c r="T62" s="4">
        <f>+T60-T61</f>
        <v>55495.100700000003</v>
      </c>
      <c r="U62" s="40"/>
      <c r="V62" s="145">
        <f>'BGS PTY23 Cost Alloc'!V62</f>
        <v>45352</v>
      </c>
      <c r="W62" s="42">
        <f>'BGS PTY23 Cost Alloc'!W62</f>
        <v>648016.79527891637</v>
      </c>
      <c r="X62" s="42">
        <f>'BGS PTY23 Cost Alloc'!X62</f>
        <v>22276.405216539217</v>
      </c>
      <c r="Y62" s="4">
        <f t="shared" si="5"/>
        <v>625740.39006237721</v>
      </c>
      <c r="Z62" s="42">
        <f>'BGS PTY23 Cost Alloc'!Z62</f>
        <v>1659727.5818691335</v>
      </c>
      <c r="AA62" s="42">
        <f>'BGS PTY23 Cost Alloc'!AA62</f>
        <v>17734.532216683052</v>
      </c>
      <c r="AB62" s="42">
        <f>'BGS PTY23 Cost Alloc'!AB62</f>
        <v>742550.45000618196</v>
      </c>
      <c r="AC62" s="42">
        <f>'BGS PTY23 Cost Alloc'!AC62</f>
        <v>518643.91707055306</v>
      </c>
      <c r="AD62" s="42">
        <f>'BGS PTY23 Cost Alloc'!AD62</f>
        <v>568975.51707055303</v>
      </c>
      <c r="AG62" s="42">
        <f>'BGS PTY23 Cost Alloc'!AG62</f>
        <v>9553.2909160512681</v>
      </c>
    </row>
    <row r="63" spans="1:33" x14ac:dyDescent="0.6">
      <c r="A63" s="7"/>
      <c r="B63" s="23" t="s">
        <v>4</v>
      </c>
      <c r="C63" s="41"/>
      <c r="D63" s="41"/>
      <c r="E63" s="42">
        <f>'BGS PTY23 Cost Alloc'!E63</f>
        <v>14553</v>
      </c>
      <c r="F63" s="42">
        <f>'BGS PTY23 Cost Alloc'!F63</f>
        <v>628002</v>
      </c>
      <c r="G63" s="42">
        <f>'BGS PTY23 Cost Alloc'!G63</f>
        <v>482815</v>
      </c>
      <c r="H63" s="42">
        <f>'BGS PTY23 Cost Alloc'!H63</f>
        <v>12445</v>
      </c>
      <c r="I63" s="42">
        <f>'BGS PTY23 Cost Alloc'!I63</f>
        <v>11329</v>
      </c>
      <c r="J63" s="42">
        <f t="shared" si="3"/>
        <v>1149144</v>
      </c>
      <c r="K63" s="41"/>
      <c r="L63" s="41"/>
      <c r="M63" s="42">
        <f t="shared" si="4"/>
        <v>13876</v>
      </c>
      <c r="N63" s="39"/>
      <c r="P63" s="73" t="s">
        <v>195</v>
      </c>
      <c r="Q63" s="4">
        <f>SUM(W60:W64,W69:W71)/1000</f>
        <v>4931.8421941814795</v>
      </c>
      <c r="U63" s="40"/>
      <c r="V63" s="145">
        <f>'BGS PTY23 Cost Alloc'!V63</f>
        <v>45383</v>
      </c>
      <c r="W63" s="42">
        <f>'BGS PTY23 Cost Alloc'!W63</f>
        <v>676901.17042294855</v>
      </c>
      <c r="X63" s="42">
        <f>'BGS PTY23 Cost Alloc'!X63</f>
        <v>21934.18980132648</v>
      </c>
      <c r="Y63" s="4">
        <f t="shared" si="5"/>
        <v>654966.98062162206</v>
      </c>
      <c r="Z63" s="42">
        <f>'BGS PTY23 Cost Alloc'!Z63</f>
        <v>1212037.5557268381</v>
      </c>
      <c r="AA63" s="42">
        <f>'BGS PTY23 Cost Alloc'!AA63</f>
        <v>13876.227026417086</v>
      </c>
      <c r="AB63" s="42">
        <f>'BGS PTY23 Cost Alloc'!AB63</f>
        <v>626789.88593615184</v>
      </c>
      <c r="AC63" s="42">
        <f>'BGS PTY23 Cost Alloc'!AC63</f>
        <v>482836.92413725279</v>
      </c>
      <c r="AD63" s="42">
        <f>'BGS PTY23 Cost Alloc'!AD63</f>
        <v>533523.03813725279</v>
      </c>
      <c r="AG63" s="42">
        <f>'BGS PTY23 Cost Alloc'!AG63</f>
        <v>12445.320996005148</v>
      </c>
    </row>
    <row r="64" spans="1:33" x14ac:dyDescent="0.6">
      <c r="A64" s="7"/>
      <c r="B64" s="23" t="s">
        <v>5</v>
      </c>
      <c r="C64" s="41"/>
      <c r="D64" s="41"/>
      <c r="E64" s="42">
        <f>'BGS PTY23 Cost Alloc'!E64</f>
        <v>11833</v>
      </c>
      <c r="F64" s="42">
        <f>'BGS PTY23 Cost Alloc'!F64</f>
        <v>571865</v>
      </c>
      <c r="G64" s="42">
        <f>'BGS PTY23 Cost Alloc'!G64</f>
        <v>459712</v>
      </c>
      <c r="H64" s="42">
        <f>'BGS PTY23 Cost Alloc'!H64</f>
        <v>9659</v>
      </c>
      <c r="I64" s="42">
        <f>'BGS PTY23 Cost Alloc'!I64</f>
        <v>11331</v>
      </c>
      <c r="J64" s="42">
        <f t="shared" si="3"/>
        <v>1064400</v>
      </c>
      <c r="K64" s="41"/>
      <c r="L64" s="41"/>
      <c r="M64" s="42">
        <f t="shared" si="4"/>
        <v>11197</v>
      </c>
      <c r="N64" s="43" t="s">
        <v>29</v>
      </c>
      <c r="O64" s="44"/>
      <c r="P64" s="4"/>
      <c r="Q64" s="4">
        <f>+SUM(E65:E68)</f>
        <v>63333</v>
      </c>
      <c r="R64" s="4">
        <f>+SUM(F65:F68)</f>
        <v>4094064</v>
      </c>
      <c r="S64" s="4">
        <f>+SUM(G65:G68)</f>
        <v>2176849</v>
      </c>
      <c r="T64" s="4">
        <f>+SUM(H65:H68)</f>
        <v>55477</v>
      </c>
      <c r="U64" s="45">
        <f>+SUM(I65:I68)</f>
        <v>45335</v>
      </c>
      <c r="V64" s="145">
        <f>'BGS PTY23 Cost Alloc'!V64</f>
        <v>45413</v>
      </c>
      <c r="W64" s="42">
        <f>'BGS PTY23 Cost Alloc'!W64</f>
        <v>636395.67878371244</v>
      </c>
      <c r="X64" s="42">
        <f>'BGS PTY23 Cost Alloc'!X64</f>
        <v>22681.790941956795</v>
      </c>
      <c r="Y64" s="4">
        <f t="shared" si="5"/>
        <v>613713.88784175564</v>
      </c>
      <c r="Z64" s="42">
        <f>'BGS PTY23 Cost Alloc'!Z64</f>
        <v>904569.00992310338</v>
      </c>
      <c r="AA64" s="42">
        <f>'BGS PTY23 Cost Alloc'!AA64</f>
        <v>11196.665442697637</v>
      </c>
      <c r="AB64" s="42">
        <f>'BGS PTY23 Cost Alloc'!AB64</f>
        <v>570959.70451932971</v>
      </c>
      <c r="AC64" s="42">
        <f>'BGS PTY23 Cost Alloc'!AC64</f>
        <v>459735.20092025131</v>
      </c>
      <c r="AD64" s="42">
        <f>'BGS PTY23 Cost Alloc'!AD64</f>
        <v>513375.83192025131</v>
      </c>
      <c r="AG64" s="42">
        <f>'BGS PTY23 Cost Alloc'!AG64</f>
        <v>9659.1007647379338</v>
      </c>
    </row>
    <row r="65" spans="1:34" x14ac:dyDescent="0.6">
      <c r="A65" s="7"/>
      <c r="B65" s="23" t="s">
        <v>6</v>
      </c>
      <c r="C65" s="41"/>
      <c r="D65" s="41"/>
      <c r="E65" s="42">
        <f>'BGS PTY23 Cost Alloc'!E65</f>
        <v>13312</v>
      </c>
      <c r="F65" s="42">
        <f>'BGS PTY23 Cost Alloc'!F65</f>
        <v>761373</v>
      </c>
      <c r="G65" s="42">
        <f>'BGS PTY23 Cost Alloc'!G65</f>
        <v>495571</v>
      </c>
      <c r="H65" s="42">
        <f>'BGS PTY23 Cost Alloc'!H65</f>
        <v>16388</v>
      </c>
      <c r="I65" s="42">
        <f>'BGS PTY23 Cost Alloc'!I65</f>
        <v>11332</v>
      </c>
      <c r="J65" s="42">
        <f t="shared" si="3"/>
        <v>1297976</v>
      </c>
      <c r="K65" s="41"/>
      <c r="L65" s="42"/>
      <c r="M65" s="42">
        <f t="shared" si="4"/>
        <v>12698</v>
      </c>
      <c r="N65" s="43"/>
      <c r="O65" s="44"/>
      <c r="P65" s="135" t="s">
        <v>151</v>
      </c>
      <c r="Q65" s="42">
        <f>SUMPRODUCT(E38:E41,M65:M68)</f>
        <v>25811.838199999998</v>
      </c>
      <c r="R65" s="42">
        <f>'BGS PTY23 Cost Alloc'!R65</f>
        <v>1972746.6948457141</v>
      </c>
      <c r="S65" s="5" t="s">
        <v>177</v>
      </c>
      <c r="T65" s="4">
        <f>+SUMPRODUCT(H38:H41,H65:H68)</f>
        <v>24685.819600000003</v>
      </c>
      <c r="U65" s="46">
        <f>T65/T64</f>
        <v>0.44497394595958689</v>
      </c>
      <c r="V65" s="145">
        <f>'BGS PTY23 Cost Alloc'!V65</f>
        <v>45444</v>
      </c>
      <c r="W65" s="42">
        <f>'BGS PTY23 Cost Alloc'!W65</f>
        <v>613594.85607070883</v>
      </c>
      <c r="X65" s="42">
        <f>'BGS PTY23 Cost Alloc'!X65</f>
        <v>22881.285699461809</v>
      </c>
      <c r="Y65" s="4">
        <f t="shared" si="5"/>
        <v>590713.57037124701</v>
      </c>
      <c r="Z65" s="42">
        <f>'BGS PTY23 Cost Alloc'!Z65</f>
        <v>952653.87326650089</v>
      </c>
      <c r="AA65" s="42">
        <f>'BGS PTY23 Cost Alloc'!AA65</f>
        <v>11746.241032176536</v>
      </c>
      <c r="AB65" s="42">
        <f>'BGS PTY23 Cost Alloc'!AB65</f>
        <v>761373.4250645896</v>
      </c>
      <c r="AC65" s="42">
        <f>'BGS PTY23 Cost Alloc'!AC65</f>
        <v>495594.03724929888</v>
      </c>
      <c r="AD65" s="42">
        <f>'BGS PTY23 Cost Alloc'!AD65</f>
        <v>546749.84124929889</v>
      </c>
      <c r="AG65" s="42">
        <f>'BGS PTY23 Cost Alloc'!AG65</f>
        <v>16387.796025361931</v>
      </c>
    </row>
    <row r="66" spans="1:34" x14ac:dyDescent="0.6">
      <c r="A66" s="7"/>
      <c r="B66" s="23" t="s">
        <v>7</v>
      </c>
      <c r="C66" s="41"/>
      <c r="D66" s="41"/>
      <c r="E66" s="42">
        <f>'BGS PTY23 Cost Alloc'!E66</f>
        <v>16459</v>
      </c>
      <c r="F66" s="42">
        <f>'BGS PTY23 Cost Alloc'!F66</f>
        <v>1076835</v>
      </c>
      <c r="G66" s="42">
        <f>'BGS PTY23 Cost Alloc'!G66</f>
        <v>539399</v>
      </c>
      <c r="H66" s="42">
        <f>'BGS PTY23 Cost Alloc'!H66</f>
        <v>11590</v>
      </c>
      <c r="I66" s="42">
        <f>'BGS PTY23 Cost Alloc'!I66</f>
        <v>11333</v>
      </c>
      <c r="J66" s="42">
        <f t="shared" si="3"/>
        <v>1655616</v>
      </c>
      <c r="K66" s="41"/>
      <c r="L66" s="42"/>
      <c r="M66" s="42">
        <f t="shared" si="4"/>
        <v>15958</v>
      </c>
      <c r="N66" s="43"/>
      <c r="O66" s="44"/>
      <c r="P66" s="135" t="s">
        <v>152</v>
      </c>
      <c r="Q66" s="42">
        <f>SUMPRODUCT(Q38:Q41,M65:M68)</f>
        <v>35534.161799999994</v>
      </c>
      <c r="R66" s="42">
        <f>'BGS PTY23 Cost Alloc'!R66</f>
        <v>2121317.3051542863</v>
      </c>
      <c r="S66" s="5" t="s">
        <v>178</v>
      </c>
      <c r="T66" s="4">
        <f>+T64-T65</f>
        <v>30791.180399999997</v>
      </c>
      <c r="U66" s="40"/>
      <c r="V66" s="145">
        <f>'BGS PTY23 Cost Alloc'!V66</f>
        <v>45474</v>
      </c>
      <c r="W66" s="42">
        <f>'BGS PTY23 Cost Alloc'!W66</f>
        <v>500681.23129008996</v>
      </c>
      <c r="X66" s="42">
        <f>'BGS PTY23 Cost Alloc'!X66</f>
        <v>9443.1819723864992</v>
      </c>
      <c r="Y66" s="4">
        <f t="shared" si="5"/>
        <v>491238.04931770347</v>
      </c>
      <c r="Z66" s="42">
        <f>'BGS PTY23 Cost Alloc'!Z66</f>
        <v>1158882.6846202938</v>
      </c>
      <c r="AA66" s="42">
        <f>'BGS PTY23 Cost Alloc'!AA66</f>
        <v>14799.32413881928</v>
      </c>
      <c r="AB66" s="42">
        <f>'BGS PTY23 Cost Alloc'!AB66</f>
        <v>1076835.4658018115</v>
      </c>
      <c r="AC66" s="42">
        <f>'BGS PTY23 Cost Alloc'!AC66</f>
        <v>539408.40828659036</v>
      </c>
      <c r="AD66" s="42">
        <f>'BGS PTY23 Cost Alloc'!AD66</f>
        <v>602958.38728659041</v>
      </c>
      <c r="AG66" s="42">
        <f>'BGS PTY23 Cost Alloc'!AG66</f>
        <v>11590.371810094513</v>
      </c>
    </row>
    <row r="67" spans="1:34" x14ac:dyDescent="0.6">
      <c r="A67" s="7"/>
      <c r="B67" s="23" t="s">
        <v>8</v>
      </c>
      <c r="C67" s="41"/>
      <c r="D67" s="41"/>
      <c r="E67" s="42">
        <f>'BGS PTY23 Cost Alloc'!E67</f>
        <v>17740</v>
      </c>
      <c r="F67" s="42">
        <f>'BGS PTY23 Cost Alloc'!F67</f>
        <v>1206905</v>
      </c>
      <c r="G67" s="42">
        <f>'BGS PTY23 Cost Alloc'!G67</f>
        <v>601943</v>
      </c>
      <c r="H67" s="42">
        <f>'BGS PTY23 Cost Alloc'!H67</f>
        <v>14844</v>
      </c>
      <c r="I67" s="42">
        <f>'BGS PTY23 Cost Alloc'!I67</f>
        <v>11334</v>
      </c>
      <c r="J67" s="42">
        <f t="shared" si="3"/>
        <v>1852766</v>
      </c>
      <c r="K67" s="41"/>
      <c r="L67" s="41"/>
      <c r="M67" s="42">
        <f t="shared" si="4"/>
        <v>17290</v>
      </c>
      <c r="N67" s="47"/>
      <c r="O67" s="48"/>
      <c r="P67" s="73" t="s">
        <v>195</v>
      </c>
      <c r="Q67" s="4">
        <f>SUM(W65:W68)/1000</f>
        <v>1986.5429326479127</v>
      </c>
      <c r="R67" s="55"/>
      <c r="S67" s="48"/>
      <c r="T67" s="48"/>
      <c r="U67" s="49"/>
      <c r="V67" s="145">
        <f>'BGS PTY23 Cost Alloc'!V67</f>
        <v>45505</v>
      </c>
      <c r="W67" s="42">
        <f>'BGS PTY23 Cost Alloc'!W67</f>
        <v>450086.96615424543</v>
      </c>
      <c r="X67" s="42">
        <f>'BGS PTY23 Cost Alloc'!X67</f>
        <v>9008.0147961036273</v>
      </c>
      <c r="Y67" s="4">
        <f t="shared" si="5"/>
        <v>441078.95135814179</v>
      </c>
      <c r="Z67" s="42">
        <f>'BGS PTY23 Cost Alloc'!Z67</f>
        <v>1132270.5860206091</v>
      </c>
      <c r="AA67" s="42">
        <f>'BGS PTY23 Cost Alloc'!AA67</f>
        <v>16158.118051931677</v>
      </c>
      <c r="AB67" s="42">
        <f>'BGS PTY23 Cost Alloc'!AB67</f>
        <v>1206904.5696542186</v>
      </c>
      <c r="AC67" s="42">
        <f>'BGS PTY23 Cost Alloc'!AC67</f>
        <v>601952.44049026025</v>
      </c>
      <c r="AD67" s="42">
        <f>'BGS PTY23 Cost Alloc'!AD67</f>
        <v>665882.65649026027</v>
      </c>
      <c r="AG67" s="42">
        <f>'BGS PTY23 Cost Alloc'!AG67</f>
        <v>14844.43914505776</v>
      </c>
    </row>
    <row r="68" spans="1:34" x14ac:dyDescent="0.6">
      <c r="A68" s="7"/>
      <c r="B68" s="23" t="s">
        <v>9</v>
      </c>
      <c r="C68" s="41"/>
      <c r="D68" s="41"/>
      <c r="E68" s="42">
        <f>'BGS PTY23 Cost Alloc'!E68</f>
        <v>15822</v>
      </c>
      <c r="F68" s="42">
        <f>'BGS PTY23 Cost Alloc'!F68</f>
        <v>1048951</v>
      </c>
      <c r="G68" s="42">
        <f>'BGS PTY23 Cost Alloc'!G68</f>
        <v>539936</v>
      </c>
      <c r="H68" s="42">
        <f>'BGS PTY23 Cost Alloc'!H68</f>
        <v>12655</v>
      </c>
      <c r="I68" s="42">
        <f>'BGS PTY23 Cost Alloc'!I68</f>
        <v>11336</v>
      </c>
      <c r="J68" s="42">
        <f t="shared" si="3"/>
        <v>1628700</v>
      </c>
      <c r="K68" s="41"/>
      <c r="L68" s="41"/>
      <c r="M68" s="42">
        <f t="shared" si="4"/>
        <v>15400</v>
      </c>
      <c r="N68" s="34"/>
      <c r="O68" s="35"/>
      <c r="P68" s="35"/>
      <c r="Q68" s="35" t="s">
        <v>130</v>
      </c>
      <c r="R68" s="35"/>
      <c r="S68" s="35"/>
      <c r="T68" s="35"/>
      <c r="U68" s="36"/>
      <c r="V68" s="145">
        <f>'BGS PTY23 Cost Alloc'!V68</f>
        <v>45536</v>
      </c>
      <c r="W68" s="42">
        <f>'BGS PTY23 Cost Alloc'!W68</f>
        <v>422179.87913286843</v>
      </c>
      <c r="X68" s="42">
        <f>'BGS PTY23 Cost Alloc'!X68</f>
        <v>2395.9581832066729</v>
      </c>
      <c r="Y68" s="4">
        <f t="shared" si="5"/>
        <v>419783.92094966176</v>
      </c>
      <c r="Z68" s="42">
        <f>'BGS PTY23 Cost Alloc'!Z68</f>
        <v>1107961.3292800277</v>
      </c>
      <c r="AA68" s="42">
        <f>'BGS PTY23 Cost Alloc'!AA68</f>
        <v>14291.501183564826</v>
      </c>
      <c r="AB68" s="42">
        <f>'BGS PTY23 Cost Alloc'!AB68</f>
        <v>1048950.5176228252</v>
      </c>
      <c r="AC68" s="42">
        <f>'BGS PTY23 Cost Alloc'!AC68</f>
        <v>539937.9740501825</v>
      </c>
      <c r="AD68" s="42">
        <f>'BGS PTY23 Cost Alloc'!AD68</f>
        <v>603850.56805018254</v>
      </c>
      <c r="AG68" s="42">
        <f>'BGS PTY23 Cost Alloc'!AG68</f>
        <v>12654.634464283474</v>
      </c>
    </row>
    <row r="69" spans="1:34" x14ac:dyDescent="0.6">
      <c r="A69" s="7"/>
      <c r="B69" s="23" t="s">
        <v>10</v>
      </c>
      <c r="C69" s="41"/>
      <c r="D69" s="41"/>
      <c r="E69" s="42">
        <f>'BGS PTY23 Cost Alloc'!E69</f>
        <v>10836</v>
      </c>
      <c r="F69" s="42">
        <f>'BGS PTY23 Cost Alloc'!F69</f>
        <v>686079</v>
      </c>
      <c r="G69" s="42">
        <f>'BGS PTY23 Cost Alloc'!G69</f>
        <v>456166</v>
      </c>
      <c r="H69" s="42">
        <f>'BGS PTY23 Cost Alloc'!H69</f>
        <v>9518</v>
      </c>
      <c r="I69" s="42">
        <f>'BGS PTY23 Cost Alloc'!I69</f>
        <v>11337</v>
      </c>
      <c r="J69" s="42">
        <f t="shared" si="3"/>
        <v>1173936</v>
      </c>
      <c r="K69" s="41"/>
      <c r="L69" s="41"/>
      <c r="M69" s="42">
        <f t="shared" si="4"/>
        <v>10376</v>
      </c>
      <c r="N69" s="3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38"/>
      <c r="V69" s="145">
        <f>'BGS PTY23 Cost Alloc'!V69</f>
        <v>45566</v>
      </c>
      <c r="W69" s="42">
        <f>'BGS PTY23 Cost Alloc'!W69</f>
        <v>460436.95673340856</v>
      </c>
      <c r="X69" s="42">
        <f>'BGS PTY23 Cost Alloc'!X69</f>
        <v>11800.213112073534</v>
      </c>
      <c r="Y69" s="4">
        <f t="shared" si="5"/>
        <v>448636.74362133502</v>
      </c>
      <c r="Z69" s="42">
        <f>'BGS PTY23 Cost Alloc'!Z69</f>
        <v>858451.66619244311</v>
      </c>
      <c r="AA69" s="42">
        <f>'BGS PTY23 Cost Alloc'!AA69</f>
        <v>10376.467503699943</v>
      </c>
      <c r="AB69" s="42">
        <f>'BGS PTY23 Cost Alloc'!AB69</f>
        <v>685220.84677986358</v>
      </c>
      <c r="AC69" s="42">
        <f>'BGS PTY23 Cost Alloc'!AC69</f>
        <v>456178.46513805812</v>
      </c>
      <c r="AD69" s="42">
        <f>'BGS PTY23 Cost Alloc'!AD69</f>
        <v>511881.17213805811</v>
      </c>
      <c r="AG69" s="42">
        <f>'BGS PTY23 Cost Alloc'!AG69</f>
        <v>9518.0213191605653</v>
      </c>
    </row>
    <row r="70" spans="1:34" x14ac:dyDescent="0.6">
      <c r="A70" s="7"/>
      <c r="B70" s="23" t="s">
        <v>11</v>
      </c>
      <c r="C70" s="41"/>
      <c r="D70" s="41"/>
      <c r="E70" s="42">
        <f>'BGS PTY23 Cost Alloc'!E70</f>
        <v>10921</v>
      </c>
      <c r="F70" s="42">
        <f>'BGS PTY23 Cost Alloc'!F70</f>
        <v>584113</v>
      </c>
      <c r="G70" s="42">
        <f>'BGS PTY23 Cost Alloc'!G70</f>
        <v>445898</v>
      </c>
      <c r="H70" s="42">
        <f>'BGS PTY23 Cost Alloc'!H70</f>
        <v>12458</v>
      </c>
      <c r="I70" s="42">
        <f>'BGS PTY23 Cost Alloc'!I70</f>
        <v>11339</v>
      </c>
      <c r="J70" s="42">
        <f t="shared" si="3"/>
        <v>1064729</v>
      </c>
      <c r="K70" s="41"/>
      <c r="L70" s="41"/>
      <c r="M70" s="42">
        <f t="shared" si="4"/>
        <v>10410</v>
      </c>
      <c r="N70" s="39"/>
      <c r="U70" s="40"/>
      <c r="V70" s="145">
        <f>'BGS PTY23 Cost Alloc'!V70</f>
        <v>45597</v>
      </c>
      <c r="W70" s="42">
        <f>'BGS PTY23 Cost Alloc'!W70</f>
        <v>511102.04542653472</v>
      </c>
      <c r="X70" s="42">
        <f>'BGS PTY23 Cost Alloc'!X70</f>
        <v>11546.055457467051</v>
      </c>
      <c r="Y70" s="4">
        <f t="shared" si="5"/>
        <v>499555.98996906768</v>
      </c>
      <c r="Z70" s="42">
        <f>'BGS PTY23 Cost Alloc'!Z70</f>
        <v>930860.51094852737</v>
      </c>
      <c r="AA70" s="42">
        <f>'BGS PTY23 Cost Alloc'!AA70</f>
        <v>10409.73179752875</v>
      </c>
      <c r="AB70" s="42">
        <f>'BGS PTY23 Cost Alloc'!AB70</f>
        <v>583181.72316450416</v>
      </c>
      <c r="AC70" s="42">
        <f>'BGS PTY23 Cost Alloc'!AC70</f>
        <v>445910.44108129031</v>
      </c>
      <c r="AD70" s="42">
        <f>'BGS PTY23 Cost Alloc'!AD70</f>
        <v>497606.39208129031</v>
      </c>
      <c r="AE70">
        <f>'BGS PTY23 Cost Alloc'!AE70</f>
        <v>0</v>
      </c>
      <c r="AG70" s="42">
        <f>'BGS PTY23 Cost Alloc'!AG70</f>
        <v>12458.436719186797</v>
      </c>
      <c r="AH70">
        <f>'BGS PTY23 Cost Alloc'!AH70</f>
        <v>33841009.719186798</v>
      </c>
    </row>
    <row r="71" spans="1:34" x14ac:dyDescent="0.6">
      <c r="A71" s="7"/>
      <c r="B71" s="23" t="s">
        <v>12</v>
      </c>
      <c r="C71" s="41"/>
      <c r="D71" s="41"/>
      <c r="E71" s="42">
        <f>'BGS PTY23 Cost Alloc'!E71</f>
        <v>15498</v>
      </c>
      <c r="F71" s="42">
        <f>'BGS PTY23 Cost Alloc'!F71</f>
        <v>694392</v>
      </c>
      <c r="G71" s="42">
        <f>'BGS PTY23 Cost Alloc'!G71</f>
        <v>467912</v>
      </c>
      <c r="H71" s="42">
        <f>'BGS PTY23 Cost Alloc'!H71</f>
        <v>14281</v>
      </c>
      <c r="I71" s="42">
        <f>'BGS PTY23 Cost Alloc'!I71</f>
        <v>11338</v>
      </c>
      <c r="J71" s="42">
        <f t="shared" si="3"/>
        <v>1203421</v>
      </c>
      <c r="K71" s="41"/>
      <c r="L71" s="41"/>
      <c r="M71" s="42">
        <f t="shared" si="4"/>
        <v>14906</v>
      </c>
      <c r="N71" s="43"/>
      <c r="O71" s="44"/>
      <c r="P71" s="97" t="s">
        <v>148</v>
      </c>
      <c r="Q71" s="4">
        <f>SUM(E60:E64,E69:E71)</f>
        <v>122419</v>
      </c>
      <c r="R71" s="4"/>
      <c r="S71" s="97" t="s">
        <v>148</v>
      </c>
      <c r="T71" s="4">
        <f>SUM(H60:H64,H69:H71)</f>
        <v>96129</v>
      </c>
      <c r="U71" s="45"/>
      <c r="V71" s="145">
        <f>'BGS PTY23 Cost Alloc'!V71</f>
        <v>45627</v>
      </c>
      <c r="W71" s="42">
        <f>'BGS PTY23 Cost Alloc'!W71</f>
        <v>591965.72837822326</v>
      </c>
      <c r="X71" s="42">
        <f>'BGS PTY23 Cost Alloc'!X71</f>
        <v>11634.902384070465</v>
      </c>
      <c r="Y71" s="4">
        <f t="shared" si="5"/>
        <v>580330.82599415281</v>
      </c>
      <c r="Z71" s="42">
        <f>'BGS PTY23 Cost Alloc'!Z71</f>
        <v>1335514.9208051851</v>
      </c>
      <c r="AA71" s="42">
        <f>'BGS PTY23 Cost Alloc'!AA71</f>
        <v>14906.436897410804</v>
      </c>
      <c r="AB71" s="42">
        <f>'BGS PTY23 Cost Alloc'!AB71</f>
        <v>693055.63958504656</v>
      </c>
      <c r="AC71" s="42">
        <f>'BGS PTY23 Cost Alloc'!AC71</f>
        <v>467923.50387229671</v>
      </c>
      <c r="AD71" s="42">
        <f>'BGS PTY23 Cost Alloc'!AD71</f>
        <v>518577.33887229674</v>
      </c>
      <c r="AE71">
        <f>'BGS PTY23 Cost Alloc'!AE71</f>
        <v>0</v>
      </c>
      <c r="AG71" s="42">
        <f>'BGS PTY23 Cost Alloc'!AG71</f>
        <v>14280.638364827864</v>
      </c>
      <c r="AH71">
        <f>'BGS PTY23 Cost Alloc'!AH71</f>
        <v>36658867.364827864</v>
      </c>
    </row>
    <row r="72" spans="1:34" x14ac:dyDescent="0.6">
      <c r="A72" s="7"/>
      <c r="B72" s="50" t="s">
        <v>13</v>
      </c>
      <c r="C72" s="4"/>
      <c r="D72" s="4"/>
      <c r="E72" s="4">
        <f>SUM(E60:E71)</f>
        <v>185752</v>
      </c>
      <c r="F72" s="4">
        <f>SUM(F60:F71)</f>
        <v>9662333</v>
      </c>
      <c r="G72" s="4">
        <f>SUM(G60:G71)</f>
        <v>6034796</v>
      </c>
      <c r="H72" s="4">
        <f>SUM(H60:H71)</f>
        <v>151606</v>
      </c>
      <c r="I72" s="4">
        <f>SUM(I60:I71)</f>
        <v>135988</v>
      </c>
      <c r="J72" s="4">
        <f t="shared" si="3"/>
        <v>16170475</v>
      </c>
      <c r="K72" s="4"/>
      <c r="L72" s="4"/>
      <c r="M72" s="4">
        <f>SUM(M60:M71)</f>
        <v>178834</v>
      </c>
      <c r="N72" s="43"/>
      <c r="O72" s="44"/>
      <c r="P72" s="73" t="s">
        <v>146</v>
      </c>
      <c r="Q72" s="4">
        <f>SUMPRODUCT(E15:E19,E60:E64)+SUMPRODUCT(E24:E26,E69:E71)</f>
        <v>58300.455999999998</v>
      </c>
      <c r="R72">
        <f>Q72/Q71</f>
        <v>0.47623698935622738</v>
      </c>
      <c r="S72" s="73" t="s">
        <v>177</v>
      </c>
      <c r="T72" s="4">
        <f>SUMPRODUCT(H15:H19,H60:H64)+SUMPRODUCT(H24:H26,H69:H71)</f>
        <v>51619.949299999993</v>
      </c>
      <c r="U72" s="40">
        <f>T72/T71</f>
        <v>0.5369862299618221</v>
      </c>
      <c r="W72" s="4">
        <f t="shared" ref="W72:AD72" si="6">SUM(W60:W71)</f>
        <v>6918385.1268293932</v>
      </c>
      <c r="X72" s="4">
        <f t="shared" si="6"/>
        <v>214330.87128758073</v>
      </c>
      <c r="Y72" s="4">
        <f t="shared" si="6"/>
        <v>6704054.2555418108</v>
      </c>
      <c r="Z72" s="4">
        <f t="shared" si="6"/>
        <v>14635166.287857704</v>
      </c>
      <c r="AA72" s="4">
        <f t="shared" si="6"/>
        <v>174482.71568022342</v>
      </c>
      <c r="AB72" s="4">
        <f t="shared" si="6"/>
        <v>9652048.1590790171</v>
      </c>
      <c r="AC72" s="4">
        <f t="shared" si="6"/>
        <v>6035011.3307526782</v>
      </c>
      <c r="AD72" s="4">
        <f t="shared" si="6"/>
        <v>6691984.869752679</v>
      </c>
      <c r="AE72">
        <f>'BGS PTY23 Cost Alloc'!AE72</f>
        <v>0</v>
      </c>
      <c r="AG72" s="4">
        <f>SUM(AG60:AG71)</f>
        <v>151607.54384530394</v>
      </c>
      <c r="AH72">
        <f>'BGS PTY23 Cost Alloc'!AH72</f>
        <v>429974947.84530389</v>
      </c>
    </row>
    <row r="73" spans="1:34" x14ac:dyDescent="0.6">
      <c r="A73" s="7"/>
      <c r="B73" s="23"/>
      <c r="J73" s="51"/>
      <c r="N73" s="43"/>
      <c r="O73" s="44"/>
      <c r="P73" s="73" t="s">
        <v>145</v>
      </c>
      <c r="Q73" s="4">
        <f>+Q71-Q72</f>
        <v>64118.544000000002</v>
      </c>
      <c r="S73" s="73" t="s">
        <v>178</v>
      </c>
      <c r="T73" s="4">
        <f>+T71-T72</f>
        <v>44509.050700000007</v>
      </c>
      <c r="U73" s="40"/>
    </row>
    <row r="74" spans="1:34" ht="15.5" x14ac:dyDescent="0.7">
      <c r="A74" s="7"/>
      <c r="N74" s="39"/>
      <c r="U74" s="40"/>
      <c r="V74" s="5" t="s">
        <v>181</v>
      </c>
      <c r="W74" t="s">
        <v>185</v>
      </c>
      <c r="X74" t="s">
        <v>184</v>
      </c>
      <c r="Y74" t="s">
        <v>182</v>
      </c>
      <c r="Z74" t="s">
        <v>183</v>
      </c>
      <c r="AB74" t="s">
        <v>186</v>
      </c>
      <c r="AC74" t="s">
        <v>211</v>
      </c>
      <c r="AE74" s="13"/>
    </row>
    <row r="75" spans="1:34" x14ac:dyDescent="0.6">
      <c r="A75" s="6" t="s">
        <v>37</v>
      </c>
      <c r="B75" s="1" t="s">
        <v>19</v>
      </c>
      <c r="G75" s="52" t="s">
        <v>32</v>
      </c>
      <c r="H75" s="1" t="s">
        <v>175</v>
      </c>
      <c r="N75" s="43"/>
      <c r="O75" s="44"/>
      <c r="P75" s="93" t="s">
        <v>149</v>
      </c>
      <c r="Q75" s="4">
        <f>+SUM(E65:E68)</f>
        <v>63333</v>
      </c>
      <c r="R75" s="2"/>
      <c r="S75" s="93" t="s">
        <v>149</v>
      </c>
      <c r="T75" s="4">
        <f>+SUM(H65:H68)</f>
        <v>55477</v>
      </c>
      <c r="U75" s="38"/>
      <c r="V75" s="4">
        <f t="shared" ref="V75:V86" si="7">W60-W75</f>
        <v>269747.51447884546</v>
      </c>
      <c r="W75" s="4">
        <f t="shared" ref="W75:W86" si="8">SUM(X75:Z75)</f>
        <v>444420.79147072876</v>
      </c>
      <c r="X75" s="42">
        <f>'BGS PTY23 Cost Alloc'!X75</f>
        <v>43562.586415394595</v>
      </c>
      <c r="Y75" s="42">
        <f>'BGS PTY23 Cost Alloc'!Y75</f>
        <v>396190.27898937667</v>
      </c>
      <c r="Z75" s="42">
        <f>'BGS PTY23 Cost Alloc'!Z75</f>
        <v>4667.9260659574775</v>
      </c>
      <c r="AA75" s="4"/>
      <c r="AB75">
        <f t="shared" ref="AB75:AB86" si="9">(V75*$AA$94+W75*$AA$95)/1000</f>
        <v>158.53057255755039</v>
      </c>
      <c r="AC75">
        <f t="shared" ref="AC75:AC86" si="10">(W60/1000)-AB75</f>
        <v>555.63773339202385</v>
      </c>
    </row>
    <row r="76" spans="1:34" x14ac:dyDescent="0.6">
      <c r="A76" s="7"/>
      <c r="B76" s="15" t="s">
        <v>21</v>
      </c>
      <c r="G76" s="18"/>
      <c r="H76" s="16" t="s">
        <v>174</v>
      </c>
      <c r="N76" s="43"/>
      <c r="O76" s="44"/>
      <c r="P76" s="73" t="s">
        <v>146</v>
      </c>
      <c r="Q76" s="4">
        <f>+SUMPRODUCT(E20:E23,E65:E68)</f>
        <v>32944.4827</v>
      </c>
      <c r="R76">
        <f>Q76/Q75</f>
        <v>0.52017878041463372</v>
      </c>
      <c r="S76" s="5" t="s">
        <v>177</v>
      </c>
      <c r="T76" s="4">
        <f>+SUMPRODUCT(H20:H23,H65:H68)</f>
        <v>31103.506000000001</v>
      </c>
      <c r="U76" s="40">
        <f>T76/T75</f>
        <v>0.56065587540782669</v>
      </c>
      <c r="V76" s="4">
        <f t="shared" si="7"/>
        <v>264212.51254411967</v>
      </c>
      <c r="W76" s="4">
        <f t="shared" si="8"/>
        <v>428643.00066404225</v>
      </c>
      <c r="X76" s="42">
        <f>'BGS PTY23 Cost Alloc'!X76</f>
        <v>18066.514060241632</v>
      </c>
      <c r="Y76" s="42">
        <f>'BGS PTY23 Cost Alloc'!Y76</f>
        <v>406582.85793362715</v>
      </c>
      <c r="Z76" s="42">
        <f>'BGS PTY23 Cost Alloc'!Z76</f>
        <v>3993.6286701734825</v>
      </c>
      <c r="AA76" s="4"/>
      <c r="AB76">
        <f t="shared" si="9"/>
        <v>153.38357024908763</v>
      </c>
      <c r="AC76">
        <f t="shared" si="10"/>
        <v>539.47194295907434</v>
      </c>
    </row>
    <row r="77" spans="1:34" x14ac:dyDescent="0.6">
      <c r="A77" s="7"/>
      <c r="C77" s="2" t="s">
        <v>221</v>
      </c>
      <c r="D77" s="2" t="s">
        <v>218</v>
      </c>
      <c r="E77" s="2" t="s">
        <v>221</v>
      </c>
      <c r="F77" s="2" t="s">
        <v>218</v>
      </c>
      <c r="G77" s="2"/>
      <c r="N77" s="53"/>
      <c r="O77" s="54"/>
      <c r="P77" s="98" t="s">
        <v>145</v>
      </c>
      <c r="Q77" s="55">
        <f>Q75-Q76</f>
        <v>30388.5173</v>
      </c>
      <c r="R77" s="48"/>
      <c r="S77" s="111" t="s">
        <v>178</v>
      </c>
      <c r="T77" s="55">
        <f>T75-T76</f>
        <v>24373.493999999999</v>
      </c>
      <c r="U77" s="49"/>
      <c r="V77" s="4">
        <f t="shared" si="7"/>
        <v>252497.96959460346</v>
      </c>
      <c r="W77" s="4">
        <f t="shared" si="8"/>
        <v>395518.82568431291</v>
      </c>
      <c r="X77" s="42">
        <f>'BGS PTY23 Cost Alloc'!X77</f>
        <v>19023.811422903182</v>
      </c>
      <c r="Y77" s="42">
        <f>'BGS PTY23 Cost Alloc'!Y77</f>
        <v>372636.95075745677</v>
      </c>
      <c r="Z77" s="42">
        <f>'BGS PTY23 Cost Alloc'!Z77</f>
        <v>3858.0635039529584</v>
      </c>
      <c r="AA77" s="4"/>
      <c r="AB77">
        <f t="shared" si="9"/>
        <v>142.56664036216864</v>
      </c>
      <c r="AC77">
        <f t="shared" si="10"/>
        <v>505.45015491674769</v>
      </c>
      <c r="AD77" s="4">
        <f>SUM(AB65:AB68)</f>
        <v>4094063.9781434448</v>
      </c>
    </row>
    <row r="78" spans="1:34" x14ac:dyDescent="0.6">
      <c r="A78" s="7"/>
      <c r="C78" s="2" t="s">
        <v>14</v>
      </c>
      <c r="D78" s="2" t="s">
        <v>14</v>
      </c>
      <c r="E78" s="2" t="s">
        <v>15</v>
      </c>
      <c r="F78" s="2" t="s">
        <v>15</v>
      </c>
      <c r="H78" s="2" t="s">
        <v>14</v>
      </c>
      <c r="I78" s="2" t="s">
        <v>15</v>
      </c>
      <c r="N78" s="39"/>
      <c r="Q78" t="s">
        <v>58</v>
      </c>
      <c r="U78" s="40"/>
      <c r="V78" s="4">
        <f t="shared" si="7"/>
        <v>263087.31127706158</v>
      </c>
      <c r="W78" s="4">
        <f t="shared" si="8"/>
        <v>413813.85914588696</v>
      </c>
      <c r="X78" s="42">
        <f>'BGS PTY23 Cost Alloc'!X78</f>
        <v>18184.954093885619</v>
      </c>
      <c r="Y78" s="42">
        <f>'BGS PTY23 Cost Alloc'!Y78</f>
        <v>391260.22752627177</v>
      </c>
      <c r="Z78" s="42">
        <f>'BGS PTY23 Cost Alloc'!Z78</f>
        <v>4368.6775257295549</v>
      </c>
      <c r="AA78" s="4"/>
      <c r="AB78">
        <f t="shared" si="9"/>
        <v>149.03139236557615</v>
      </c>
      <c r="AC78">
        <f t="shared" si="10"/>
        <v>527.8697780573724</v>
      </c>
    </row>
    <row r="79" spans="1:34" x14ac:dyDescent="0.6">
      <c r="A79" s="7"/>
      <c r="B79" s="23" t="s">
        <v>1</v>
      </c>
      <c r="C79" s="57">
        <v>105.85</v>
      </c>
      <c r="D79" s="139">
        <f>ROUND(C79*$H$307,3)</f>
        <v>152.16999999999999</v>
      </c>
      <c r="E79" s="56">
        <v>35.018999999999998</v>
      </c>
      <c r="F79" s="139">
        <f>ROUND(E79*$H$307,3)</f>
        <v>50.343000000000004</v>
      </c>
      <c r="H79" s="28">
        <v>0.83790283790283804</v>
      </c>
      <c r="I79" s="28">
        <v>0.89894736842105261</v>
      </c>
      <c r="L79" s="42"/>
      <c r="N79" s="3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38"/>
      <c r="V79" s="4">
        <f t="shared" si="7"/>
        <v>260048.98563846748</v>
      </c>
      <c r="W79" s="4">
        <f t="shared" si="8"/>
        <v>376346.69314524496</v>
      </c>
      <c r="X79" s="42">
        <f>'BGS PTY23 Cost Alloc'!X79</f>
        <v>18811.209548180079</v>
      </c>
      <c r="Y79" s="42">
        <f>'BGS PTY23 Cost Alloc'!Y79</f>
        <v>353815.48958144424</v>
      </c>
      <c r="Z79" s="42">
        <f>'BGS PTY23 Cost Alloc'!Z79</f>
        <v>3719.9940156206694</v>
      </c>
      <c r="AA79" s="4"/>
      <c r="AB79">
        <f t="shared" si="9"/>
        <v>138.01195942421472</v>
      </c>
      <c r="AC79">
        <f t="shared" si="10"/>
        <v>498.38371935949772</v>
      </c>
    </row>
    <row r="80" spans="1:34" x14ac:dyDescent="0.6">
      <c r="A80" s="7"/>
      <c r="B80" s="23" t="s">
        <v>2</v>
      </c>
      <c r="C80" s="57">
        <v>98.35</v>
      </c>
      <c r="D80" s="139">
        <f>ROUND(C80*$H$307,3)</f>
        <v>141.38800000000001</v>
      </c>
      <c r="E80" s="56">
        <v>33.005000000000003</v>
      </c>
      <c r="F80" s="139">
        <f>ROUND(E80*$H$307,3)</f>
        <v>47.448</v>
      </c>
      <c r="H80" s="152">
        <f>H79</f>
        <v>0.83790283790283804</v>
      </c>
      <c r="I80" s="152">
        <f>I79</f>
        <v>0.89894736842105261</v>
      </c>
      <c r="L80" s="117"/>
      <c r="N80" s="39"/>
      <c r="U80" s="40"/>
      <c r="V80" s="4">
        <f t="shared" si="7"/>
        <v>242995.39314966428</v>
      </c>
      <c r="W80" s="4">
        <f t="shared" si="8"/>
        <v>370599.46292104456</v>
      </c>
      <c r="X80" s="42">
        <f>'BGS PTY23 Cost Alloc'!X80</f>
        <v>20065.620016285789</v>
      </c>
      <c r="Y80" s="42">
        <f>'BGS PTY23 Cost Alloc'!Y80</f>
        <v>347295.3619976028</v>
      </c>
      <c r="Z80" s="42">
        <f>'BGS PTY23 Cost Alloc'!Z80</f>
        <v>3238.4809071559698</v>
      </c>
      <c r="AA80" s="4"/>
      <c r="AB80">
        <f t="shared" si="9"/>
        <v>134.34694073196505</v>
      </c>
      <c r="AC80">
        <f t="shared" si="10"/>
        <v>479.24791533874378</v>
      </c>
    </row>
    <row r="81" spans="1:29" x14ac:dyDescent="0.6">
      <c r="A81" s="7"/>
      <c r="B81" s="23" t="s">
        <v>3</v>
      </c>
      <c r="C81" s="57">
        <v>56.95</v>
      </c>
      <c r="D81" s="139">
        <f>ROUND(C81*$H$307,3)</f>
        <v>81.872</v>
      </c>
      <c r="E81" s="56">
        <v>26.766999999999999</v>
      </c>
      <c r="F81" s="139">
        <f>ROUND(E81*$H$307,3)</f>
        <v>38.479999999999997</v>
      </c>
      <c r="H81" s="152">
        <f>H79</f>
        <v>0.83790283790283804</v>
      </c>
      <c r="I81" s="152">
        <f>I79</f>
        <v>0.89894736842105261</v>
      </c>
      <c r="L81" s="117"/>
      <c r="N81" s="43"/>
      <c r="O81" s="44"/>
      <c r="P81" s="97" t="s">
        <v>26</v>
      </c>
      <c r="Q81" s="4"/>
      <c r="R81" s="4"/>
      <c r="S81" s="97" t="s">
        <v>26</v>
      </c>
      <c r="T81" s="4"/>
      <c r="U81" s="45"/>
      <c r="V81" s="4">
        <f t="shared" si="7"/>
        <v>212667.78937835235</v>
      </c>
      <c r="W81" s="4">
        <f t="shared" si="8"/>
        <v>288013.44191173761</v>
      </c>
      <c r="X81" s="42">
        <f>'BGS PTY23 Cost Alloc'!X81</f>
        <v>6694.5225045978559</v>
      </c>
      <c r="Y81" s="42">
        <f>'BGS PTY23 Cost Alloc'!Y81</f>
        <v>278234.87276505836</v>
      </c>
      <c r="Z81" s="42">
        <f>'BGS PTY23 Cost Alloc'!Z81</f>
        <v>3084.0466420814123</v>
      </c>
      <c r="AA81" s="4"/>
      <c r="AB81">
        <f t="shared" si="9"/>
        <v>107.24449451741694</v>
      </c>
      <c r="AC81">
        <f t="shared" si="10"/>
        <v>393.43673677267304</v>
      </c>
    </row>
    <row r="82" spans="1:29" x14ac:dyDescent="0.6">
      <c r="A82" s="7"/>
      <c r="B82" s="23" t="s">
        <v>4</v>
      </c>
      <c r="C82" s="57">
        <v>50.35</v>
      </c>
      <c r="D82" s="139">
        <f>ROUND(C82*$H$307,3)</f>
        <v>72.382999999999996</v>
      </c>
      <c r="E82" s="56">
        <v>23.491</v>
      </c>
      <c r="F82" s="139">
        <f>ROUND(E82*$H$307,3)</f>
        <v>33.771000000000001</v>
      </c>
      <c r="H82" s="152">
        <f>H79</f>
        <v>0.83790283790283804</v>
      </c>
      <c r="I82" s="152">
        <f>I79</f>
        <v>0.89894736842105261</v>
      </c>
      <c r="L82" s="117"/>
      <c r="N82" s="43"/>
      <c r="O82" s="44"/>
      <c r="P82" s="73" t="s">
        <v>147</v>
      </c>
      <c r="Q82" s="4">
        <f>Q72-Q61</f>
        <v>16106.387899999994</v>
      </c>
      <c r="S82" s="73" t="s">
        <v>147</v>
      </c>
      <c r="T82" s="4">
        <f>T72-T61</f>
        <v>10986.049999999996</v>
      </c>
      <c r="U82" s="40"/>
      <c r="V82" s="4">
        <f t="shared" si="7"/>
        <v>185947.62078901089</v>
      </c>
      <c r="W82" s="4">
        <f t="shared" si="8"/>
        <v>264139.34536523453</v>
      </c>
      <c r="X82" s="42">
        <f>'BGS PTY23 Cost Alloc'!X82</f>
        <v>6622.8110758945277</v>
      </c>
      <c r="Y82" s="42">
        <f>'BGS PTY23 Cost Alloc'!Y82</f>
        <v>254888.00541652218</v>
      </c>
      <c r="Z82" s="42">
        <f>'BGS PTY23 Cost Alloc'!Z82</f>
        <v>2628.5288728177984</v>
      </c>
      <c r="AA82" s="4"/>
      <c r="AB82">
        <f t="shared" si="9"/>
        <v>97.272412872387719</v>
      </c>
      <c r="AC82">
        <f t="shared" si="10"/>
        <v>352.81455328185768</v>
      </c>
    </row>
    <row r="83" spans="1:29" x14ac:dyDescent="0.6">
      <c r="A83" s="7"/>
      <c r="B83" s="23" t="s">
        <v>5</v>
      </c>
      <c r="C83" s="57">
        <v>50.45</v>
      </c>
      <c r="D83" s="139">
        <f>ROUND(C83*$H$307,3)</f>
        <v>72.527000000000001</v>
      </c>
      <c r="E83" s="56">
        <v>23.885000000000002</v>
      </c>
      <c r="F83" s="139">
        <f>ROUND(E83*$H$307,3)</f>
        <v>34.337000000000003</v>
      </c>
      <c r="H83" s="152">
        <f>H79</f>
        <v>0.83790283790283804</v>
      </c>
      <c r="I83" s="152">
        <f>I79</f>
        <v>0.89894736842105261</v>
      </c>
      <c r="L83" s="117"/>
      <c r="N83" s="43"/>
      <c r="O83" s="44"/>
      <c r="P83" s="73" t="s">
        <v>150</v>
      </c>
      <c r="Q83" s="118">
        <f>Q82*(E117-E118)</f>
        <v>883817.65525552782</v>
      </c>
      <c r="S83" s="73" t="s">
        <v>150</v>
      </c>
      <c r="T83" s="118">
        <f>T82*(H117-H118)</f>
        <v>585507.36039111041</v>
      </c>
      <c r="U83" s="40"/>
      <c r="V83" s="4">
        <f t="shared" si="7"/>
        <v>179793.60246514203</v>
      </c>
      <c r="W83" s="4">
        <f t="shared" si="8"/>
        <v>242386.2766677264</v>
      </c>
      <c r="X83" s="42">
        <f>'BGS PTY23 Cost Alloc'!X83</f>
        <v>0</v>
      </c>
      <c r="Y83" s="42">
        <f>'BGS PTY23 Cost Alloc'!Y83</f>
        <v>240501.31994765304</v>
      </c>
      <c r="Z83" s="42">
        <f>'BGS PTY23 Cost Alloc'!Z83</f>
        <v>1884.956720073347</v>
      </c>
      <c r="AA83" s="4"/>
      <c r="AB83">
        <f t="shared" si="9"/>
        <v>90.352019698151082</v>
      </c>
      <c r="AC83">
        <f t="shared" si="10"/>
        <v>331.82785943471737</v>
      </c>
    </row>
    <row r="84" spans="1:29" x14ac:dyDescent="0.6">
      <c r="A84" s="7"/>
      <c r="B84" s="155" t="s">
        <v>6</v>
      </c>
      <c r="C84" s="365">
        <v>59.3</v>
      </c>
      <c r="D84" s="188">
        <f>ROUND(C84*$H$306,3)</f>
        <v>94.593999999999994</v>
      </c>
      <c r="E84" s="187">
        <v>20.359000000000002</v>
      </c>
      <c r="F84" s="189">
        <f>ROUND(E84*$H$306,3)</f>
        <v>32.475999999999999</v>
      </c>
      <c r="H84" s="108">
        <v>0.83211115399459668</v>
      </c>
      <c r="I84" s="109">
        <v>0.89575402635431922</v>
      </c>
      <c r="L84" s="117"/>
      <c r="N84" s="39"/>
      <c r="Q84" s="3"/>
      <c r="T84" s="3"/>
      <c r="U84" s="40"/>
      <c r="V84" s="4">
        <f t="shared" si="7"/>
        <v>191210.45188976498</v>
      </c>
      <c r="W84" s="4">
        <f t="shared" si="8"/>
        <v>269226.50484364358</v>
      </c>
      <c r="X84" s="42">
        <f>'BGS PTY23 Cost Alloc'!X84</f>
        <v>9392.292584910856</v>
      </c>
      <c r="Y84" s="42">
        <f>'BGS PTY23 Cost Alloc'!Y84</f>
        <v>257324.7072201315</v>
      </c>
      <c r="Z84" s="42">
        <f>'BGS PTY23 Cost Alloc'!Z84</f>
        <v>2509.5050386012094</v>
      </c>
      <c r="AA84" s="4"/>
      <c r="AB84">
        <f t="shared" si="9"/>
        <v>99.346008986013018</v>
      </c>
      <c r="AC84">
        <f t="shared" si="10"/>
        <v>361.09094774739555</v>
      </c>
    </row>
    <row r="85" spans="1:29" x14ac:dyDescent="0.6">
      <c r="A85" s="7"/>
      <c r="B85" s="159" t="s">
        <v>7</v>
      </c>
      <c r="C85" s="57">
        <v>77.45</v>
      </c>
      <c r="D85" s="139">
        <f>ROUND(C85*$H$306,3)</f>
        <v>123.547</v>
      </c>
      <c r="E85" s="56">
        <v>24.478000000000002</v>
      </c>
      <c r="F85" s="190">
        <f>ROUND(E85*$H$306,3)</f>
        <v>39.046999999999997</v>
      </c>
      <c r="H85" s="150">
        <f>H84</f>
        <v>0.83211115399459668</v>
      </c>
      <c r="I85" s="228">
        <f>I84</f>
        <v>0.89575402635431922</v>
      </c>
      <c r="L85" s="117"/>
      <c r="N85" s="43"/>
      <c r="O85" s="44"/>
      <c r="P85" s="93" t="s">
        <v>25</v>
      </c>
      <c r="Q85" s="3"/>
      <c r="R85" s="2"/>
      <c r="S85" s="93" t="s">
        <v>25</v>
      </c>
      <c r="T85" s="3"/>
      <c r="U85" s="38"/>
      <c r="V85" s="4">
        <f t="shared" si="7"/>
        <v>212295.19196345087</v>
      </c>
      <c r="W85" s="4">
        <f t="shared" si="8"/>
        <v>298806.85346308385</v>
      </c>
      <c r="X85" s="42">
        <f>'BGS PTY23 Cost Alloc'!X85</f>
        <v>9024.8474578914775</v>
      </c>
      <c r="Y85" s="42">
        <f>'BGS PTY23 Cost Alloc'!Y85</f>
        <v>286788.43041335104</v>
      </c>
      <c r="Z85" s="42">
        <f>'BGS PTY23 Cost Alloc'!Z85</f>
        <v>2993.575591841287</v>
      </c>
      <c r="AA85" s="4"/>
      <c r="AB85">
        <f t="shared" si="9"/>
        <v>110.27037894891853</v>
      </c>
      <c r="AC85">
        <f t="shared" si="10"/>
        <v>400.83166647761618</v>
      </c>
    </row>
    <row r="86" spans="1:29" x14ac:dyDescent="0.6">
      <c r="A86" s="7"/>
      <c r="B86" s="159" t="s">
        <v>8</v>
      </c>
      <c r="C86" s="57">
        <v>68.599999999999994</v>
      </c>
      <c r="D86" s="139">
        <f>ROUND(C86*$H$306,3)</f>
        <v>109.429</v>
      </c>
      <c r="E86" s="56">
        <v>22.401</v>
      </c>
      <c r="F86" s="190">
        <f>ROUND(E86*$H$306,3)</f>
        <v>35.734000000000002</v>
      </c>
      <c r="H86" s="150">
        <f>H84</f>
        <v>0.83211115399459668</v>
      </c>
      <c r="I86" s="228">
        <f>I84</f>
        <v>0.89575402635431922</v>
      </c>
      <c r="L86" s="117"/>
      <c r="N86" s="43"/>
      <c r="O86" s="44"/>
      <c r="P86" s="73" t="s">
        <v>147</v>
      </c>
      <c r="Q86" s="4">
        <f>Q76-Q65</f>
        <v>7132.6445000000022</v>
      </c>
      <c r="S86" s="73" t="s">
        <v>147</v>
      </c>
      <c r="T86" s="4">
        <f>T76-T65</f>
        <v>6417.6863999999987</v>
      </c>
      <c r="U86" s="40"/>
      <c r="V86" s="4">
        <f t="shared" si="7"/>
        <v>238090.12874521298</v>
      </c>
      <c r="W86" s="4">
        <f t="shared" si="8"/>
        <v>353875.59963301028</v>
      </c>
      <c r="X86" s="42">
        <f>'BGS PTY23 Cost Alloc'!X86</f>
        <v>8841.6231309367449</v>
      </c>
      <c r="Y86" s="42">
        <f>'BGS PTY23 Cost Alloc'!Y86</f>
        <v>341284.46054332634</v>
      </c>
      <c r="Z86" s="42">
        <f>'BGS PTY23 Cost Alloc'!Z86</f>
        <v>3749.5159587472094</v>
      </c>
      <c r="AA86" s="4"/>
      <c r="AB86">
        <f t="shared" si="9"/>
        <v>129.00579200813326</v>
      </c>
      <c r="AC86">
        <f t="shared" si="10"/>
        <v>462.95993637009002</v>
      </c>
    </row>
    <row r="87" spans="1:29" x14ac:dyDescent="0.6">
      <c r="A87" s="7"/>
      <c r="B87" s="161" t="s">
        <v>9</v>
      </c>
      <c r="C87" s="366">
        <v>55.65</v>
      </c>
      <c r="D87" s="192">
        <f>ROUND(C87*$H$306,3)</f>
        <v>88.772000000000006</v>
      </c>
      <c r="E87" s="191">
        <v>21.228999999999999</v>
      </c>
      <c r="F87" s="193">
        <f>ROUND(E87*$H$306,3)</f>
        <v>33.863999999999997</v>
      </c>
      <c r="H87" s="151">
        <f>H84</f>
        <v>0.83211115399459668</v>
      </c>
      <c r="I87" s="229">
        <f>I84</f>
        <v>0.89575402635431922</v>
      </c>
      <c r="L87" s="117"/>
      <c r="N87" s="53"/>
      <c r="O87" s="54"/>
      <c r="P87" s="98" t="s">
        <v>150</v>
      </c>
      <c r="Q87" s="119">
        <f>Q86*(E113-E114)</f>
        <v>442713.10150026251</v>
      </c>
      <c r="R87" s="48"/>
      <c r="S87" s="98" t="s">
        <v>150</v>
      </c>
      <c r="T87" s="119">
        <f>T86*(H113-H114)</f>
        <v>389343.52783536061</v>
      </c>
      <c r="U87" s="49"/>
      <c r="AA87" s="4"/>
    </row>
    <row r="88" spans="1:29" x14ac:dyDescent="0.6">
      <c r="A88" s="7"/>
      <c r="B88" s="23" t="s">
        <v>10</v>
      </c>
      <c r="C88" s="57">
        <v>49.8</v>
      </c>
      <c r="D88" s="139">
        <f>ROUND(C88*$H$307,3)</f>
        <v>71.593000000000004</v>
      </c>
      <c r="E88" s="56">
        <v>23.806000000000001</v>
      </c>
      <c r="F88" s="139">
        <f>ROUND(E88*$H$307,3)</f>
        <v>34.223999999999997</v>
      </c>
      <c r="H88" s="152">
        <f>H79</f>
        <v>0.83790283790283804</v>
      </c>
      <c r="I88" s="152">
        <f>I79</f>
        <v>0.89894736842105261</v>
      </c>
      <c r="L88" s="117"/>
    </row>
    <row r="89" spans="1:29" x14ac:dyDescent="0.6">
      <c r="A89" s="7"/>
      <c r="B89" s="23" t="s">
        <v>11</v>
      </c>
      <c r="C89" s="57">
        <v>52.9</v>
      </c>
      <c r="D89" s="139">
        <f>ROUND(C89*$H$307,3)</f>
        <v>76.049000000000007</v>
      </c>
      <c r="E89" s="56">
        <v>24.042999999999999</v>
      </c>
      <c r="F89" s="139">
        <f>ROUND(E89*$H$307,3)</f>
        <v>34.564</v>
      </c>
      <c r="H89" s="152">
        <f>H79</f>
        <v>0.83790283790283804</v>
      </c>
      <c r="I89" s="152">
        <f>I79</f>
        <v>0.89894736842105261</v>
      </c>
      <c r="L89" s="117"/>
    </row>
    <row r="90" spans="1:29" x14ac:dyDescent="0.6">
      <c r="A90" s="7"/>
      <c r="B90" s="23" t="s">
        <v>12</v>
      </c>
      <c r="C90" s="57">
        <v>69.95</v>
      </c>
      <c r="D90" s="139">
        <f>ROUND(C90*$H$307,3)</f>
        <v>100.56</v>
      </c>
      <c r="E90" s="56">
        <v>25.701000000000001</v>
      </c>
      <c r="F90" s="139">
        <f>ROUND(E90*$H$307,3)</f>
        <v>36.948</v>
      </c>
      <c r="G90" s="28"/>
      <c r="H90" s="152">
        <f>H79</f>
        <v>0.83790283790283804</v>
      </c>
      <c r="I90" s="152">
        <f>I79</f>
        <v>0.89894736842105261</v>
      </c>
      <c r="L90" s="117"/>
    </row>
    <row r="91" spans="1:29" x14ac:dyDescent="0.6">
      <c r="A91" s="7"/>
      <c r="B91" s="23"/>
      <c r="C91" s="57"/>
      <c r="D91" s="57"/>
      <c r="G91" s="28"/>
      <c r="K91" s="28"/>
      <c r="X91" t="s">
        <v>210</v>
      </c>
    </row>
    <row r="92" spans="1:29" x14ac:dyDescent="0.6">
      <c r="A92" s="6" t="s">
        <v>33</v>
      </c>
      <c r="B92" s="32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X92" t="s">
        <v>205</v>
      </c>
      <c r="Y92" s="5" t="s">
        <v>13</v>
      </c>
      <c r="Z92" s="5" t="s">
        <v>13</v>
      </c>
      <c r="AA92" s="5" t="s">
        <v>207</v>
      </c>
    </row>
    <row r="93" spans="1:29" x14ac:dyDescent="0.6">
      <c r="A93" s="7"/>
      <c r="C93" s="5"/>
      <c r="D93" s="5"/>
      <c r="E93" s="5"/>
      <c r="F93" s="5"/>
      <c r="X93" s="10" t="s">
        <v>206</v>
      </c>
      <c r="Y93" s="8" t="s">
        <v>207</v>
      </c>
      <c r="Z93" s="8" t="s">
        <v>208</v>
      </c>
      <c r="AA93" s="8" t="s">
        <v>209</v>
      </c>
    </row>
    <row r="94" spans="1:29" x14ac:dyDescent="0.6">
      <c r="A94" s="7"/>
      <c r="B94" s="23" t="s">
        <v>23</v>
      </c>
      <c r="C94" s="58"/>
      <c r="D94" s="58"/>
      <c r="E94" s="132">
        <f>'BGS PTY23 Cost Alloc'!E94</f>
        <v>0.105545</v>
      </c>
      <c r="F94" s="132">
        <f>'BGS PTY23 Cost Alloc'!F94</f>
        <v>0.105545</v>
      </c>
      <c r="G94" s="132">
        <f>'BGS PTY23 Cost Alloc'!G94</f>
        <v>0.105545</v>
      </c>
      <c r="H94" s="132">
        <f>'BGS PTY23 Cost Alloc'!H94</f>
        <v>0.105545</v>
      </c>
      <c r="I94" s="132">
        <f>'BGS PTY23 Cost Alloc'!I94</f>
        <v>0.105545</v>
      </c>
      <c r="J94" s="58"/>
      <c r="K94" s="58"/>
      <c r="L94" s="58"/>
      <c r="M94" s="58"/>
      <c r="W94" t="s">
        <v>181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29" x14ac:dyDescent="0.6">
      <c r="A95" s="7"/>
      <c r="B95" t="s">
        <v>20</v>
      </c>
      <c r="C95" s="59"/>
      <c r="D95" s="59"/>
      <c r="E95" s="59">
        <f>1/(1-E94)</f>
        <v>1.1179992285805322</v>
      </c>
      <c r="F95" s="59">
        <f>1/(1-F94)</f>
        <v>1.1179992285805322</v>
      </c>
      <c r="G95" s="59">
        <f>1/(1-G94)</f>
        <v>1.1179992285805322</v>
      </c>
      <c r="H95" s="59">
        <f>1/(1-H94)</f>
        <v>1.1179992285805322</v>
      </c>
      <c r="I95" s="59">
        <f>1/(1-I94)</f>
        <v>1.1179992285805322</v>
      </c>
      <c r="J95" s="59"/>
      <c r="K95" s="59"/>
      <c r="L95" s="59"/>
      <c r="M95" s="59"/>
      <c r="W95" t="s">
        <v>204</v>
      </c>
      <c r="X95">
        <f>(9*23+10*29)/52</f>
        <v>9.5576923076923084</v>
      </c>
      <c r="Y95">
        <f>X95*365*5/7</f>
        <v>2491.8269230769229</v>
      </c>
      <c r="Z95">
        <f>365*24</f>
        <v>8760</v>
      </c>
      <c r="AA95">
        <f>Y95/Z95</f>
        <v>0.28445512820512819</v>
      </c>
    </row>
    <row r="96" spans="1:29" x14ac:dyDescent="0.6">
      <c r="A96" s="7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</row>
    <row r="97" spans="1:29" x14ac:dyDescent="0.6">
      <c r="A97" s="7"/>
      <c r="B97" t="s">
        <v>263</v>
      </c>
      <c r="C97" s="59"/>
      <c r="D97" s="59"/>
      <c r="E97" s="224">
        <f>ROUND(1-1/E98,6)</f>
        <v>9.7689999999999999E-2</v>
      </c>
      <c r="F97" s="224">
        <f t="shared" ref="F97:I97" si="11">ROUND(1-1/F98,6)</f>
        <v>9.7689999999999999E-2</v>
      </c>
      <c r="G97" s="224">
        <f t="shared" si="11"/>
        <v>9.7689999999999999E-2</v>
      </c>
      <c r="H97" s="224">
        <f t="shared" si="11"/>
        <v>9.7689999999999999E-2</v>
      </c>
      <c r="I97" s="224">
        <f t="shared" si="11"/>
        <v>9.7689999999999999E-2</v>
      </c>
      <c r="J97" s="59"/>
      <c r="K97" s="59"/>
      <c r="L97" s="59"/>
      <c r="M97" s="59"/>
    </row>
    <row r="98" spans="1:29" x14ac:dyDescent="0.6">
      <c r="A98" s="7"/>
      <c r="B98" t="s">
        <v>262</v>
      </c>
      <c r="C98" s="59"/>
      <c r="D98" s="59"/>
      <c r="E98" s="59">
        <v>1.1082660727725406</v>
      </c>
      <c r="F98" s="59">
        <v>1.1082660727725406</v>
      </c>
      <c r="G98" s="59">
        <v>1.1082660727725406</v>
      </c>
      <c r="H98" s="59">
        <v>1.1082660727725406</v>
      </c>
      <c r="I98" s="59">
        <v>1.1082660727725406</v>
      </c>
      <c r="J98" s="59"/>
      <c r="K98" s="59"/>
      <c r="L98" s="59"/>
      <c r="Q98" s="42"/>
      <c r="R98" s="42"/>
      <c r="S98" s="42"/>
      <c r="T98" s="4"/>
    </row>
    <row r="99" spans="1:29" x14ac:dyDescent="0.6">
      <c r="A99" s="7"/>
      <c r="C99" s="59"/>
      <c r="D99" s="59"/>
      <c r="E99" s="59" t="s">
        <v>251</v>
      </c>
      <c r="F99" s="59"/>
      <c r="G99" s="59"/>
      <c r="H99" s="59"/>
      <c r="I99" s="59"/>
      <c r="J99" s="59"/>
      <c r="K99" s="59"/>
      <c r="L99" s="59"/>
      <c r="Q99" s="42"/>
      <c r="R99" s="42"/>
      <c r="S99" s="42"/>
      <c r="T99" s="4"/>
    </row>
    <row r="100" spans="1:29" x14ac:dyDescent="0.6">
      <c r="A100" s="7"/>
      <c r="C100" s="59"/>
      <c r="D100" s="59"/>
      <c r="E100" s="59"/>
      <c r="F100" s="59"/>
      <c r="G100" s="59"/>
      <c r="H100" s="59"/>
      <c r="I100" s="59"/>
      <c r="J100" s="59"/>
      <c r="K100" s="59"/>
      <c r="L100" s="59"/>
    </row>
    <row r="101" spans="1:29" x14ac:dyDescent="0.6">
      <c r="A101" s="7"/>
      <c r="B101" s="31" t="s">
        <v>284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</row>
    <row r="102" spans="1:29" x14ac:dyDescent="0.6">
      <c r="A102" s="7"/>
      <c r="B102" s="31" t="str">
        <f>'BGS PTY23 Cost Alloc'!$B$102</f>
        <v xml:space="preserve"> </v>
      </c>
    </row>
    <row r="103" spans="1:29" ht="15.5" x14ac:dyDescent="0.7">
      <c r="A103" s="7"/>
      <c r="B103" s="570" t="str">
        <f>$B$1</f>
        <v xml:space="preserve">Jersey Central Power &amp; Light </v>
      </c>
      <c r="C103" s="570"/>
      <c r="D103" s="570"/>
      <c r="E103" s="570"/>
      <c r="F103" s="570"/>
      <c r="G103" s="570"/>
      <c r="H103" s="570"/>
      <c r="I103" s="570"/>
      <c r="J103" s="570"/>
      <c r="K103" s="570"/>
      <c r="L103" s="570"/>
    </row>
    <row r="104" spans="1:29" ht="15.5" x14ac:dyDescent="0.7">
      <c r="A104" s="7"/>
      <c r="B104" s="570" t="str">
        <f>$B$2</f>
        <v>Attachment 2</v>
      </c>
      <c r="C104" s="570"/>
      <c r="D104" s="570"/>
      <c r="E104" s="570"/>
      <c r="F104" s="570"/>
      <c r="G104" s="570"/>
      <c r="H104" s="570"/>
      <c r="I104" s="570"/>
      <c r="J104" s="570"/>
      <c r="K104" s="570"/>
      <c r="L104" s="570"/>
    </row>
    <row r="105" spans="1:29" x14ac:dyDescent="0.6">
      <c r="A105" s="7"/>
    </row>
    <row r="106" spans="1:29" x14ac:dyDescent="0.6">
      <c r="A106" s="7"/>
    </row>
    <row r="107" spans="1:29" x14ac:dyDescent="0.6">
      <c r="A107" s="6" t="s">
        <v>34</v>
      </c>
      <c r="B107" s="1" t="s">
        <v>51</v>
      </c>
    </row>
    <row r="108" spans="1:29" x14ac:dyDescent="0.6">
      <c r="A108" s="7"/>
      <c r="B108" s="15" t="s">
        <v>171</v>
      </c>
      <c r="S108" s="240"/>
    </row>
    <row r="109" spans="1:29" x14ac:dyDescent="0.6">
      <c r="A109" s="7"/>
      <c r="B109" s="15" t="s">
        <v>21</v>
      </c>
      <c r="S109" s="92"/>
      <c r="AC109" s="536"/>
    </row>
    <row r="110" spans="1:29" x14ac:dyDescent="0.6">
      <c r="A110" s="7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12"/>
      <c r="P110" s="5"/>
      <c r="W110" s="538"/>
      <c r="AC110" s="534"/>
    </row>
    <row r="111" spans="1:29" x14ac:dyDescent="0.6">
      <c r="A111" s="7"/>
      <c r="R111" s="73"/>
      <c r="S111" s="539"/>
      <c r="W111" s="2"/>
      <c r="X111" s="12"/>
      <c r="Z111" s="5"/>
    </row>
    <row r="112" spans="1:29" x14ac:dyDescent="0.6">
      <c r="A112" s="7"/>
      <c r="B112" s="23" t="s">
        <v>17</v>
      </c>
      <c r="C112" s="60"/>
      <c r="D112" s="60"/>
      <c r="E112" s="61">
        <f>(SUMPRODUCT(E20:E23,E65:E68,$D84:$D87,$H84:$H87)*E95+SUMPRODUCT(Q20:Q23,E65:E68,$F84:$F87,$I84:$I87)*E95)/SUM(E65:E68)</f>
        <v>67.806243966083159</v>
      </c>
      <c r="F112" s="61">
        <f>(SUMPRODUCT(F20:F23,F65:F68,$D84:$D87,$H84:$H87)*F95+SUMPRODUCT(R20:R23,F65:F68,$F84:$F87,$I84:$I87)*F95)/SUM(F65:F68)</f>
        <v>68.173952777299831</v>
      </c>
      <c r="G112" s="61">
        <f>(SUMPRODUCT(G20:G23,G65:G68,$D84:$D87,$H84:$H87)*G95+SUMPRODUCT(S20:S23,G65:G68,$F84:$F87,$I84:$I87)*G95)/SUM(G65:G68)</f>
        <v>70.695462545389148</v>
      </c>
      <c r="H112" s="61">
        <f>(SUMPRODUCT(H20:H23,H65:H68,$D84:$D87,$H84:$H87)*H95+SUMPRODUCT(T20:T23,H65:H68,$F84:$F87,$I84:$I87)*H95)/SUM(H65:H68)</f>
        <v>69.187959960810971</v>
      </c>
      <c r="I112" s="61">
        <f>(SUMPRODUCT(I20:I23,I65:I68,$D84:$D87,$H84:$H87)*I95+SUMPRODUCT(U20:U23,I65:I68,$F84:$F87,$I84:$I87)*I95)/SUM(I65:I68)</f>
        <v>53.110408164283605</v>
      </c>
      <c r="J112" s="62"/>
      <c r="K112" s="60"/>
      <c r="L112" s="60"/>
      <c r="M112" s="540"/>
      <c r="Z112" s="273"/>
      <c r="AB112" s="73"/>
      <c r="AC112" s="539"/>
    </row>
    <row r="113" spans="1:30" x14ac:dyDescent="0.6">
      <c r="A113" s="7"/>
      <c r="B113" s="63" t="s">
        <v>41</v>
      </c>
      <c r="C113" s="60"/>
      <c r="D113" s="60"/>
      <c r="E113" s="61">
        <f>(SUMPRODUCT(E20:E23,E65:E68,$D84:$D87,$H84:$H87)*E95)/SUMPRODUCT(E20:E23,E65:E68)</f>
        <v>97.588064760358819</v>
      </c>
      <c r="F113" s="61">
        <f>(SUMPRODUCT(F20:F23,F65:F68,$D84:$D87,$H84:$H87)*F95)/SUMPRODUCT(F20:F23,F65:F68)</f>
        <v>97.779920954851079</v>
      </c>
      <c r="G113" s="61">
        <f>(SUMPRODUCT(G20:G23,G65:G68,$D84:$D87,$H84:$H87)*G95)/SUMPRODUCT(G20:G23,G65:G68)</f>
        <v>96.955182248756756</v>
      </c>
      <c r="H113" s="61">
        <f>(SUMPRODUCT(H20:H23,H65:H68,$D84:$D87,$H84:$H87)*H95)/SUMPRODUCT(H20:H23,H65:H68)</f>
        <v>95.841769564604476</v>
      </c>
      <c r="I113" s="61">
        <f>(SUMPRODUCT(I20:I23,I65:I68,$D84:$D87,$H84:$H87)*I95)/SUMPRODUCT(I20:I23,I65:I68)</f>
        <v>96.231965492005031</v>
      </c>
      <c r="J113" s="62"/>
      <c r="K113" s="60"/>
      <c r="L113" s="60"/>
      <c r="M113" s="540"/>
      <c r="S113" s="534"/>
    </row>
    <row r="114" spans="1:30" x14ac:dyDescent="0.6">
      <c r="A114" s="7"/>
      <c r="B114" s="63" t="s">
        <v>42</v>
      </c>
      <c r="C114" s="60"/>
      <c r="D114" s="60"/>
      <c r="E114" s="61">
        <f>(SUMPRODUCT(Q20:Q23,E65:E68,$F84:$F87,$I84:$I87)*E95)/SUMPRODUCT(Q20:Q23,E65:E68)</f>
        <v>35.519486759553878</v>
      </c>
      <c r="F114" s="61">
        <f>(SUMPRODUCT(R20:R23,F65:F68,$F84:$F87,$I84:$I87)*F95)/SUMPRODUCT(R20:R23,F65:F68)</f>
        <v>35.609960111228453</v>
      </c>
      <c r="G114" s="61">
        <f>(SUMPRODUCT(S20:S23,G65:G68,$F84:$F87,$I84:$I87)*G95)/SUMPRODUCT(S20:S23,G65:G68)</f>
        <v>35.474809726861309</v>
      </c>
      <c r="H114" s="61">
        <f>(SUMPRODUCT(T20:T23,H65:H68,$F84:$F87,$I84:$I87)*H95)/SUMPRODUCT(T20:T23,H65:H68)</f>
        <v>35.174497347102438</v>
      </c>
      <c r="I114" s="61">
        <f>(SUMPRODUCT(U20:U23,I65:I68,$F84:$F87,$I84:$I87)*I95)/SUMPRODUCT(U20:U23,I65:I68)</f>
        <v>35.38377851949592</v>
      </c>
      <c r="J114" s="62"/>
      <c r="K114" s="60"/>
      <c r="L114" s="60"/>
      <c r="M114" s="2"/>
      <c r="N114" s="12"/>
      <c r="P114" s="5"/>
      <c r="W114" s="538"/>
      <c r="AC114" s="534"/>
    </row>
    <row r="115" spans="1:30" x14ac:dyDescent="0.6">
      <c r="A115" s="7"/>
      <c r="C115" s="120"/>
      <c r="D115" s="120"/>
      <c r="E115" s="121"/>
      <c r="F115" s="121"/>
      <c r="G115" s="121"/>
      <c r="H115" s="121"/>
      <c r="I115" s="121"/>
      <c r="J115" s="62"/>
      <c r="K115" s="120"/>
      <c r="L115" s="120"/>
      <c r="R115" s="73"/>
      <c r="S115" s="539"/>
      <c r="W115" s="2"/>
      <c r="X115" s="12"/>
      <c r="Z115" s="5"/>
    </row>
    <row r="116" spans="1:30" x14ac:dyDescent="0.6">
      <c r="A116" s="7"/>
      <c r="B116" s="23" t="s">
        <v>18</v>
      </c>
      <c r="C116" s="60"/>
      <c r="D116" s="60"/>
      <c r="E116" s="61">
        <f>(SUMPRODUCT(E15:E19,E60:E64,$D79:$D83,$H79:$H83)*E95+SUMPRODUCT(Q15:Q19,E60:E64,$F79:$F83,$I79:$I83)*E95+SUMPRODUCT(E24:E26,E69:E71,$D88:$D90,$H88:$H90)*E95+SUMPRODUCT(Q24:Q26,E69:E71,$F88:$F90,$I88:$I90)*E95)/SUM(E60:E64,E69:E71)</f>
        <v>66.45589899189244</v>
      </c>
      <c r="F116" s="61">
        <f>(SUMPRODUCT(F15:F19,F60:F64,$D79:$D83,$H79:$H83)*F95+SUMPRODUCT(R15:R19,F60:F64,$F79:$F83,$I79:$I83)*F95+SUMPRODUCT(F24:F26,F69:F71,$D88:$D90,$H88:$H90)*F95+SUMPRODUCT(R24:R26,F69:F71,$F88:$F90,$I88:$I90)*F95)/SUM(F60:F64,F69:F71)</f>
        <v>66.304330735242885</v>
      </c>
      <c r="G116" s="61">
        <f>(SUMPRODUCT(G15:G19,G60:G64,$D79:$D83,$H79:$H83)*G95+SUMPRODUCT(S15:S19,G60:G64,$F79:$F83,$I79:$I83)*G95+SUMPRODUCT(G24:G26,G69:G71,$D88:$D90,$H88:$H90)*G95+SUMPRODUCT(S24:S26,G69:G71,$F88:$F90,$I88:$I90)*G95)/SUM(G60:G64,G69:G71)</f>
        <v>67.809850602655374</v>
      </c>
      <c r="H116" s="61">
        <f>(SUMPRODUCT(H15:H19,H60:H64,$D79:$D83,$H79:$H83)*H95+SUMPRODUCT(T15:T19,H60:H64,$F79:$F83,$I79:$I83)*H95+SUMPRODUCT(H24:H26,H69:H71,$D88:$D90,$H88:$H90)*H95+SUMPRODUCT(T24:T26,H69:H71,$F88:$F90,$I88:$I90)*H95)/SUM(H60:H64,H69:H71)</f>
        <v>68.311460558894311</v>
      </c>
      <c r="I116" s="61">
        <f>(SUMPRODUCT(I15:I19,I60:I64,$D79:$D83,$H79:$H83)*I95+SUMPRODUCT(U15:U19,I60:I64,$F79:$F83,$I79:$I83)*I95+SUMPRODUCT(I24:I26,I69:I71,$D88:$D90,$H88:$H90)*I95+SUMPRODUCT(U24:U26,I69:I71,$F88:$F90,$I88:$I90)*I95)/SUM(I60:I64,I69:I71)</f>
        <v>54.866816348212943</v>
      </c>
      <c r="J116" s="62"/>
      <c r="K116" s="60"/>
      <c r="L116" s="60"/>
      <c r="M116" s="317"/>
      <c r="Z116" s="273"/>
      <c r="AB116" s="73"/>
      <c r="AC116" s="539"/>
    </row>
    <row r="117" spans="1:30" x14ac:dyDescent="0.6">
      <c r="A117" s="7"/>
      <c r="B117" s="63" t="s">
        <v>41</v>
      </c>
      <c r="C117" s="60"/>
      <c r="D117" s="60"/>
      <c r="E117" s="61">
        <f>(SUMPRODUCT(E15:E19,E60:E64,$D79:$D83,$H79:$H83)*E95+SUMPRODUCT(E24:E26,E69:E71,$D88:$D90,$H88:$H90)*E95)/(SUMPRODUCT(E15:E19,E60:E64)+SUMPRODUCT(E24:E26,E69:E71))</f>
        <v>95.196731439914842</v>
      </c>
      <c r="F117" s="61">
        <f>(SUMPRODUCT(F15:F19,F60:F64,$D79:$D83,$H79:$H83)*F95+SUMPRODUCT(F24:F26,F69:F71,$D88:$D90,$H88:$H90)*F95)/(SUMPRODUCT(F15:F19,F60:F64)+SUMPRODUCT(F24:F26,F69:F71))</f>
        <v>92.961180905850128</v>
      </c>
      <c r="G117" s="61">
        <f>(SUMPRODUCT(G15:G19,G60:G64,$D79:$D83,$H79:$H83)*G95+SUMPRODUCT(G24:G26,G69:G71,$D88:$D90,$H88:$H90)*G95)/(SUMPRODUCT(G15:G19,G60:G64)+SUMPRODUCT(G24:G26,G69:G71))</f>
        <v>90.506972910954829</v>
      </c>
      <c r="H117" s="61">
        <f>(SUMPRODUCT(H15:H19,H60:H64,$D79:$D83,$H79:$H83)*H95+SUMPRODUCT(H24:H26,H69:H71,$D88:$D90,$H88:$H90)*H95)/(SUMPRODUCT(H15:H19,H60:H64)+SUMPRODUCT(H24:H26,H69:H71))</f>
        <v>92.988024958272632</v>
      </c>
      <c r="I117" s="61">
        <f>(SUMPRODUCT(I15:I19,I60:I64,$D79:$D83,$H79:$H83)*I95+SUMPRODUCT(I24:I26,I69:I71,$D88:$D90,$H88:$H90)*I95)/(SUMPRODUCT(I15:I19,I60:I64)+SUMPRODUCT(I24:I26,I69:I71))</f>
        <v>90.191241530768409</v>
      </c>
      <c r="J117" s="62"/>
      <c r="K117" s="60"/>
      <c r="L117" s="60"/>
      <c r="M117" s="540"/>
      <c r="S117" s="534"/>
    </row>
    <row r="118" spans="1:30" x14ac:dyDescent="0.6">
      <c r="A118" s="7"/>
      <c r="B118" s="63" t="s">
        <v>42</v>
      </c>
      <c r="C118" s="60"/>
      <c r="D118" s="60"/>
      <c r="E118" s="61">
        <f>(SUMPRODUCT(Q15:Q19,E60:E64,$F79:$F83,$I79:$I83)*E95+SUMPRODUCT(Q24:Q26,E69:E71,$F88:$F90,$I88:$I90)*E95)/(SUMPRODUCT(Q15:Q19,E60:E64)+SUMPRODUCT(Q24:Q26,E69:E71))</f>
        <v>40.322996823382468</v>
      </c>
      <c r="F118" s="61">
        <f>(SUMPRODUCT(R15:R19,F60:F64,$F79:$F83,$I79:$I83)*F95+SUMPRODUCT(R24:R26,F69:F71,$F88:$F90,$I88:$I90)*F95)/(SUMPRODUCT(R15:R19,F60:F64)+SUMPRODUCT(R24:R26,F69:F71))</f>
        <v>39.772858063324627</v>
      </c>
      <c r="G118" s="61">
        <f>(SUMPRODUCT(S15:S19,G60:G64,$F79:$F83,$I79:$I83)*G95+SUMPRODUCT(S24:S26,G69:G71,$F88:$F90,$I88:$I90)*G95)/(SUMPRODUCT(S15:S19,G60:G64)+SUMPRODUCT(S24:S26,G69:G71))</f>
        <v>39.341677526058263</v>
      </c>
      <c r="H118" s="61">
        <f>(SUMPRODUCT(T15:T19,H60:H64,$F79:$F83,$I79:$I83)*H95+SUMPRODUCT(T24:T26,H69:H71,$F88:$F90,$I88:$I90)*H95)/(SUMPRODUCT(T15:T19,H60:H64)+SUMPRODUCT(T24:T26,H69:H71))</f>
        <v>39.692494682048633</v>
      </c>
      <c r="I118" s="61">
        <f>(SUMPRODUCT(U15:U19,I60:I64,$F79:$F83,$I79:$I83)*I95+SUMPRODUCT(U24:U26,I69:I71,$F88:$F90,$I88:$I90)*I95)/(SUMPRODUCT(U15:U19,I60:I64)+SUMPRODUCT(U24:U26,I69:I71))</f>
        <v>38.941490977331711</v>
      </c>
      <c r="J118" s="62"/>
      <c r="K118" s="60"/>
      <c r="L118" s="60"/>
      <c r="M118" s="2"/>
      <c r="N118" s="12"/>
      <c r="P118" s="5"/>
      <c r="W118" s="538"/>
      <c r="AC118" s="534"/>
    </row>
    <row r="119" spans="1:30" x14ac:dyDescent="0.6">
      <c r="A119" s="7"/>
      <c r="C119" s="120"/>
      <c r="D119" s="120"/>
      <c r="E119" s="121"/>
      <c r="F119" s="121"/>
      <c r="G119" s="121"/>
      <c r="H119" s="121"/>
      <c r="I119" s="121"/>
      <c r="J119" s="62"/>
      <c r="K119" s="120"/>
      <c r="L119" s="120"/>
      <c r="R119" s="73"/>
      <c r="S119" s="539"/>
      <c r="W119" s="2"/>
      <c r="X119" s="12"/>
      <c r="Z119" s="5"/>
    </row>
    <row r="120" spans="1:30" x14ac:dyDescent="0.6">
      <c r="A120" s="7"/>
      <c r="B120" t="s">
        <v>16</v>
      </c>
      <c r="C120" s="60"/>
      <c r="D120" s="64"/>
      <c r="E120" s="65">
        <f>(E112*SUM(E65:E68)+E116*SUM(E60:E64,E69:E71))/E72</f>
        <v>66.916305330722821</v>
      </c>
      <c r="F120" s="65">
        <f>(F112*SUM(F65:F68)+F116*SUM(F60:F64,F69:F71))/F72</f>
        <v>67.096515427696758</v>
      </c>
      <c r="G120" s="65">
        <f>(G112*SUM(G65:G68)+G116*SUM(G60:G64,G69:G71))/G72</f>
        <v>68.850737729896792</v>
      </c>
      <c r="H120" s="65">
        <f>(H112*SUM(H65:H68)+H116*SUM(H60:H64,H69:H71))/H72</f>
        <v>68.632196923682841</v>
      </c>
      <c r="I120" s="65">
        <f>(I112*SUM(I65:I68)+I116*SUM(I60:I64,I69:I71))/I72</f>
        <v>54.281273763437547</v>
      </c>
      <c r="J120" s="62"/>
      <c r="K120" s="64"/>
      <c r="L120" s="64"/>
      <c r="M120" s="540"/>
      <c r="Z120" s="273"/>
      <c r="AB120" s="73"/>
      <c r="AC120" s="539"/>
      <c r="AD120" s="273"/>
    </row>
    <row r="121" spans="1:30" x14ac:dyDescent="0.6">
      <c r="A121" s="7"/>
      <c r="C121" s="60"/>
      <c r="D121" s="64"/>
      <c r="E121" s="64"/>
      <c r="F121" s="64"/>
      <c r="G121" s="64"/>
      <c r="H121" s="64"/>
      <c r="I121" s="64"/>
      <c r="J121" s="64"/>
      <c r="K121" s="64"/>
      <c r="L121" s="64"/>
      <c r="M121" s="540"/>
      <c r="S121" s="534"/>
    </row>
    <row r="122" spans="1:30" x14ac:dyDescent="0.6">
      <c r="A122" s="7"/>
      <c r="B122" t="s">
        <v>44</v>
      </c>
      <c r="C122" s="60">
        <f>SUMPRODUCT(C120:I120,C72:I72)/SUM(C72:I72)</f>
        <v>67.655744441806462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2"/>
      <c r="N122" s="12"/>
      <c r="P122" s="5"/>
      <c r="W122" s="538"/>
      <c r="AC122" s="534"/>
    </row>
    <row r="123" spans="1:30" x14ac:dyDescent="0.6">
      <c r="A123" s="7"/>
      <c r="C123" s="60"/>
      <c r="D123" s="64"/>
      <c r="E123" s="64"/>
      <c r="F123" s="64"/>
      <c r="G123" s="64"/>
      <c r="H123" s="64"/>
      <c r="I123" s="64"/>
      <c r="J123" s="64"/>
      <c r="K123" s="64"/>
      <c r="L123" s="64"/>
      <c r="R123" s="73"/>
      <c r="S123" s="539"/>
      <c r="W123" s="2"/>
      <c r="X123" s="12"/>
      <c r="Z123" s="5"/>
    </row>
    <row r="124" spans="1:30" x14ac:dyDescent="0.6">
      <c r="A124" s="7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540"/>
      <c r="Z124" s="273"/>
      <c r="AB124" s="73"/>
      <c r="AC124" s="539"/>
      <c r="AD124" s="273"/>
    </row>
    <row r="125" spans="1:30" x14ac:dyDescent="0.6">
      <c r="A125" s="6" t="s">
        <v>35</v>
      </c>
      <c r="B125" s="1" t="s">
        <v>49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540"/>
      <c r="S125" s="534"/>
    </row>
    <row r="126" spans="1:30" x14ac:dyDescent="0.6">
      <c r="A126" s="7"/>
      <c r="B126" s="15" t="s">
        <v>172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2"/>
      <c r="N126" s="12"/>
      <c r="P126" s="5"/>
      <c r="W126" s="538"/>
      <c r="AC126" s="534"/>
    </row>
    <row r="127" spans="1:30" x14ac:dyDescent="0.6">
      <c r="A127" s="7"/>
      <c r="B127" s="15" t="s">
        <v>43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R127" s="73"/>
      <c r="S127" s="539"/>
      <c r="W127" s="2"/>
      <c r="X127" s="12"/>
      <c r="Z127" s="5"/>
    </row>
    <row r="128" spans="1:30" x14ac:dyDescent="0.6">
      <c r="A128" s="7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Z128" s="273"/>
      <c r="AB128" s="73"/>
      <c r="AC128" s="539"/>
      <c r="AD128" s="273"/>
    </row>
    <row r="129" spans="1:30" x14ac:dyDescent="0.6">
      <c r="A129" s="7"/>
      <c r="C129" s="3"/>
      <c r="M129" s="538"/>
      <c r="S129" s="534"/>
    </row>
    <row r="130" spans="1:30" x14ac:dyDescent="0.6">
      <c r="A130" s="7"/>
      <c r="B130" s="23" t="s">
        <v>17</v>
      </c>
      <c r="C130" s="62"/>
      <c r="D130" s="62"/>
      <c r="E130" s="62">
        <f>SUM(E65:E68)*E112/1000</f>
        <v>4294.3728491039446</v>
      </c>
      <c r="F130" s="62">
        <f>SUM(F65:F68)*F112/1000</f>
        <v>279108.52580324328</v>
      </c>
      <c r="G130" s="62">
        <f>SUM(G65:G68)*G112/1000</f>
        <v>153893.34694646782</v>
      </c>
      <c r="H130" s="62">
        <f>SUM(H65:H68)*H112/1000</f>
        <v>3838.3404547459099</v>
      </c>
      <c r="I130" s="62">
        <f>SUM(I65:I68)*I112/1000</f>
        <v>2407.7603541277972</v>
      </c>
      <c r="J130" s="62">
        <f>SUM(E130:I130)</f>
        <v>443542.34640768875</v>
      </c>
      <c r="K130" s="62"/>
      <c r="L130" s="62"/>
      <c r="M130" s="2"/>
      <c r="N130" s="12"/>
      <c r="P130" s="5"/>
      <c r="W130" s="538"/>
      <c r="AC130" s="534"/>
    </row>
    <row r="131" spans="1:30" x14ac:dyDescent="0.6">
      <c r="A131" s="7"/>
      <c r="B131" s="63" t="s">
        <v>41</v>
      </c>
      <c r="C131" s="62"/>
      <c r="D131" s="62"/>
      <c r="E131" s="62">
        <f>SUMPRODUCT(E65:E68,E20:E23)*E113/1000</f>
        <v>3214.9883112241205</v>
      </c>
      <c r="F131" s="62">
        <f>SUMPRODUCT(F65:F68,F20:F23)*F113/1000</f>
        <v>209682.1030022864</v>
      </c>
      <c r="G131" s="62">
        <f>SUMPRODUCT(G65:G68,G20:G23)*G113/1000</f>
        <v>120909.44921612939</v>
      </c>
      <c r="H131" s="62">
        <f>SUMPRODUCT(H65:H68,H20:H23)*H113/1000</f>
        <v>2981.0150547032931</v>
      </c>
      <c r="I131" s="62">
        <f>SUMPRODUCT(I65:I68,I20:I23)*I113/1000</f>
        <v>1270.9588948813455</v>
      </c>
      <c r="J131" s="62">
        <f>SUM(E131:I131)</f>
        <v>338058.51447922457</v>
      </c>
      <c r="K131" s="62"/>
      <c r="L131" s="62"/>
      <c r="R131" s="73"/>
      <c r="S131" s="539"/>
      <c r="W131" s="2"/>
      <c r="X131" s="12"/>
      <c r="Z131" s="5"/>
    </row>
    <row r="132" spans="1:30" x14ac:dyDescent="0.6">
      <c r="A132" s="7"/>
      <c r="B132" s="63" t="s">
        <v>42</v>
      </c>
      <c r="C132" s="62"/>
      <c r="D132" s="62"/>
      <c r="E132" s="62">
        <f>SUMPRODUCT(E65:E68,Q20:Q23)*E114/1000</f>
        <v>1079.3845378798239</v>
      </c>
      <c r="F132" s="62">
        <f>SUMPRODUCT(F65:F68,R20:R23)*F114/1000</f>
        <v>69426.422800956876</v>
      </c>
      <c r="G132" s="62">
        <f>SUMPRODUCT(G65:G68,S20:S23)*G114/1000</f>
        <v>32983.897730338438</v>
      </c>
      <c r="H132" s="62">
        <f>SUMPRODUCT(H65:H68,T20:T23)*H114/1000</f>
        <v>857.32540004261716</v>
      </c>
      <c r="I132" s="62">
        <f>SUMPRODUCT(I65:I68,U20:U23)*I114/1000</f>
        <v>1136.8014592464517</v>
      </c>
      <c r="J132" s="62">
        <f>SUM(E132:I132)</f>
        <v>105483.83192846421</v>
      </c>
      <c r="K132" s="62"/>
      <c r="L132" s="62"/>
      <c r="M132" s="545"/>
      <c r="Z132" s="273"/>
      <c r="AB132" s="73"/>
      <c r="AC132" s="539"/>
      <c r="AD132" s="273"/>
    </row>
    <row r="133" spans="1:30" x14ac:dyDescent="0.6">
      <c r="A133" s="7"/>
      <c r="C133" s="66"/>
      <c r="D133" s="66"/>
      <c r="E133" s="66"/>
      <c r="F133" s="66"/>
      <c r="G133" s="66"/>
      <c r="H133" s="66"/>
      <c r="I133" s="66"/>
      <c r="J133" s="62"/>
      <c r="K133" s="66"/>
      <c r="L133" s="66"/>
      <c r="M133" s="538"/>
      <c r="S133" s="534"/>
    </row>
    <row r="134" spans="1:30" x14ac:dyDescent="0.6">
      <c r="A134" s="7"/>
      <c r="B134" s="23" t="s">
        <v>18</v>
      </c>
      <c r="C134" s="66"/>
      <c r="D134" s="66"/>
      <c r="E134" s="66">
        <f>SUM(E60:E64,E69:E71)*E116/1000</f>
        <v>8135.4646986884809</v>
      </c>
      <c r="F134" s="66">
        <f>SUM(F60:F64,F69:F71)*F116/1000</f>
        <v>369200.34939880017</v>
      </c>
      <c r="G134" s="66">
        <f>SUM(G60:G64,G69:G71)*G116/1000</f>
        <v>261606.80970296249</v>
      </c>
      <c r="H134" s="66">
        <f>SUM(H60:H64,H69:H71)*H116/1000</f>
        <v>6566.7123920659515</v>
      </c>
      <c r="I134" s="66">
        <f>SUM(I60:I64,I69:I71)*I116/1000</f>
        <v>4973.8415024145479</v>
      </c>
      <c r="J134" s="62">
        <f>SUM(E134:I134)</f>
        <v>650483.17769493163</v>
      </c>
      <c r="K134" s="66"/>
      <c r="L134" s="66"/>
      <c r="M134" s="2"/>
      <c r="N134" s="12"/>
      <c r="P134" s="5"/>
    </row>
    <row r="135" spans="1:30" x14ac:dyDescent="0.6">
      <c r="A135" s="7"/>
      <c r="B135" s="63" t="s">
        <v>41</v>
      </c>
      <c r="C135" s="62"/>
      <c r="D135" s="62"/>
      <c r="E135" s="62">
        <f>(SUMPRODUCT(E60:E64,E15:E19)+SUMPRODUCT(E69:E71,E24:E26))*E117/1000</f>
        <v>5550.0128526565722</v>
      </c>
      <c r="F135" s="62">
        <f>(SUMPRODUCT(F60:F64,F15:F19)+SUMPRODUCT(F69:F71,F24:F26))*F117/1000</f>
        <v>258206.33917512008</v>
      </c>
      <c r="G135" s="62">
        <f>(SUMPRODUCT(G60:G64,G15:G19)+SUMPRODUCT(G69:G71,G24:G26))*G117/1000</f>
        <v>194277.45632889713</v>
      </c>
      <c r="H135" s="62">
        <f>(SUMPRODUCT(H60:H64,H15:H19)+SUMPRODUCT(H69:H71,H24:H26))*H117/1000</f>
        <v>4800.0371338531677</v>
      </c>
      <c r="I135" s="62">
        <f>(SUMPRODUCT(I60:I64,I15:I19)+SUMPRODUCT(I69:I71,I24:I26))*I117/1000</f>
        <v>2540.6398423478249</v>
      </c>
      <c r="J135" s="62">
        <f>SUM(E135:I135)</f>
        <v>465374.48533287481</v>
      </c>
      <c r="K135" s="62"/>
      <c r="L135" s="62"/>
      <c r="P135" s="273"/>
      <c r="R135" s="73"/>
      <c r="S135" s="539"/>
    </row>
    <row r="136" spans="1:30" x14ac:dyDescent="0.6">
      <c r="A136" s="7"/>
      <c r="B136" s="63" t="s">
        <v>42</v>
      </c>
      <c r="C136" s="62"/>
      <c r="D136" s="62"/>
      <c r="E136" s="62">
        <f>+(SUMPRODUCT(E60:E64,Q15:Q19)+SUMPRODUCT(E69:E71,Q24:Q26))*E118/1000</f>
        <v>2585.4518460319091</v>
      </c>
      <c r="F136" s="62">
        <f>+(SUMPRODUCT(F60:F64,R15:R19)+SUMPRODUCT(F69:F71,R24:R26))*F118/1000</f>
        <v>110994.01022368003</v>
      </c>
      <c r="G136" s="62">
        <f>+(SUMPRODUCT(G60:G64,S15:S19)+SUMPRODUCT(G69:G71,S24:S26))*G118/1000</f>
        <v>67329.35337406538</v>
      </c>
      <c r="H136" s="62">
        <f>+(SUMPRODUCT(H60:H64,T15:T19)+SUMPRODUCT(H69:H71,T24:T26))*H118/1000</f>
        <v>1766.6752582127831</v>
      </c>
      <c r="I136" s="62">
        <f>+(SUMPRODUCT(I60:I64,U15:U19)+SUMPRODUCT(I69:I71,U24:U26))*I118/1000</f>
        <v>2433.2016600667221</v>
      </c>
      <c r="J136" s="62">
        <f>SUM(E136:I136)</f>
        <v>185108.69236205681</v>
      </c>
      <c r="K136" s="62"/>
      <c r="L136" s="62"/>
      <c r="M136" s="544"/>
    </row>
    <row r="137" spans="1:30" x14ac:dyDescent="0.6">
      <c r="A137" s="7"/>
      <c r="C137" s="120"/>
      <c r="D137" s="120"/>
      <c r="E137" s="120"/>
      <c r="F137" s="120"/>
      <c r="G137" s="120"/>
      <c r="H137" s="120"/>
      <c r="I137" s="120"/>
      <c r="J137" s="62"/>
      <c r="K137" s="120"/>
      <c r="L137" s="120"/>
      <c r="M137" s="538"/>
      <c r="S137" s="534"/>
    </row>
    <row r="138" spans="1:30" x14ac:dyDescent="0.6">
      <c r="A138" s="7"/>
      <c r="B138" t="s">
        <v>16</v>
      </c>
      <c r="C138" s="66"/>
      <c r="D138" s="66"/>
      <c r="E138" s="66">
        <f>+E130+E134</f>
        <v>12429.837547792426</v>
      </c>
      <c r="F138" s="66">
        <f>+F130+F134</f>
        <v>648308.87520204345</v>
      </c>
      <c r="G138" s="66">
        <f>+G130+G134</f>
        <v>415500.15664943028</v>
      </c>
      <c r="H138" s="66">
        <f>+H130+H134</f>
        <v>10405.052846811861</v>
      </c>
      <c r="I138" s="66">
        <f>+I130+I134</f>
        <v>7381.6018565423456</v>
      </c>
      <c r="J138" s="62">
        <f>SUM(E138:I138)</f>
        <v>1094025.5241026205</v>
      </c>
      <c r="K138" s="66"/>
      <c r="L138" s="66"/>
      <c r="M138" s="2"/>
      <c r="N138" s="12"/>
      <c r="P138" s="5"/>
    </row>
    <row r="139" spans="1:30" x14ac:dyDescent="0.6">
      <c r="A139" s="7"/>
      <c r="P139" s="273"/>
      <c r="R139" s="73"/>
      <c r="S139" s="539"/>
    </row>
    <row r="140" spans="1:30" x14ac:dyDescent="0.6">
      <c r="A140" s="7"/>
      <c r="B140" t="s">
        <v>44</v>
      </c>
      <c r="C140" s="62">
        <f>SUM(C138:I138)</f>
        <v>1094025.5241026205</v>
      </c>
      <c r="E140" s="67"/>
      <c r="F140" s="60"/>
    </row>
    <row r="141" spans="1:30" x14ac:dyDescent="0.6">
      <c r="A141" s="7"/>
    </row>
    <row r="142" spans="1:30" x14ac:dyDescent="0.6">
      <c r="A142" s="7"/>
    </row>
    <row r="143" spans="1:30" ht="15.5" x14ac:dyDescent="0.7">
      <c r="A143" s="7"/>
      <c r="B143" s="570" t="str">
        <f>$B$1</f>
        <v xml:space="preserve">Jersey Central Power &amp; Light </v>
      </c>
      <c r="C143" s="570"/>
      <c r="D143" s="570"/>
      <c r="E143" s="570"/>
      <c r="F143" s="570"/>
      <c r="G143" s="570"/>
      <c r="H143" s="570"/>
      <c r="I143" s="570"/>
      <c r="J143" s="570"/>
      <c r="K143" s="570"/>
      <c r="L143" s="570"/>
    </row>
    <row r="144" spans="1:30" ht="15.5" x14ac:dyDescent="0.7">
      <c r="A144" s="7"/>
      <c r="B144" s="570" t="str">
        <f>$B$2</f>
        <v>Attachment 2</v>
      </c>
      <c r="C144" s="570"/>
      <c r="D144" s="570"/>
      <c r="E144" s="570"/>
      <c r="F144" s="570"/>
      <c r="G144" s="570"/>
      <c r="H144" s="570"/>
      <c r="I144" s="570"/>
      <c r="J144" s="570"/>
      <c r="K144" s="570"/>
      <c r="L144" s="570"/>
    </row>
    <row r="145" spans="1:51" x14ac:dyDescent="0.6">
      <c r="A145" s="7"/>
    </row>
    <row r="146" spans="1:51" x14ac:dyDescent="0.6">
      <c r="A146" s="7"/>
    </row>
    <row r="147" spans="1:51" x14ac:dyDescent="0.6">
      <c r="A147" s="6" t="s">
        <v>70</v>
      </c>
      <c r="B147" s="1" t="s">
        <v>71</v>
      </c>
      <c r="C147" s="64"/>
      <c r="Q147" t="s">
        <v>126</v>
      </c>
      <c r="T147" t="s">
        <v>122</v>
      </c>
      <c r="W147" t="s">
        <v>123</v>
      </c>
      <c r="Z147" t="s">
        <v>124</v>
      </c>
    </row>
    <row r="148" spans="1:51" x14ac:dyDescent="0.6">
      <c r="A148" s="7"/>
      <c r="B148" s="15" t="s">
        <v>173</v>
      </c>
      <c r="C148" s="64"/>
      <c r="W148" t="s">
        <v>127</v>
      </c>
      <c r="Z148" t="s">
        <v>128</v>
      </c>
      <c r="AC148" t="s">
        <v>125</v>
      </c>
    </row>
    <row r="149" spans="1:51" x14ac:dyDescent="0.6">
      <c r="A149" s="7"/>
      <c r="B149" s="15" t="s">
        <v>21</v>
      </c>
      <c r="C149" s="64"/>
    </row>
    <row r="150" spans="1:51" x14ac:dyDescent="0.6">
      <c r="A150" s="7"/>
      <c r="B150" s="1"/>
      <c r="C150" s="2"/>
      <c r="D150" s="2"/>
      <c r="E150" s="2" t="str">
        <f>+E$13</f>
        <v>RT{1}</v>
      </c>
      <c r="F150" s="2" t="str">
        <f>+F$13</f>
        <v>RS{2}</v>
      </c>
      <c r="G150" s="2" t="str">
        <f>+G$13</f>
        <v>GS{3}</v>
      </c>
      <c r="H150" s="2" t="str">
        <f>+H$58</f>
        <v>GST {4}</v>
      </c>
      <c r="I150" s="2" t="str">
        <f>+I$13</f>
        <v>OL/SL</v>
      </c>
      <c r="J150" s="2"/>
      <c r="K150" s="2"/>
      <c r="L150" s="2"/>
      <c r="M150" s="2"/>
      <c r="Q150" s="2" t="str">
        <f>+$H150</f>
        <v>GST {4}</v>
      </c>
      <c r="R150" s="2"/>
      <c r="S150" s="2"/>
      <c r="T150" s="2" t="str">
        <f>+$H150</f>
        <v>GST {4}</v>
      </c>
      <c r="U150" s="2"/>
      <c r="V150" s="2"/>
      <c r="W150" s="2" t="str">
        <f>+$H150</f>
        <v>GST {4}</v>
      </c>
      <c r="X150" s="2"/>
      <c r="Z150" s="2" t="str">
        <f>+$H150</f>
        <v>GST {4}</v>
      </c>
      <c r="AA150" s="2"/>
      <c r="AC150" s="2" t="str">
        <f>+$H150</f>
        <v>GST {4}</v>
      </c>
      <c r="AD150" s="2"/>
      <c r="AU150" s="2"/>
      <c r="AV150" s="2"/>
      <c r="AW150" s="2"/>
      <c r="AX150" s="2"/>
      <c r="AY150" s="2"/>
    </row>
    <row r="151" spans="1:51" x14ac:dyDescent="0.6">
      <c r="A151" s="7"/>
      <c r="C151" s="3"/>
    </row>
    <row r="152" spans="1:51" x14ac:dyDescent="0.6">
      <c r="A152" s="7"/>
      <c r="B152" s="23" t="s">
        <v>17</v>
      </c>
      <c r="C152" s="60"/>
      <c r="D152" s="60"/>
      <c r="E152" s="61">
        <f>+E130/SUM(E65:E68)*1000</f>
        <v>67.806243966083159</v>
      </c>
      <c r="F152" s="61">
        <f>+F130/SUM(F65:F68)*1000</f>
        <v>68.173952777299831</v>
      </c>
      <c r="G152" s="61">
        <f>+G130/SUM(G65:G68)*1000</f>
        <v>70.695462545389148</v>
      </c>
      <c r="H152" s="61">
        <f>+H130/SUM(H65:H68)*1000</f>
        <v>69.187959960810971</v>
      </c>
      <c r="I152" s="61">
        <f>+I130/SUM(I65:I68)*1000</f>
        <v>53.110408164283605</v>
      </c>
      <c r="J152" s="60"/>
      <c r="K152" s="60"/>
      <c r="L152" s="60"/>
      <c r="M152" s="60"/>
      <c r="P152" s="10" t="s">
        <v>25</v>
      </c>
      <c r="AU152" s="4"/>
      <c r="AV152" s="4"/>
      <c r="AW152" s="4"/>
      <c r="AX152" s="4"/>
      <c r="AY152" s="4"/>
    </row>
    <row r="153" spans="1:51" x14ac:dyDescent="0.6">
      <c r="A153" s="7"/>
      <c r="B153" s="63" t="s">
        <v>72</v>
      </c>
      <c r="C153" s="62"/>
      <c r="D153" s="62"/>
      <c r="E153" s="61">
        <f>+(E131*1000-X165*AVERAGE(E$113,E$114))/R165</f>
        <v>104.93302806240834</v>
      </c>
      <c r="F153" s="61"/>
      <c r="G153" s="61"/>
      <c r="H153" s="61">
        <f>+(H131*1000-W153*AVERAGE(H$113,H$114))/Q153</f>
        <v>103.72774487642602</v>
      </c>
      <c r="I153" s="61"/>
      <c r="J153" s="62"/>
      <c r="K153" s="62"/>
      <c r="L153" s="60"/>
      <c r="M153" s="60"/>
      <c r="P153" t="s">
        <v>14</v>
      </c>
      <c r="Q153" s="4">
        <f>T65</f>
        <v>24685.819600000003</v>
      </c>
      <c r="R153" s="4"/>
      <c r="T153" s="4">
        <f>T76</f>
        <v>31103.506000000001</v>
      </c>
      <c r="U153" s="4"/>
      <c r="W153" s="4">
        <f>+T153-Q153</f>
        <v>6417.6863999999987</v>
      </c>
      <c r="X153" s="4"/>
      <c r="Z153" s="122">
        <f>+H153*Q153/1000</f>
        <v>2560.6043975342773</v>
      </c>
      <c r="AA153" s="122"/>
      <c r="AX153" s="4"/>
    </row>
    <row r="154" spans="1:51" ht="15.25" x14ac:dyDescent="1.05">
      <c r="A154" s="7"/>
      <c r="B154" s="63" t="s">
        <v>73</v>
      </c>
      <c r="C154" s="62"/>
      <c r="D154" s="62"/>
      <c r="E154" s="61">
        <f>+(E132*1000-X166*AVERAGE(E$113,E$114))/R166</f>
        <v>40.842199578068232</v>
      </c>
      <c r="F154" s="61"/>
      <c r="G154" s="61"/>
      <c r="H154" s="61">
        <f>+(H132*1000-W154*AVERAGE(H$113,H$114))/Q154</f>
        <v>41.496819563683665</v>
      </c>
      <c r="I154" s="61"/>
      <c r="J154" s="62"/>
      <c r="K154" s="62"/>
      <c r="L154" s="60"/>
      <c r="M154" s="60"/>
      <c r="P154" t="s">
        <v>15</v>
      </c>
      <c r="Q154" s="4">
        <f>T66</f>
        <v>30791.180399999997</v>
      </c>
      <c r="R154" s="4"/>
      <c r="T154" s="4">
        <f>T77</f>
        <v>24373.493999999999</v>
      </c>
      <c r="U154" s="4"/>
      <c r="W154" s="4">
        <f>+T154-Q154</f>
        <v>-6417.6863999999987</v>
      </c>
      <c r="X154" s="4"/>
      <c r="Z154" s="69">
        <f>+H154*Q154/1000</f>
        <v>1277.7360572116329</v>
      </c>
      <c r="AA154" s="69"/>
      <c r="AX154" s="4"/>
    </row>
    <row r="155" spans="1:51" x14ac:dyDescent="0.6">
      <c r="A155" s="7"/>
      <c r="C155" s="66"/>
      <c r="D155" s="66"/>
      <c r="E155" s="65"/>
      <c r="F155" s="65"/>
      <c r="G155" s="65"/>
      <c r="H155" s="65"/>
      <c r="I155" s="65"/>
      <c r="J155" s="66"/>
      <c r="K155" s="66"/>
      <c r="L155" s="66"/>
      <c r="M155" s="66"/>
      <c r="Q155" s="4"/>
      <c r="R155" s="4"/>
      <c r="T155" s="4"/>
      <c r="U155" s="4"/>
      <c r="W155" s="4"/>
      <c r="X155" s="4"/>
      <c r="Z155" s="122">
        <f>+Z154+Z153</f>
        <v>3838.3404547459104</v>
      </c>
      <c r="AA155" s="122"/>
      <c r="AC155" s="3">
        <f>+H130</f>
        <v>3838.3404547459099</v>
      </c>
      <c r="AD155" s="3"/>
    </row>
    <row r="156" spans="1:51" x14ac:dyDescent="0.6">
      <c r="A156" s="7"/>
      <c r="B156" s="23" t="s">
        <v>18</v>
      </c>
      <c r="C156" s="64"/>
      <c r="D156" s="64"/>
      <c r="E156" s="65">
        <f>+E134/SUM(E60:E64,E69:E71)*1000</f>
        <v>66.45589899189244</v>
      </c>
      <c r="F156" s="65">
        <f>+F134/SUM(F60:F64,F69:F71)*1000</f>
        <v>66.304330735242885</v>
      </c>
      <c r="G156" s="65">
        <f>+G134/SUM(G60:G64,G69:G71)*1000</f>
        <v>67.809850602655374</v>
      </c>
      <c r="H156" s="65">
        <f>+H134/SUM(H60:H64,H69:H71)*1000</f>
        <v>68.311460558894311</v>
      </c>
      <c r="I156" s="65">
        <f>+I134/SUM(I60:I64,I69:I71)*1000</f>
        <v>54.866816348212943</v>
      </c>
      <c r="J156" s="64"/>
      <c r="K156" s="64"/>
      <c r="L156" s="64"/>
      <c r="M156" s="64"/>
      <c r="P156" s="10" t="s">
        <v>26</v>
      </c>
      <c r="Q156" s="4"/>
      <c r="R156" s="4"/>
      <c r="T156" s="4"/>
      <c r="U156" s="4"/>
      <c r="W156" s="4"/>
      <c r="X156" s="4"/>
      <c r="Z156" s="122"/>
      <c r="AA156" s="122"/>
      <c r="AC156" s="3"/>
      <c r="AU156" s="4"/>
      <c r="AV156" s="4"/>
      <c r="AW156" s="4"/>
      <c r="AX156" s="4"/>
      <c r="AY156" s="4"/>
    </row>
    <row r="157" spans="1:51" x14ac:dyDescent="0.6">
      <c r="A157" s="7"/>
      <c r="B157" s="63" t="s">
        <v>72</v>
      </c>
      <c r="C157" s="62"/>
      <c r="D157" s="62"/>
      <c r="E157" s="61">
        <f>+(E135*1000-X170*AVERAGE(E$113,E$114))/R170</f>
        <v>104.52007330951783</v>
      </c>
      <c r="F157" s="61"/>
      <c r="G157" s="61"/>
      <c r="H157" s="61">
        <f>+(H135*1000-W157*AVERAGE(H$117,H$118))/Q157</f>
        <v>100.19269114189817</v>
      </c>
      <c r="I157" s="61"/>
      <c r="J157" s="62"/>
      <c r="K157" s="62"/>
      <c r="L157" s="60"/>
      <c r="M157" s="60"/>
      <c r="P157" t="s">
        <v>14</v>
      </c>
      <c r="Q157" s="4">
        <f>T61</f>
        <v>40633.899299999997</v>
      </c>
      <c r="R157" s="4"/>
      <c r="T157" s="4">
        <f>T72</f>
        <v>51619.949299999993</v>
      </c>
      <c r="U157" s="4"/>
      <c r="W157" s="4">
        <f>+T157-Q157</f>
        <v>10986.049999999996</v>
      </c>
      <c r="X157" s="4"/>
      <c r="Z157" s="122">
        <f>+H157*Q157/1000</f>
        <v>4071.2197224558918</v>
      </c>
      <c r="AA157" s="122"/>
      <c r="AC157" s="3"/>
      <c r="AX157" s="4"/>
    </row>
    <row r="158" spans="1:51" ht="15.25" x14ac:dyDescent="1.05">
      <c r="A158" s="7"/>
      <c r="B158" s="63" t="s">
        <v>73</v>
      </c>
      <c r="C158" s="62"/>
      <c r="D158" s="62"/>
      <c r="E158" s="61">
        <f>+(E136*1000-X171*AVERAGE(E$113,E$114))/R171</f>
        <v>45.120486908688846</v>
      </c>
      <c r="F158" s="61"/>
      <c r="G158" s="61"/>
      <c r="H158" s="61">
        <f>+(H136*1000-W158*AVERAGE(H$117,H$118))/Q158</f>
        <v>44.96780144792239</v>
      </c>
      <c r="I158" s="61"/>
      <c r="J158" s="62"/>
      <c r="K158" s="62"/>
      <c r="L158" s="60"/>
      <c r="M158" s="60"/>
      <c r="P158" t="s">
        <v>15</v>
      </c>
      <c r="Q158" s="4">
        <f>T62</f>
        <v>55495.100700000003</v>
      </c>
      <c r="R158" s="4"/>
      <c r="T158" s="4">
        <f>T73</f>
        <v>44509.050700000007</v>
      </c>
      <c r="U158" s="4"/>
      <c r="W158" s="4">
        <f>+T158-Q158</f>
        <v>-10986.049999999996</v>
      </c>
      <c r="X158" s="4"/>
      <c r="Z158" s="69">
        <f>+H158*Q158/1000</f>
        <v>2495.4926696100588</v>
      </c>
      <c r="AA158" s="69"/>
      <c r="AC158" s="3"/>
      <c r="AX158" s="4"/>
    </row>
    <row r="159" spans="1:51" x14ac:dyDescent="0.6">
      <c r="A159" s="7"/>
      <c r="C159" s="120"/>
      <c r="D159" s="120"/>
      <c r="E159" s="121"/>
      <c r="F159" s="121"/>
      <c r="G159" s="121"/>
      <c r="H159" s="121"/>
      <c r="I159" s="121"/>
      <c r="J159" s="120"/>
      <c r="K159" s="120"/>
      <c r="L159" s="120"/>
      <c r="M159" s="120"/>
      <c r="Z159" s="122">
        <f>+Z158+Z157</f>
        <v>6566.7123920659506</v>
      </c>
      <c r="AA159" s="122"/>
      <c r="AC159" s="3">
        <f>+H134</f>
        <v>6566.7123920659515</v>
      </c>
      <c r="AD159" s="3"/>
    </row>
    <row r="160" spans="1:51" x14ac:dyDescent="0.6">
      <c r="A160" s="7"/>
      <c r="B160" t="s">
        <v>74</v>
      </c>
      <c r="C160" s="60"/>
      <c r="D160" s="60"/>
      <c r="E160" s="61">
        <f>(E152*SUM(E65:E68)+E156*SUM(E60:E64,E69:E71))/E72</f>
        <v>66.916305330722821</v>
      </c>
      <c r="F160" s="61">
        <f>(F152*SUM(F65:F68)+F156*SUM(F60:F64,F69:F71))/F72</f>
        <v>67.096515427696758</v>
      </c>
      <c r="G160" s="61">
        <f>(G152*SUM(G65:G68)+G156*SUM(G60:G64,G69:G71))/G72</f>
        <v>68.850737729896792</v>
      </c>
      <c r="H160" s="61">
        <f>(H152*SUM(H65:H68)+H156*SUM(H60:H64,H69:H71))/H72</f>
        <v>68.632196923682841</v>
      </c>
      <c r="I160" s="61">
        <f>(I152*SUM(I65:I68)+I156*SUM(I60:I64,I69:I71))/I72</f>
        <v>54.281273763437547</v>
      </c>
      <c r="J160" s="60"/>
      <c r="K160" s="60"/>
      <c r="L160" s="60"/>
      <c r="M160" s="60"/>
      <c r="AU160" s="4"/>
      <c r="AV160" s="4"/>
      <c r="AW160" s="4"/>
      <c r="AX160" s="4"/>
      <c r="AY160" s="4"/>
    </row>
    <row r="161" spans="1:51" x14ac:dyDescent="0.6">
      <c r="A161" s="7"/>
      <c r="B161" t="s">
        <v>75</v>
      </c>
      <c r="C161" s="60">
        <f>+C140/SUM(C72:I72)*1000</f>
        <v>67.655744441806476</v>
      </c>
    </row>
    <row r="162" spans="1:51" x14ac:dyDescent="0.6">
      <c r="A162" s="7"/>
      <c r="Q162" s="2" t="str">
        <f>+$E150</f>
        <v>RT{1}</v>
      </c>
      <c r="R162" s="2"/>
      <c r="S162" s="2"/>
      <c r="T162" s="2" t="str">
        <f>+$E150</f>
        <v>RT{1}</v>
      </c>
      <c r="U162" s="2"/>
      <c r="V162" s="2"/>
      <c r="W162" s="2" t="str">
        <f>+$E150</f>
        <v>RT{1}</v>
      </c>
      <c r="X162" s="2"/>
      <c r="Z162" s="2" t="str">
        <f>+$E150</f>
        <v>RT{1}</v>
      </c>
      <c r="AA162" s="2"/>
      <c r="AC162" s="2" t="str">
        <f>+$E150</f>
        <v>RT{1}</v>
      </c>
    </row>
    <row r="163" spans="1:51" x14ac:dyDescent="0.6">
      <c r="A163" s="7"/>
    </row>
    <row r="164" spans="1:51" x14ac:dyDescent="0.6">
      <c r="A164" s="6" t="s">
        <v>76</v>
      </c>
      <c r="B164" s="1" t="s">
        <v>139</v>
      </c>
      <c r="P164" s="10" t="s">
        <v>25</v>
      </c>
      <c r="Q164" s="8" t="s">
        <v>196</v>
      </c>
      <c r="R164" s="8" t="s">
        <v>192</v>
      </c>
      <c r="T164" s="8" t="s">
        <v>196</v>
      </c>
      <c r="U164" s="8" t="s">
        <v>192</v>
      </c>
      <c r="W164" s="8" t="s">
        <v>196</v>
      </c>
      <c r="X164" s="8" t="s">
        <v>192</v>
      </c>
      <c r="Z164" s="8" t="s">
        <v>197</v>
      </c>
      <c r="AC164" s="8" t="s">
        <v>197</v>
      </c>
    </row>
    <row r="165" spans="1:51" x14ac:dyDescent="0.6">
      <c r="A165" s="7"/>
      <c r="B165" s="15" t="str">
        <f>'BGS PTY23 Cost Alloc'!$B$161</f>
        <v>obligations - annual average forecasted for 2024; costs are market estimates</v>
      </c>
      <c r="J165" s="2" t="s">
        <v>306</v>
      </c>
      <c r="P165" t="s">
        <v>14</v>
      </c>
      <c r="Q165" s="4">
        <f>SUMPRODUCT(E38:E41,M65:M68)</f>
        <v>25811.838199999998</v>
      </c>
      <c r="R165" s="4">
        <f>SUMPRODUCT(E38:E41,E65:E68)</f>
        <v>26644.739099999999</v>
      </c>
      <c r="T165" s="4">
        <f>Q76</f>
        <v>32944.4827</v>
      </c>
      <c r="U165" s="4">
        <f>T165-($Q$167*$Q165/($Q$165+$Q$166))</f>
        <v>32108.628288060161</v>
      </c>
      <c r="W165" s="4">
        <f>+T165-Q165</f>
        <v>7132.6445000000022</v>
      </c>
      <c r="X165" s="4">
        <f>-Q165+U165</f>
        <v>6296.7900880601628</v>
      </c>
      <c r="Z165" s="122">
        <f>+E153*Q165/1000</f>
        <v>2708.5143421829434</v>
      </c>
      <c r="AA165" s="122"/>
      <c r="AU165" s="66"/>
      <c r="AV165" s="66"/>
      <c r="AW165" s="66"/>
      <c r="AX165" s="66"/>
      <c r="AY165" s="66"/>
    </row>
    <row r="166" spans="1:51" ht="15.25" x14ac:dyDescent="1.05">
      <c r="A166" s="7"/>
      <c r="B166" s="15" t="s">
        <v>77</v>
      </c>
      <c r="C166" s="2"/>
      <c r="D166" s="2"/>
      <c r="E166" s="2" t="str">
        <f>+E$13</f>
        <v>RT{1}</v>
      </c>
      <c r="F166" s="2" t="str">
        <f>+F$13</f>
        <v>RS{2}</v>
      </c>
      <c r="G166" s="2" t="str">
        <f>+G$13</f>
        <v>GS{3}</v>
      </c>
      <c r="H166" s="2" t="str">
        <f>+H$58</f>
        <v>GST {4}</v>
      </c>
      <c r="I166" s="2" t="str">
        <f>+I$13</f>
        <v>OL/SL</v>
      </c>
      <c r="J166" s="2" t="s">
        <v>165</v>
      </c>
      <c r="K166" s="2"/>
      <c r="L166" s="2"/>
      <c r="M166" s="2"/>
      <c r="P166" t="s">
        <v>15</v>
      </c>
      <c r="Q166" s="4">
        <f>SUMPRODUCT(Q38:Q41,M65:M68)</f>
        <v>35534.161799999994</v>
      </c>
      <c r="R166" s="4">
        <f>SUMPRODUCT(Q38:Q41,E65:E68)</f>
        <v>36688.260900000001</v>
      </c>
      <c r="T166" s="4">
        <f>Q77</f>
        <v>30388.5173</v>
      </c>
      <c r="U166" s="4">
        <f>T166-($Q$167*$Q166/($Q$165+$Q$166))</f>
        <v>29237.828779291925</v>
      </c>
      <c r="W166" s="4">
        <f>+T166-Q166</f>
        <v>-5145.6444999999949</v>
      </c>
      <c r="X166" s="4">
        <f>-Q166+U166</f>
        <v>-6296.3330207080689</v>
      </c>
      <c r="Z166" s="122">
        <f>+E154*Q166/1000</f>
        <v>1451.293328074968</v>
      </c>
      <c r="AA166" s="69"/>
      <c r="AU166" s="66"/>
      <c r="AV166" s="66"/>
      <c r="AW166" s="66"/>
      <c r="AX166" s="66"/>
      <c r="AY166" s="66"/>
    </row>
    <row r="167" spans="1:51" ht="15.25" x14ac:dyDescent="1.05">
      <c r="A167" s="7"/>
      <c r="P167" t="s">
        <v>191</v>
      </c>
      <c r="Q167" s="4">
        <f>SUM(W65:W68)/1000</f>
        <v>1986.5429326479127</v>
      </c>
      <c r="R167" s="4"/>
      <c r="T167" s="4">
        <v>0</v>
      </c>
      <c r="U167" s="4">
        <v>0</v>
      </c>
      <c r="W167" s="4">
        <f>+T167-Q167</f>
        <v>-1986.5429326479127</v>
      </c>
      <c r="X167" s="4"/>
      <c r="Z167" s="69">
        <f>+E152*Q167/1000</f>
        <v>134.70001474022268</v>
      </c>
      <c r="AU167" s="66"/>
      <c r="AV167" s="66"/>
      <c r="AW167" s="66"/>
      <c r="AX167" s="66"/>
      <c r="AY167" s="66"/>
    </row>
    <row r="168" spans="1:51" x14ac:dyDescent="0.6">
      <c r="A168" s="7"/>
      <c r="B168" t="s">
        <v>78</v>
      </c>
      <c r="C168" s="71"/>
      <c r="D168" s="71"/>
      <c r="E168" s="71">
        <f>'BGS PTY23 Cost Alloc'!E164</f>
        <v>49.370786100000004</v>
      </c>
      <c r="F168" s="71">
        <f>'BGS PTY23 Cost Alloc'!F164</f>
        <v>3511.7774561799997</v>
      </c>
      <c r="G168" s="71">
        <f>'BGS PTY23 Cost Alloc'!G164</f>
        <v>1213.2031368</v>
      </c>
      <c r="H168" s="71">
        <f>'BGS PTY23 Cost Alloc'!H164</f>
        <v>23.119142200000002</v>
      </c>
      <c r="I168" s="71">
        <f>'BGS PTY23 Cost Alloc'!I164</f>
        <v>5.2202399999999996E-2</v>
      </c>
      <c r="J168" s="71">
        <f>SUM(E168:I168)</f>
        <v>4797.5227236800001</v>
      </c>
      <c r="K168" s="71"/>
      <c r="L168" s="71"/>
      <c r="M168" s="71"/>
      <c r="Z168" s="122">
        <f>SUM(Z165:Z167)</f>
        <v>4294.5076849981333</v>
      </c>
      <c r="AA168" s="122"/>
      <c r="AC168" s="3">
        <f>+E130</f>
        <v>4294.3728491039446</v>
      </c>
      <c r="AU168" s="66"/>
      <c r="AV168" s="66"/>
      <c r="AW168" s="66"/>
      <c r="AX168" s="66"/>
      <c r="AY168" s="66"/>
    </row>
    <row r="169" spans="1:51" x14ac:dyDescent="0.6">
      <c r="A169" s="7"/>
      <c r="P169" s="10" t="s">
        <v>26</v>
      </c>
      <c r="Q169" s="4"/>
      <c r="R169" s="4"/>
      <c r="T169" s="4"/>
      <c r="U169" s="4"/>
      <c r="W169" s="4"/>
      <c r="X169" s="4"/>
      <c r="AU169" s="66"/>
      <c r="AV169" s="66"/>
      <c r="AW169" s="66"/>
      <c r="AX169" s="66"/>
      <c r="AY169" s="66"/>
    </row>
    <row r="170" spans="1:51" x14ac:dyDescent="0.6">
      <c r="A170" s="7"/>
      <c r="B170" t="s">
        <v>79</v>
      </c>
      <c r="C170" s="72" t="s">
        <v>80</v>
      </c>
      <c r="D170" s="70"/>
      <c r="E170" s="56"/>
      <c r="F170" s="56"/>
      <c r="G170" s="56"/>
      <c r="H170" s="56"/>
      <c r="I170" s="56"/>
      <c r="J170" s="70"/>
      <c r="K170" s="70"/>
      <c r="L170" s="70"/>
      <c r="M170" s="70"/>
      <c r="P170" t="s">
        <v>14</v>
      </c>
      <c r="Q170" s="4">
        <f>SUMPRODUCT(E33:E37,M60:M64)+SUMPRODUCT(E42:E44,M69:M71)</f>
        <v>42194.068100000004</v>
      </c>
      <c r="R170" s="4">
        <f>SUMPRODUCT(E33:E37,E60:E64)+SUMPRODUCT(E42:E44,E69:E71)</f>
        <v>43971.953699999998</v>
      </c>
      <c r="T170" s="4">
        <f>Q72</f>
        <v>58300.455999999998</v>
      </c>
      <c r="U170" s="4">
        <f>T170-($Q$172*$Q170/($Q$170+$Q$171))</f>
        <v>56529.25821469642</v>
      </c>
      <c r="W170" s="4">
        <f>+T170-Q170</f>
        <v>16106.387899999994</v>
      </c>
      <c r="X170" s="4">
        <f>-Q170+U170</f>
        <v>14335.190114696416</v>
      </c>
      <c r="Z170" s="122">
        <f>+E157*Q170/1000</f>
        <v>4410.1270910387875</v>
      </c>
      <c r="AA170" s="122"/>
      <c r="AC170" s="3"/>
      <c r="AU170" s="66"/>
      <c r="AV170" s="66"/>
      <c r="AW170" s="66"/>
      <c r="AX170" s="66"/>
      <c r="AY170" s="66"/>
    </row>
    <row r="171" spans="1:51" ht="15.25" x14ac:dyDescent="1.05">
      <c r="A171" s="7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P171" t="s">
        <v>15</v>
      </c>
      <c r="Q171" s="4">
        <f>SUMPRODUCT(Q33:Q37,M60:M64)+SUMPRODUCT(Q42:Q44,M69:M71)</f>
        <v>75293.931899999996</v>
      </c>
      <c r="R171" s="4">
        <f>SUMPRODUCT(Q33:Q37,E60:E64)+SUMPRODUCT(Q42:Q44,E69:E71)</f>
        <v>78447.046300000002</v>
      </c>
      <c r="T171" s="4">
        <f>Q73</f>
        <v>64118.544000000002</v>
      </c>
      <c r="U171" s="4">
        <f>T171-($Q$172*$Q171/($Q$170+$Q$171))</f>
        <v>60957.899591122099</v>
      </c>
      <c r="W171" s="4">
        <f>+T171-Q171</f>
        <v>-11175.387899999994</v>
      </c>
      <c r="X171" s="4">
        <f>-Q171+U171</f>
        <v>-14336.032308877897</v>
      </c>
      <c r="Z171" s="122">
        <f>+E158*Q171/1000</f>
        <v>3397.2988685976593</v>
      </c>
      <c r="AA171" s="69"/>
      <c r="AC171" s="3"/>
      <c r="AU171" s="66"/>
      <c r="AV171" s="66"/>
      <c r="AW171" s="66"/>
      <c r="AX171" s="66"/>
      <c r="AY171" s="66"/>
    </row>
    <row r="172" spans="1:51" ht="15.25" x14ac:dyDescent="1.05">
      <c r="A172" s="7"/>
      <c r="B172" t="s">
        <v>81</v>
      </c>
      <c r="I172" s="70"/>
      <c r="J172" s="70"/>
      <c r="K172" s="70"/>
      <c r="L172" s="70"/>
      <c r="M172" s="70"/>
      <c r="P172" t="s">
        <v>191</v>
      </c>
      <c r="Q172" s="4">
        <f>SUM(W60:W64,W69:W71)/1000</f>
        <v>4931.8421941814795</v>
      </c>
      <c r="T172">
        <v>0</v>
      </c>
      <c r="U172" s="4">
        <v>0</v>
      </c>
      <c r="W172" s="4">
        <f>+T172-Q172</f>
        <v>-4931.8421941814795</v>
      </c>
      <c r="X172" s="4"/>
      <c r="Z172" s="69">
        <f>+E156*Q172/1000</f>
        <v>327.75000670047757</v>
      </c>
      <c r="AU172" s="66"/>
      <c r="AV172" s="66"/>
      <c r="AW172" s="66"/>
      <c r="AX172" s="66"/>
      <c r="AY172" s="66"/>
    </row>
    <row r="173" spans="1:51" x14ac:dyDescent="0.6">
      <c r="A173" s="7"/>
      <c r="D173" s="73" t="s">
        <v>82</v>
      </c>
      <c r="E173" s="114">
        <v>122</v>
      </c>
      <c r="G173" s="73" t="s">
        <v>83</v>
      </c>
      <c r="H173" s="74">
        <v>4</v>
      </c>
      <c r="I173" s="70"/>
      <c r="J173" s="70"/>
      <c r="K173" s="70"/>
      <c r="L173" s="70"/>
      <c r="M173" s="70"/>
      <c r="Q173" s="2"/>
      <c r="R173" s="2"/>
      <c r="S173" s="2"/>
      <c r="T173" s="2"/>
      <c r="U173" s="2"/>
      <c r="V173" s="2"/>
      <c r="W173" s="2"/>
      <c r="X173" s="2"/>
      <c r="Z173" s="122">
        <f>SUM(Z170:Z172)</f>
        <v>8135.1759663369239</v>
      </c>
      <c r="AA173" s="122"/>
      <c r="AC173" s="3">
        <f>+E134</f>
        <v>8135.4646986884809</v>
      </c>
      <c r="AU173" s="3"/>
      <c r="AV173" s="3"/>
      <c r="AW173" s="3"/>
      <c r="AX173" s="3"/>
      <c r="AY173" s="3"/>
    </row>
    <row r="174" spans="1:51" ht="15.25" x14ac:dyDescent="1.05">
      <c r="A174" s="7"/>
      <c r="D174" s="75" t="s">
        <v>84</v>
      </c>
      <c r="E174" s="74">
        <v>243</v>
      </c>
      <c r="G174" s="75" t="s">
        <v>85</v>
      </c>
      <c r="H174" s="74">
        <v>8</v>
      </c>
      <c r="I174" s="70"/>
      <c r="J174" s="70"/>
      <c r="K174" s="70"/>
      <c r="L174" s="70"/>
      <c r="M174" s="70"/>
      <c r="Q174" s="4"/>
      <c r="R174" s="4"/>
      <c r="T174" s="4"/>
      <c r="U174" s="4"/>
      <c r="W174" s="4"/>
      <c r="X174" s="4"/>
      <c r="Z174" s="69"/>
      <c r="AA174" s="69"/>
      <c r="AX174" s="3"/>
    </row>
    <row r="175" spans="1:51" x14ac:dyDescent="0.6">
      <c r="A175" s="7"/>
      <c r="G175" s="73" t="s">
        <v>86</v>
      </c>
      <c r="H175">
        <f>+H173+H174</f>
        <v>12</v>
      </c>
      <c r="I175" s="70"/>
      <c r="J175" s="70"/>
      <c r="K175" s="70"/>
      <c r="L175" s="70"/>
      <c r="M175" s="70"/>
      <c r="Q175" s="4"/>
      <c r="R175" s="4"/>
      <c r="T175" s="4"/>
      <c r="U175" s="4"/>
      <c r="W175" s="4"/>
      <c r="X175" s="4"/>
      <c r="Z175" s="122"/>
      <c r="AA175" s="122"/>
      <c r="AC175" s="3">
        <f>SUM(AC168:AC173)</f>
        <v>12429.837547792426</v>
      </c>
    </row>
    <row r="176" spans="1:51" x14ac:dyDescent="0.6">
      <c r="A176" s="7"/>
      <c r="B176" s="18" t="s">
        <v>158</v>
      </c>
      <c r="C176" s="76"/>
      <c r="D176" s="77"/>
      <c r="K176" s="78"/>
      <c r="Q176" s="4"/>
      <c r="R176" s="4"/>
      <c r="T176" s="4"/>
      <c r="U176" s="4"/>
      <c r="W176" s="4"/>
      <c r="X176" s="4"/>
      <c r="Z176" s="122"/>
      <c r="AA176" s="122"/>
      <c r="AC176" s="3"/>
    </row>
    <row r="177" spans="1:50" x14ac:dyDescent="0.6">
      <c r="A177" s="7"/>
      <c r="B177" s="18"/>
      <c r="C177" s="76"/>
      <c r="D177" s="77"/>
      <c r="K177" s="78"/>
      <c r="Q177" s="4"/>
      <c r="R177" s="4"/>
      <c r="T177" s="4"/>
      <c r="U177" s="4"/>
      <c r="W177" s="4"/>
      <c r="X177" s="4"/>
      <c r="Z177" s="122"/>
      <c r="AA177" s="122"/>
      <c r="AC177" s="3"/>
    </row>
    <row r="178" spans="1:50" x14ac:dyDescent="0.6">
      <c r="A178" s="7"/>
      <c r="D178" s="8" t="s">
        <v>221</v>
      </c>
      <c r="E178" s="8" t="s">
        <v>218</v>
      </c>
      <c r="Q178" s="4"/>
      <c r="R178" s="4"/>
      <c r="T178" s="4"/>
      <c r="U178" s="4"/>
      <c r="W178" s="4"/>
      <c r="X178" s="4"/>
      <c r="Z178" s="122"/>
      <c r="AA178" s="122"/>
      <c r="AC178" s="3"/>
    </row>
    <row r="179" spans="1:50" ht="15.25" x14ac:dyDescent="1.05">
      <c r="A179" s="7"/>
      <c r="B179" s="18" t="s">
        <v>87</v>
      </c>
      <c r="C179" t="s">
        <v>25</v>
      </c>
      <c r="D179" s="11">
        <v>50.96</v>
      </c>
      <c r="E179" s="139">
        <f>ROUND(D179*$H$307,3)</f>
        <v>73.260000000000005</v>
      </c>
      <c r="F179" s="77" t="s">
        <v>88</v>
      </c>
      <c r="G179" s="73" t="s">
        <v>162</v>
      </c>
      <c r="H179" s="3">
        <f>ROUND(E179*E173*J$168,0)</f>
        <v>42878915</v>
      </c>
      <c r="I179" s="73"/>
      <c r="J179" s="73"/>
      <c r="K179" s="120"/>
      <c r="Q179" s="4"/>
      <c r="R179" s="4"/>
      <c r="T179" s="4"/>
      <c r="U179" s="4"/>
      <c r="W179" s="4"/>
      <c r="X179" s="4"/>
      <c r="Z179" s="69"/>
      <c r="AA179" s="69"/>
      <c r="AC179" s="3"/>
    </row>
    <row r="180" spans="1:50" ht="15.25" x14ac:dyDescent="1.05">
      <c r="A180" s="7"/>
      <c r="B180" s="18"/>
      <c r="C180" t="s">
        <v>26</v>
      </c>
      <c r="D180" s="11">
        <v>50.96</v>
      </c>
      <c r="E180" s="139">
        <f>ROUND(D180*$H$307,3)</f>
        <v>73.260000000000005</v>
      </c>
      <c r="F180" s="77" t="s">
        <v>88</v>
      </c>
      <c r="G180" s="103" t="s">
        <v>163</v>
      </c>
      <c r="H180" s="104">
        <f>ROUND(E180*E174*J$168,0)</f>
        <v>85406363</v>
      </c>
      <c r="I180" s="73"/>
      <c r="J180" s="73"/>
      <c r="K180" s="120"/>
      <c r="Z180" s="122"/>
      <c r="AA180" s="122"/>
      <c r="AC180" s="3"/>
    </row>
    <row r="181" spans="1:50" x14ac:dyDescent="0.6">
      <c r="A181" s="7"/>
      <c r="B181" s="18"/>
      <c r="D181" s="11"/>
      <c r="E181" s="77"/>
      <c r="G181" s="73" t="s">
        <v>164</v>
      </c>
      <c r="H181" s="3">
        <f>SUM(H179:H180)</f>
        <v>128285278</v>
      </c>
      <c r="I181" s="73"/>
      <c r="J181" s="402"/>
      <c r="K181" s="120"/>
    </row>
    <row r="182" spans="1:50" x14ac:dyDescent="0.6">
      <c r="A182" s="7"/>
      <c r="B182" t="s">
        <v>153</v>
      </c>
      <c r="I182" s="73"/>
      <c r="J182" s="73"/>
      <c r="K182" s="120"/>
    </row>
    <row r="183" spans="1:50" x14ac:dyDescent="0.6">
      <c r="A183" s="7"/>
      <c r="B183" s="15" t="s">
        <v>154</v>
      </c>
      <c r="I183" s="73"/>
      <c r="J183" s="73"/>
      <c r="K183" s="120"/>
    </row>
    <row r="184" spans="1:50" x14ac:dyDescent="0.6">
      <c r="A184" s="7"/>
      <c r="B184" s="15"/>
      <c r="C184" s="88" t="str">
        <f>" ---------- Rate "&amp;C30&amp;" ----------"</f>
        <v xml:space="preserve"> ---------- Rate  ----------</v>
      </c>
      <c r="D184" s="89"/>
      <c r="E184" s="89"/>
      <c r="I184" s="73"/>
      <c r="J184" s="73"/>
      <c r="K184" s="120"/>
    </row>
    <row r="185" spans="1:50" x14ac:dyDescent="0.6">
      <c r="A185" s="7"/>
      <c r="C185" s="8" t="s">
        <v>140</v>
      </c>
      <c r="E185" s="8" t="s">
        <v>141</v>
      </c>
      <c r="I185" s="73"/>
      <c r="J185" s="73"/>
      <c r="K185" s="120"/>
    </row>
    <row r="186" spans="1:50" x14ac:dyDescent="0.6">
      <c r="A186" s="7"/>
      <c r="B186" s="73" t="s">
        <v>142</v>
      </c>
      <c r="C186" s="90"/>
      <c r="E186" s="99">
        <f>SUM(R65/(R65+R66))</f>
        <v>0.48185536299523257</v>
      </c>
      <c r="F186" s="95"/>
      <c r="I186" s="73"/>
      <c r="J186" s="73"/>
      <c r="K186" s="120"/>
      <c r="AX186" s="99"/>
    </row>
    <row r="187" spans="1:50" x14ac:dyDescent="0.6">
      <c r="A187" s="7"/>
      <c r="B187" s="73" t="s">
        <v>144</v>
      </c>
      <c r="C187" s="91"/>
      <c r="E187" s="92">
        <f>1-E186</f>
        <v>0.51814463700476743</v>
      </c>
      <c r="G187" s="4"/>
      <c r="I187" s="73"/>
      <c r="J187" s="73"/>
      <c r="K187" s="120"/>
    </row>
    <row r="188" spans="1:50" x14ac:dyDescent="0.6">
      <c r="A188" s="7"/>
      <c r="B188" s="93" t="s">
        <v>155</v>
      </c>
      <c r="C188" s="94">
        <v>0.86519999999999997</v>
      </c>
      <c r="D188" t="s">
        <v>143</v>
      </c>
      <c r="J188" s="73"/>
      <c r="K188" s="120"/>
    </row>
    <row r="189" spans="1:50" x14ac:dyDescent="0.6">
      <c r="A189"/>
      <c r="J189" s="73"/>
      <c r="K189" s="120"/>
    </row>
    <row r="190" spans="1:50" x14ac:dyDescent="0.6">
      <c r="A190" s="6" t="s">
        <v>89</v>
      </c>
      <c r="B190" s="1" t="s">
        <v>90</v>
      </c>
      <c r="D190" s="8" t="s">
        <v>221</v>
      </c>
      <c r="E190" s="8" t="s">
        <v>218</v>
      </c>
    </row>
    <row r="191" spans="1:50" x14ac:dyDescent="0.6">
      <c r="A191" s="6"/>
      <c r="B191" s="15" t="s">
        <v>314</v>
      </c>
      <c r="D191" s="368">
        <v>2</v>
      </c>
      <c r="F191" t="s">
        <v>92</v>
      </c>
    </row>
    <row r="192" spans="1:50" x14ac:dyDescent="0.6">
      <c r="A192" s="6"/>
      <c r="B192" s="15" t="s">
        <v>317</v>
      </c>
      <c r="D192" s="369">
        <v>16.919999999999998</v>
      </c>
      <c r="F192" t="s">
        <v>92</v>
      </c>
    </row>
    <row r="193" spans="1:13" x14ac:dyDescent="0.6">
      <c r="A193" s="7"/>
      <c r="B193" s="15" t="s">
        <v>91</v>
      </c>
      <c r="D193" s="370">
        <f>D191+D192</f>
        <v>18.919999999999998</v>
      </c>
      <c r="E193" s="367">
        <f>ROUND(D193*$H$307,3)</f>
        <v>27.199000000000002</v>
      </c>
      <c r="F193" t="s">
        <v>92</v>
      </c>
    </row>
    <row r="194" spans="1:13" x14ac:dyDescent="0.6">
      <c r="A194" s="7"/>
      <c r="B194" s="15"/>
      <c r="F194" s="77"/>
    </row>
    <row r="195" spans="1:13" x14ac:dyDescent="0.6">
      <c r="A195" s="7"/>
      <c r="B195" s="1"/>
      <c r="E195" s="76"/>
      <c r="F195" s="77"/>
    </row>
    <row r="196" spans="1:13" x14ac:dyDescent="0.6">
      <c r="A196" s="6" t="s">
        <v>93</v>
      </c>
      <c r="B196" s="1" t="s">
        <v>167</v>
      </c>
    </row>
    <row r="197" spans="1:13" x14ac:dyDescent="0.6">
      <c r="A197" s="6"/>
      <c r="B197" s="1"/>
    </row>
    <row r="198" spans="1:13" x14ac:dyDescent="0.6">
      <c r="A198" s="6"/>
      <c r="B198" s="1"/>
      <c r="C198" s="2"/>
      <c r="D198" s="2"/>
      <c r="E198" s="2" t="str">
        <f>+E$13</f>
        <v>RT{1}</v>
      </c>
      <c r="F198" s="2" t="str">
        <f>+F$13</f>
        <v>RS{2}</v>
      </c>
      <c r="G198" s="2" t="str">
        <f>+G$13</f>
        <v>GS{3}</v>
      </c>
      <c r="H198" s="133" t="str">
        <f>+H$58</f>
        <v>GST {4}</v>
      </c>
      <c r="I198" s="2" t="str">
        <f>+I$13</f>
        <v>OL/SL</v>
      </c>
      <c r="J198" s="2"/>
    </row>
    <row r="199" spans="1:13" x14ac:dyDescent="0.6">
      <c r="A199" s="6"/>
      <c r="B199" s="1"/>
      <c r="M199" s="273"/>
    </row>
    <row r="200" spans="1:13" x14ac:dyDescent="0.6">
      <c r="A200" s="7"/>
      <c r="B200" s="73" t="s">
        <v>94</v>
      </c>
      <c r="C200" s="123"/>
      <c r="D200" s="123"/>
      <c r="E200" s="124">
        <v>0</v>
      </c>
      <c r="F200" s="124">
        <v>0</v>
      </c>
      <c r="G200" s="124">
        <v>0</v>
      </c>
      <c r="H200" s="124">
        <v>0</v>
      </c>
      <c r="I200" s="124">
        <v>0</v>
      </c>
      <c r="J200" s="123"/>
      <c r="K200" s="123" t="s">
        <v>251</v>
      </c>
      <c r="L200" s="123"/>
      <c r="M200" s="275"/>
    </row>
    <row r="201" spans="1:13" x14ac:dyDescent="0.6">
      <c r="A201" s="7"/>
      <c r="B201" s="7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3"/>
    </row>
    <row r="202" spans="1:13" x14ac:dyDescent="0.6">
      <c r="A202" s="7"/>
      <c r="B202" s="73" t="s">
        <v>131</v>
      </c>
      <c r="C202" s="123"/>
      <c r="D202" s="123"/>
      <c r="E202" s="124">
        <f>$H$181*(E$168/$J$168)/E$72</f>
        <v>7.107163769333841</v>
      </c>
      <c r="F202" s="124">
        <f>$H$181*(F$168/$J$168)/F$72</f>
        <v>9.7186236583990606</v>
      </c>
      <c r="G202" s="124">
        <f>$H$181*(G$168/$J$168)/G$72</f>
        <v>5.375646598217144</v>
      </c>
      <c r="H202" s="124">
        <f>$H$181*(H$168/$J$168)/H$72</f>
        <v>4.0776984492514101</v>
      </c>
      <c r="I202" s="124">
        <f>$H$181*(I$168/$J$168)/I$72</f>
        <v>1.0264780400310083E-2</v>
      </c>
      <c r="J202" s="123"/>
      <c r="K202" s="123"/>
      <c r="L202" s="123"/>
      <c r="M202" s="123"/>
    </row>
    <row r="203" spans="1:13" x14ac:dyDescent="0.6">
      <c r="A203" s="7"/>
      <c r="B203" s="73" t="s">
        <v>198</v>
      </c>
      <c r="C203" s="123"/>
      <c r="D203" s="123"/>
      <c r="E203" s="124">
        <f>$H$179*(E$168/$J$168)/SUM(E65:E68)</f>
        <v>6.9673355821071512</v>
      </c>
      <c r="F203" s="124">
        <f>$H$179*(F$168/$J$168)/SUM(F65:F68)</f>
        <v>7.6665347082004134</v>
      </c>
      <c r="G203" s="124">
        <f>$H$179*(G$168/$J$168)/SUM(G65:G68)</f>
        <v>4.981176917163344</v>
      </c>
      <c r="H203" s="124"/>
      <c r="I203" s="124">
        <f>$H$179*(I$168/$J$168)/SUM(I65:I68)</f>
        <v>1.0291616559549814E-2</v>
      </c>
      <c r="J203" s="123"/>
      <c r="K203" s="123"/>
      <c r="L203" s="123"/>
      <c r="M203" s="123"/>
    </row>
    <row r="204" spans="1:13" x14ac:dyDescent="0.6">
      <c r="A204" s="7"/>
      <c r="B204" s="73" t="s">
        <v>199</v>
      </c>
      <c r="C204" s="123"/>
      <c r="D204" s="123"/>
      <c r="E204" s="124">
        <f>$H$179*(E$168/$J$168)/R165</f>
        <v>16.560952718114333</v>
      </c>
      <c r="F204" s="124"/>
      <c r="G204" s="124"/>
      <c r="H204" s="124">
        <f>$H$179*(H$168/$J$168)/Q153</f>
        <v>8.3704905871446478</v>
      </c>
      <c r="I204" s="124"/>
      <c r="J204" s="123"/>
      <c r="K204" s="123"/>
      <c r="L204" s="123"/>
      <c r="M204" s="123"/>
    </row>
    <row r="205" spans="1:13" x14ac:dyDescent="0.6">
      <c r="A205" s="7"/>
      <c r="B205" s="73" t="s">
        <v>201</v>
      </c>
      <c r="C205" s="123"/>
      <c r="D205" s="123"/>
      <c r="E205" s="124">
        <f>$H$180*(E$168/$J$168)/(E72-SUM(E65:E68))</f>
        <v>7.1795033455567143</v>
      </c>
      <c r="F205" s="124">
        <f>$H$180*(F$168/$J$168)/(F72-SUM(F65:F68))</f>
        <v>11.22741992808468</v>
      </c>
      <c r="G205" s="124">
        <f>$H$180*(G$168/$J$168)/(G72-SUM(G65:G68))</f>
        <v>5.5982263616851977</v>
      </c>
      <c r="H205" s="124"/>
      <c r="I205" s="124">
        <f>$H$180*(I$168/$J$168)/(I72-SUM(I65:I68))</f>
        <v>1.0251359804420997E-2</v>
      </c>
      <c r="J205" s="123"/>
      <c r="K205" s="123"/>
      <c r="L205" s="123"/>
      <c r="M205" s="123"/>
    </row>
    <row r="206" spans="1:13" x14ac:dyDescent="0.6">
      <c r="A206" s="7"/>
      <c r="B206" s="73" t="s">
        <v>200</v>
      </c>
      <c r="C206" s="123"/>
      <c r="D206" s="123"/>
      <c r="E206" s="124">
        <f>$H$180*(E$168/$J$168)/R170</f>
        <v>19.987913797419182</v>
      </c>
      <c r="F206" s="125"/>
      <c r="G206" s="125"/>
      <c r="H206" s="124">
        <f>$H$180*(H$168/$J$168)/Q157</f>
        <v>10.128762870155033</v>
      </c>
      <c r="I206" s="124"/>
      <c r="J206" s="123"/>
      <c r="K206" s="123"/>
      <c r="L206" s="123"/>
      <c r="M206" s="123"/>
    </row>
    <row r="207" spans="1:13" x14ac:dyDescent="0.6">
      <c r="A207" s="7"/>
      <c r="B207" s="73"/>
      <c r="C207" s="123"/>
      <c r="D207" s="123"/>
      <c r="E207" s="124"/>
      <c r="F207" s="124"/>
      <c r="G207" s="124"/>
      <c r="H207" s="124"/>
      <c r="I207" s="124"/>
      <c r="J207" s="123"/>
      <c r="K207" s="123"/>
      <c r="L207" s="123"/>
      <c r="M207" s="123"/>
    </row>
    <row r="208" spans="1:13" ht="15.5" x14ac:dyDescent="0.7">
      <c r="A208" s="7"/>
      <c r="B208" s="570" t="str">
        <f>$B$1</f>
        <v xml:space="preserve">Jersey Central Power &amp; Light </v>
      </c>
      <c r="C208" s="570"/>
      <c r="D208" s="570"/>
      <c r="E208" s="570"/>
      <c r="F208" s="570"/>
      <c r="G208" s="570"/>
      <c r="H208" s="570"/>
      <c r="I208" s="570"/>
      <c r="J208" s="570"/>
      <c r="K208" s="570"/>
      <c r="L208" s="570"/>
      <c r="M208" s="123"/>
    </row>
    <row r="209" spans="1:18" ht="15.5" x14ac:dyDescent="0.7">
      <c r="A209" s="7"/>
      <c r="B209" s="570" t="str">
        <f>$B$2</f>
        <v>Attachment 2</v>
      </c>
      <c r="C209" s="570"/>
      <c r="D209" s="570"/>
      <c r="E209" s="570"/>
      <c r="F209" s="570"/>
      <c r="G209" s="570"/>
      <c r="H209" s="570"/>
      <c r="I209" s="570"/>
      <c r="J209" s="570"/>
      <c r="K209" s="570"/>
      <c r="L209" s="570"/>
      <c r="M209" s="123"/>
      <c r="N209" s="123"/>
      <c r="O209" s="123"/>
      <c r="P209" s="123"/>
      <c r="Q209" s="123"/>
      <c r="R209" s="123"/>
    </row>
    <row r="210" spans="1:18" x14ac:dyDescent="0.6">
      <c r="A210" s="7"/>
      <c r="E210" s="123"/>
      <c r="F210" s="123"/>
      <c r="G210" s="123"/>
      <c r="H210" s="123"/>
      <c r="K210" s="123"/>
      <c r="L210" s="123"/>
      <c r="M210" s="123"/>
      <c r="N210" s="123"/>
      <c r="O210" s="123"/>
      <c r="P210" s="123"/>
      <c r="Q210" s="123"/>
      <c r="R210" s="123"/>
    </row>
    <row r="211" spans="1:18" x14ac:dyDescent="0.6">
      <c r="A211" s="7"/>
      <c r="M211" s="123"/>
      <c r="N211" s="123"/>
      <c r="O211" s="123"/>
      <c r="P211" s="123"/>
      <c r="Q211" s="123"/>
      <c r="R211" s="123"/>
    </row>
    <row r="212" spans="1:18" x14ac:dyDescent="0.6">
      <c r="A212" s="6" t="s">
        <v>95</v>
      </c>
      <c r="B212" s="1" t="s">
        <v>96</v>
      </c>
      <c r="M212" s="123"/>
      <c r="N212" s="123"/>
      <c r="O212" s="123"/>
      <c r="P212" s="123"/>
      <c r="Q212" s="123"/>
      <c r="R212" s="123"/>
    </row>
    <row r="213" spans="1:18" x14ac:dyDescent="0.6">
      <c r="A213" s="7"/>
      <c r="B213" s="1"/>
      <c r="M213" s="123"/>
      <c r="N213" s="123"/>
      <c r="O213" s="123"/>
      <c r="P213" s="123"/>
      <c r="Q213" s="123"/>
      <c r="R213" s="123"/>
    </row>
    <row r="214" spans="1:18" x14ac:dyDescent="0.6">
      <c r="A214" s="7"/>
      <c r="B214" s="1" t="s">
        <v>97</v>
      </c>
      <c r="M214" s="123"/>
      <c r="N214" s="123"/>
      <c r="O214" s="123"/>
      <c r="P214" s="123"/>
      <c r="Q214" s="123"/>
      <c r="R214" s="123"/>
    </row>
    <row r="215" spans="1:18" x14ac:dyDescent="0.6">
      <c r="A215" s="7"/>
      <c r="B215" s="15" t="s">
        <v>412</v>
      </c>
      <c r="M215" s="123"/>
      <c r="N215" s="123"/>
      <c r="O215" s="123"/>
      <c r="P215" s="123"/>
      <c r="Q215" s="123"/>
      <c r="R215" s="123"/>
    </row>
    <row r="216" spans="1:18" x14ac:dyDescent="0.6">
      <c r="A216" s="7"/>
      <c r="B216" s="15" t="s">
        <v>21</v>
      </c>
      <c r="M216" s="123"/>
      <c r="N216" s="123"/>
      <c r="O216" s="123"/>
      <c r="P216" s="123"/>
      <c r="Q216" s="123"/>
      <c r="R216" s="123"/>
    </row>
    <row r="217" spans="1:18" x14ac:dyDescent="0.6">
      <c r="A217" s="7"/>
      <c r="C217" s="2"/>
      <c r="D217" s="2"/>
      <c r="E217" s="2" t="str">
        <f>+E$13</f>
        <v>RT{1}</v>
      </c>
      <c r="F217" s="2" t="str">
        <f>+F$13</f>
        <v>RS{2}</v>
      </c>
      <c r="G217" s="2" t="str">
        <f>+G$13</f>
        <v>GS{3}</v>
      </c>
      <c r="H217" s="133" t="str">
        <f>+H$58</f>
        <v>GST {4}</v>
      </c>
      <c r="I217" s="2" t="str">
        <f>+I$13</f>
        <v>OL/SL</v>
      </c>
      <c r="J217" s="2"/>
      <c r="M217" s="123"/>
      <c r="N217" s="123"/>
      <c r="O217" s="123"/>
      <c r="P217" s="123"/>
      <c r="Q217" s="123"/>
      <c r="R217" s="123"/>
    </row>
    <row r="218" spans="1:18" x14ac:dyDescent="0.6">
      <c r="A218" s="7"/>
      <c r="C218" s="2"/>
      <c r="D218" s="2"/>
      <c r="E218" s="60"/>
      <c r="F218" s="2"/>
      <c r="G218" s="2"/>
      <c r="M218" s="123"/>
      <c r="N218" s="123"/>
      <c r="O218" s="123"/>
      <c r="P218" s="123"/>
      <c r="Q218" s="123"/>
      <c r="R218" s="123"/>
    </row>
    <row r="219" spans="1:18" x14ac:dyDescent="0.6">
      <c r="A219" s="7"/>
      <c r="B219" s="23" t="s">
        <v>17</v>
      </c>
      <c r="C219" s="60"/>
      <c r="D219" s="60"/>
      <c r="E219" s="60">
        <f>+E152+(E$95*$E$193)+E$200+E203</f>
        <v>105.18204056635221</v>
      </c>
      <c r="F219" s="60">
        <f>+F152+(F$95*$E$193)+F$200+F203</f>
        <v>106.24894850366215</v>
      </c>
      <c r="G219" s="60">
        <f>+G152+(G$95*$E$193)+G$200+G203</f>
        <v>106.08510048071439</v>
      </c>
      <c r="H219" s="60"/>
      <c r="I219" s="60">
        <f>+I152+(I$95*$E$193)+I$200+I203</f>
        <v>83.529160799005055</v>
      </c>
      <c r="J219" s="60"/>
      <c r="K219" s="60"/>
      <c r="M219" s="123"/>
      <c r="N219" s="123"/>
      <c r="O219" s="123"/>
      <c r="P219" s="123"/>
      <c r="Q219" s="123"/>
      <c r="R219" s="123"/>
    </row>
    <row r="220" spans="1:18" x14ac:dyDescent="0.6">
      <c r="A220" s="7"/>
      <c r="B220" s="63" t="s">
        <v>72</v>
      </c>
      <c r="C220" s="60"/>
      <c r="D220" s="60"/>
      <c r="E220" s="60">
        <f>+E153+(E$95*$E$193)+E$200+E$204</f>
        <v>151.90244179868455</v>
      </c>
      <c r="F220" s="60"/>
      <c r="G220" s="60"/>
      <c r="H220" s="60">
        <f>+H153+(H$95*$E$193)+H$200+H$204</f>
        <v>142.50669648173255</v>
      </c>
      <c r="I220" s="60"/>
      <c r="J220" s="60"/>
      <c r="M220" s="123"/>
      <c r="N220" s="123"/>
      <c r="O220" s="123"/>
      <c r="P220" s="123"/>
      <c r="Q220" s="123"/>
      <c r="R220" s="123"/>
    </row>
    <row r="221" spans="1:18" x14ac:dyDescent="0.6">
      <c r="A221" s="7"/>
      <c r="B221" s="63" t="s">
        <v>73</v>
      </c>
      <c r="C221" s="60"/>
      <c r="D221" s="60"/>
      <c r="E221" s="60">
        <f>+E154+(E$95*$E$193)+E$200</f>
        <v>71.250660596230134</v>
      </c>
      <c r="F221" s="60"/>
      <c r="G221" s="60"/>
      <c r="H221" s="60">
        <f>+H154+(H$95*$E$193)+H$200</f>
        <v>71.90528058184556</v>
      </c>
      <c r="I221" s="60"/>
      <c r="J221" s="60"/>
      <c r="M221" s="123"/>
      <c r="N221" s="123"/>
      <c r="O221" s="123"/>
      <c r="P221" s="123"/>
      <c r="Q221" s="123"/>
      <c r="R221" s="123"/>
    </row>
    <row r="222" spans="1:18" x14ac:dyDescent="0.6">
      <c r="A222" s="7"/>
      <c r="B222" s="73" t="s">
        <v>142</v>
      </c>
      <c r="C222" s="60"/>
      <c r="D222" s="60"/>
      <c r="E222" s="60"/>
      <c r="F222" s="60">
        <f>(F219*SUM(F65:F68)-C188*10*E187*SUM(F65:F68))/SUM(F65:F68)</f>
        <v>101.76596110429689</v>
      </c>
      <c r="G222" s="60"/>
      <c r="H222" s="60"/>
      <c r="I222" s="60"/>
      <c r="J222" s="60"/>
      <c r="M222" s="123"/>
      <c r="N222" s="123"/>
      <c r="O222" s="123"/>
      <c r="P222" s="123"/>
      <c r="Q222" s="123"/>
      <c r="R222" s="123"/>
    </row>
    <row r="223" spans="1:18" x14ac:dyDescent="0.6">
      <c r="A223" s="7"/>
      <c r="B223" s="73" t="s">
        <v>144</v>
      </c>
      <c r="C223" s="60"/>
      <c r="D223" s="60"/>
      <c r="E223" s="60"/>
      <c r="F223" s="60">
        <f>+F222+C188*10</f>
        <v>110.41796110429689</v>
      </c>
      <c r="G223" s="101"/>
      <c r="H223" s="60"/>
      <c r="I223" s="60"/>
      <c r="J223" s="60"/>
      <c r="M223" s="123"/>
      <c r="N223" s="123"/>
      <c r="O223" s="123"/>
      <c r="P223" s="123"/>
      <c r="Q223" s="123"/>
      <c r="R223" s="123"/>
    </row>
    <row r="224" spans="1:18" x14ac:dyDescent="0.6">
      <c r="A224" s="7"/>
      <c r="C224" s="60"/>
      <c r="D224" s="60"/>
      <c r="E224" s="60"/>
      <c r="F224" s="60"/>
      <c r="G224" s="60"/>
      <c r="H224" s="60"/>
      <c r="I224" s="60"/>
      <c r="J224" s="60"/>
      <c r="M224" s="123"/>
      <c r="N224" s="123"/>
      <c r="O224" s="123"/>
      <c r="P224" s="123"/>
      <c r="Q224" s="123"/>
      <c r="R224" s="123"/>
    </row>
    <row r="225" spans="1:18" x14ac:dyDescent="0.6">
      <c r="A225" s="7"/>
      <c r="B225" s="23" t="s">
        <v>18</v>
      </c>
      <c r="C225" s="60"/>
      <c r="D225" s="60"/>
      <c r="E225" s="60">
        <f>+E156+(E$95*$E$193)+E$200+E205</f>
        <v>104.04386335561105</v>
      </c>
      <c r="F225" s="60">
        <f>+F156+(F$95*$E$193)+F$200+F205</f>
        <v>107.94021168148947</v>
      </c>
      <c r="G225" s="60">
        <f>+G156+(G$95*$E$193)+G$200+G205</f>
        <v>103.81653798250247</v>
      </c>
      <c r="H225" s="60"/>
      <c r="I225" s="60">
        <f>+I156+(I$95*$E$193)+I$200+I205</f>
        <v>85.285528726179251</v>
      </c>
      <c r="J225" s="60"/>
      <c r="K225" s="60"/>
      <c r="M225" s="123"/>
      <c r="N225" s="123"/>
      <c r="O225" s="123"/>
      <c r="P225" s="123"/>
      <c r="Q225" s="123"/>
      <c r="R225" s="123"/>
    </row>
    <row r="226" spans="1:18" x14ac:dyDescent="0.6">
      <c r="A226" s="7"/>
      <c r="B226" s="63" t="s">
        <v>72</v>
      </c>
      <c r="C226" s="60"/>
      <c r="D226" s="60"/>
      <c r="E226" s="60">
        <f>+E157+(E$95*$E$193)+E$200+E$206</f>
        <v>154.9164481250989</v>
      </c>
      <c r="F226" s="60"/>
      <c r="G226" s="60"/>
      <c r="H226" s="60">
        <f>+H157+(H$95*$E$193)+H$200+H$206</f>
        <v>140.7299150302151</v>
      </c>
      <c r="I226" s="60"/>
      <c r="J226" s="60"/>
      <c r="M226" s="123"/>
      <c r="N226" s="123"/>
      <c r="O226" s="123"/>
      <c r="P226" s="123"/>
      <c r="Q226" s="123"/>
      <c r="R226" s="123"/>
    </row>
    <row r="227" spans="1:18" x14ac:dyDescent="0.6">
      <c r="A227" s="7"/>
      <c r="B227" s="63" t="s">
        <v>73</v>
      </c>
      <c r="C227" s="60"/>
      <c r="D227" s="60"/>
      <c r="E227" s="60">
        <f>+E158+(E$95*$E$193)+E$200</f>
        <v>75.528947926850748</v>
      </c>
      <c r="F227" s="60"/>
      <c r="G227" s="60"/>
      <c r="H227" s="60">
        <f>+H158+(H$95*$E$193)+H$200</f>
        <v>75.376262466084285</v>
      </c>
      <c r="I227" s="60"/>
      <c r="J227" s="60"/>
      <c r="M227" s="123"/>
      <c r="N227" s="123"/>
      <c r="O227" s="123"/>
      <c r="P227" s="123"/>
      <c r="Q227" s="123"/>
      <c r="R227" s="123"/>
    </row>
    <row r="228" spans="1:18" x14ac:dyDescent="0.6">
      <c r="A228" s="7"/>
      <c r="C228" s="60"/>
      <c r="D228" s="60"/>
      <c r="E228" s="60"/>
      <c r="F228" s="60"/>
      <c r="G228" s="60"/>
      <c r="H228" s="60"/>
      <c r="I228" s="60"/>
      <c r="J228" s="60"/>
      <c r="M228" s="123"/>
      <c r="N228" s="123"/>
      <c r="O228" s="123"/>
      <c r="P228" s="123"/>
      <c r="Q228" s="123"/>
      <c r="R228" s="123"/>
    </row>
    <row r="229" spans="1:18" x14ac:dyDescent="0.6">
      <c r="A229" s="7"/>
      <c r="B229" t="s">
        <v>98</v>
      </c>
      <c r="C229" s="60"/>
      <c r="D229" s="60"/>
      <c r="E229" s="60">
        <f>+E160+(E$95*$E$193)+E$200+E202</f>
        <v>104.43193011821856</v>
      </c>
      <c r="F229" s="60">
        <f>+F160+(F$95*$E$193)+F$200+F202</f>
        <v>107.22360010425771</v>
      </c>
      <c r="G229" s="60">
        <f>+G160+(G$95*$E$193)+G$200+G202</f>
        <v>104.63484534627584</v>
      </c>
      <c r="H229" s="60">
        <f>((H220*SUMPRODUCT(H38:H41,H65:H68)+H221*SUMPRODUCT(T38:T41,H65:H68))+(H226*(SUMPRODUCT(H33:H37,H60:H64)+SUMPRODUCT(H42:H44,H69:H71))+H227*(SUMPRODUCT(T33:T37,H60:H64)+SUMPRODUCT(T42:T44,H69:H71))))/H72</f>
        <v>103.11835639109614</v>
      </c>
      <c r="I229" s="60">
        <f>+I160+(I$95*$E$193)+I$200+I202</f>
        <v>84.699999561999746</v>
      </c>
      <c r="J229" s="60"/>
      <c r="K229" s="60"/>
      <c r="M229" s="123"/>
      <c r="N229" s="123"/>
      <c r="O229" s="123"/>
      <c r="P229" s="123"/>
      <c r="Q229" s="123"/>
      <c r="R229" s="123"/>
    </row>
    <row r="230" spans="1:18" x14ac:dyDescent="0.6">
      <c r="A230" s="7"/>
      <c r="C230" s="60"/>
      <c r="D230" s="60"/>
      <c r="E230" s="60"/>
      <c r="F230" s="60"/>
      <c r="G230" s="60"/>
      <c r="H230" s="60"/>
      <c r="I230" s="60"/>
      <c r="J230" s="60"/>
      <c r="K230" s="60"/>
      <c r="M230" s="123"/>
      <c r="N230" s="123"/>
      <c r="O230" s="123"/>
      <c r="P230" s="123"/>
      <c r="Q230" s="123"/>
      <c r="R230" s="123"/>
    </row>
    <row r="231" spans="1:18" x14ac:dyDescent="0.6">
      <c r="A231" s="7"/>
      <c r="B231" s="1" t="s">
        <v>99</v>
      </c>
      <c r="M231" s="123"/>
      <c r="N231" s="123"/>
      <c r="O231" s="123"/>
      <c r="P231" s="123"/>
      <c r="Q231" s="123"/>
      <c r="R231" s="123"/>
    </row>
    <row r="232" spans="1:18" x14ac:dyDescent="0.6">
      <c r="A232" s="7"/>
      <c r="B232" s="15" t="s">
        <v>100</v>
      </c>
      <c r="M232" s="123"/>
      <c r="N232" s="123"/>
      <c r="O232" s="123"/>
      <c r="P232" s="123"/>
      <c r="Q232" s="123"/>
      <c r="R232" s="123"/>
    </row>
    <row r="233" spans="1:18" x14ac:dyDescent="0.6">
      <c r="A233" s="7"/>
      <c r="B233" s="15" t="s">
        <v>21</v>
      </c>
      <c r="M233" s="123"/>
      <c r="N233" s="123"/>
      <c r="O233" s="123"/>
      <c r="P233" s="123"/>
      <c r="Q233" s="123"/>
      <c r="R233" s="123"/>
    </row>
    <row r="234" spans="1:18" x14ac:dyDescent="0.6">
      <c r="A234" s="7"/>
      <c r="B234" s="63"/>
      <c r="C234" s="60"/>
      <c r="D234" s="60"/>
      <c r="I234" s="73"/>
      <c r="J234" s="60"/>
      <c r="K234" s="77"/>
      <c r="M234" s="123"/>
    </row>
    <row r="235" spans="1:18" x14ac:dyDescent="0.6">
      <c r="A235" s="7"/>
      <c r="C235" s="60"/>
      <c r="D235" s="60"/>
    </row>
    <row r="236" spans="1:18" x14ac:dyDescent="0.6">
      <c r="A236" s="7"/>
      <c r="B236" s="32" t="s">
        <v>101</v>
      </c>
      <c r="C236" s="60"/>
      <c r="D236" s="60"/>
      <c r="I236" s="80"/>
      <c r="K236" s="77"/>
    </row>
    <row r="237" spans="1:18" x14ac:dyDescent="0.6">
      <c r="A237" s="7"/>
      <c r="B237" s="63"/>
      <c r="C237" s="60"/>
      <c r="D237" s="60"/>
      <c r="I237" s="73"/>
      <c r="J237" s="64"/>
      <c r="K237" s="77"/>
    </row>
    <row r="238" spans="1:18" ht="15.5" x14ac:dyDescent="0.7">
      <c r="A238" s="7"/>
      <c r="B238" s="570" t="str">
        <f>$B$1</f>
        <v xml:space="preserve">Jersey Central Power &amp; Light </v>
      </c>
      <c r="C238" s="570"/>
      <c r="D238" s="570"/>
      <c r="E238" s="570"/>
      <c r="F238" s="570"/>
      <c r="G238" s="570"/>
      <c r="H238" s="570"/>
      <c r="I238" s="570"/>
      <c r="J238" s="570"/>
      <c r="K238" s="570"/>
      <c r="L238" s="570"/>
    </row>
    <row r="239" spans="1:18" ht="15.5" x14ac:dyDescent="0.7">
      <c r="A239" s="7"/>
      <c r="B239" s="570" t="str">
        <f>$B$2</f>
        <v>Attachment 2</v>
      </c>
      <c r="C239" s="570"/>
      <c r="D239" s="570"/>
      <c r="E239" s="570"/>
      <c r="F239" s="570"/>
      <c r="G239" s="570"/>
      <c r="H239" s="570"/>
      <c r="I239" s="570"/>
      <c r="J239" s="570"/>
      <c r="K239" s="570"/>
      <c r="L239" s="570"/>
    </row>
    <row r="240" spans="1:18" ht="15.5" x14ac:dyDescent="0.7">
      <c r="A240" s="7"/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</row>
    <row r="241" spans="1:12" ht="15.5" x14ac:dyDescent="0.7">
      <c r="A241" s="6" t="s">
        <v>106</v>
      </c>
      <c r="B241" s="1" t="s">
        <v>238</v>
      </c>
      <c r="C241" s="17"/>
      <c r="E241" s="141"/>
      <c r="F241" s="8"/>
      <c r="K241" s="142"/>
      <c r="L241" s="142"/>
    </row>
    <row r="242" spans="1:12" ht="15.5" x14ac:dyDescent="0.7">
      <c r="B242" t="s">
        <v>239</v>
      </c>
      <c r="K242" s="142"/>
      <c r="L242" s="142"/>
    </row>
    <row r="243" spans="1:12" ht="15.5" x14ac:dyDescent="0.7">
      <c r="E243" s="2" t="s">
        <v>61</v>
      </c>
      <c r="F243" s="2" t="s">
        <v>62</v>
      </c>
      <c r="G243" s="2" t="s">
        <v>65</v>
      </c>
      <c r="H243" s="2" t="s">
        <v>203</v>
      </c>
      <c r="I243" s="2" t="s">
        <v>55</v>
      </c>
      <c r="K243" s="142"/>
      <c r="L243" s="142"/>
    </row>
    <row r="244" spans="1:12" ht="15.5" x14ac:dyDescent="0.7">
      <c r="K244" s="142"/>
      <c r="L244" s="142"/>
    </row>
    <row r="245" spans="1:12" ht="15.5" x14ac:dyDescent="0.7">
      <c r="B245" s="23" t="s">
        <v>17</v>
      </c>
      <c r="E245" s="4">
        <f>'Composite Cost Allocation'!E110</f>
        <v>1986542.9326479128</v>
      </c>
      <c r="G245" s="4">
        <f>'Composite Cost Allocation'!G110</f>
        <v>2176849000</v>
      </c>
      <c r="I245" s="4">
        <f>'Composite Cost Allocation'!I110</f>
        <v>45335000</v>
      </c>
      <c r="K245" s="142"/>
      <c r="L245" s="142"/>
    </row>
    <row r="246" spans="1:12" ht="15.5" x14ac:dyDescent="0.7">
      <c r="B246" s="63" t="s">
        <v>72</v>
      </c>
      <c r="E246" s="4">
        <f>'Composite Cost Allocation'!E111</f>
        <v>25810490</v>
      </c>
      <c r="H246" s="4">
        <f>'Composite Cost Allocation'!H111</f>
        <v>24685819.600000001</v>
      </c>
      <c r="K246" s="142"/>
      <c r="L246" s="142"/>
    </row>
    <row r="247" spans="1:12" ht="15.5" x14ac:dyDescent="0.7">
      <c r="B247" s="63" t="s">
        <v>73</v>
      </c>
      <c r="E247" s="4">
        <f>'Composite Cost Allocation'!E112</f>
        <v>35535967.067352086</v>
      </c>
      <c r="H247" s="4">
        <f>'Composite Cost Allocation'!H112</f>
        <v>30791180.399999999</v>
      </c>
      <c r="K247" s="142"/>
      <c r="L247" s="142"/>
    </row>
    <row r="248" spans="1:12" ht="15.5" x14ac:dyDescent="0.7">
      <c r="B248" s="73" t="s">
        <v>142</v>
      </c>
      <c r="F248" s="4">
        <f>'Composite Cost Allocation'!F113</f>
        <v>1972747000</v>
      </c>
      <c r="K248" s="142"/>
      <c r="L248" s="142"/>
    </row>
    <row r="249" spans="1:12" ht="15.5" x14ac:dyDescent="0.7">
      <c r="B249" s="73" t="s">
        <v>144</v>
      </c>
      <c r="F249" s="4">
        <f>'Composite Cost Allocation'!F114</f>
        <v>2121317000</v>
      </c>
      <c r="K249" s="142"/>
      <c r="L249" s="142"/>
    </row>
    <row r="250" spans="1:12" ht="15.5" x14ac:dyDescent="0.7">
      <c r="K250" s="142"/>
      <c r="L250" s="142"/>
    </row>
    <row r="251" spans="1:12" ht="15.5" x14ac:dyDescent="0.7">
      <c r="B251" s="23" t="s">
        <v>18</v>
      </c>
      <c r="E251" s="4">
        <f>'Composite Cost Allocation'!E116</f>
        <v>4931842.1941814804</v>
      </c>
      <c r="F251" s="4">
        <f>'Composite Cost Allocation'!F116</f>
        <v>5568269000</v>
      </c>
      <c r="G251" s="4">
        <f>'Composite Cost Allocation'!G116</f>
        <v>3857947000</v>
      </c>
      <c r="I251" s="4">
        <f>'Composite Cost Allocation'!I116</f>
        <v>90653000</v>
      </c>
      <c r="K251" s="142"/>
      <c r="L251" s="142"/>
    </row>
    <row r="252" spans="1:12" ht="15.5" x14ac:dyDescent="0.7">
      <c r="B252" s="63" t="s">
        <v>72</v>
      </c>
      <c r="E252" s="4">
        <f>'Composite Cost Allocation'!E117</f>
        <v>42195281.281316541</v>
      </c>
      <c r="H252" s="4">
        <f>'Composite Cost Allocation'!H117</f>
        <v>40633899.29999999</v>
      </c>
      <c r="K252" s="142"/>
      <c r="L252" s="142"/>
    </row>
    <row r="253" spans="1:12" ht="15.5" x14ac:dyDescent="0.7">
      <c r="B253" s="63" t="s">
        <v>73</v>
      </c>
      <c r="E253" s="4">
        <f>'Composite Cost Allocation'!E118</f>
        <v>75291876.524501979</v>
      </c>
      <c r="H253" s="4">
        <f>'Composite Cost Allocation'!H118</f>
        <v>55495100.70000001</v>
      </c>
      <c r="K253" s="142"/>
      <c r="L253" s="142"/>
    </row>
    <row r="254" spans="1:12" ht="15.5" x14ac:dyDescent="0.7">
      <c r="J254" s="2" t="s">
        <v>13</v>
      </c>
      <c r="K254" s="142"/>
      <c r="L254" s="142"/>
    </row>
    <row r="255" spans="1:12" ht="15.5" x14ac:dyDescent="0.7">
      <c r="B255" s="73" t="s">
        <v>162</v>
      </c>
      <c r="E255" s="4">
        <f>SUM(E245:E249)</f>
        <v>63333000</v>
      </c>
      <c r="F255" s="4">
        <f>SUM(F245:F249)</f>
        <v>4094064000</v>
      </c>
      <c r="G255" s="4">
        <f>SUM(G245:G249)</f>
        <v>2176849000</v>
      </c>
      <c r="H255" s="4">
        <f>SUM(H245:H249)</f>
        <v>55477000</v>
      </c>
      <c r="I255" s="4">
        <f>SUM(I245:I249)</f>
        <v>45335000</v>
      </c>
      <c r="J255" s="4">
        <f>SUM(E255:I255)</f>
        <v>6435058000</v>
      </c>
      <c r="K255" s="142"/>
      <c r="L255" s="142"/>
    </row>
    <row r="256" spans="1:12" ht="15.5" x14ac:dyDescent="0.7">
      <c r="B256" s="73" t="s">
        <v>163</v>
      </c>
      <c r="E256" s="116">
        <f>SUM(E251:E253)</f>
        <v>122419000</v>
      </c>
      <c r="F256" s="116">
        <f>SUM(F251:F253)</f>
        <v>5568269000</v>
      </c>
      <c r="G256" s="241">
        <f>SUM(G251:G253)</f>
        <v>3857947000</v>
      </c>
      <c r="H256" s="10">
        <f>SUM(H251:H253)</f>
        <v>96129000</v>
      </c>
      <c r="I256" s="10">
        <f>SUM(I251:I253)</f>
        <v>90653000</v>
      </c>
      <c r="J256" s="116">
        <f>SUM(E256:I256)</f>
        <v>9735417000</v>
      </c>
      <c r="K256" s="142"/>
      <c r="L256" s="142"/>
    </row>
    <row r="257" spans="1:15" ht="15.5" x14ac:dyDescent="0.7">
      <c r="B257" s="73" t="s">
        <v>164</v>
      </c>
      <c r="E257" s="4">
        <f>SUM(E255:E256)</f>
        <v>185752000</v>
      </c>
      <c r="F257" s="4">
        <f>SUM(F255:F256)</f>
        <v>9662333000</v>
      </c>
      <c r="G257" s="4">
        <f>SUM(G255:G256)</f>
        <v>6034796000</v>
      </c>
      <c r="H257" s="4">
        <f>SUM(H255:H256)</f>
        <v>151606000</v>
      </c>
      <c r="I257" s="4">
        <f>SUM(I255:I256)</f>
        <v>135988000</v>
      </c>
      <c r="J257" s="4">
        <f>SUM(E257:I257)</f>
        <v>16170475000</v>
      </c>
      <c r="K257" s="142"/>
      <c r="L257" s="142"/>
    </row>
    <row r="258" spans="1:15" ht="15.5" x14ac:dyDescent="0.7">
      <c r="A258" s="7"/>
      <c r="B258" s="142"/>
      <c r="C258" s="142"/>
      <c r="D258" s="142"/>
      <c r="E258" s="142"/>
      <c r="F258" s="142"/>
      <c r="G258" s="142"/>
      <c r="H258" s="142"/>
      <c r="I258" s="142"/>
      <c r="J258" s="142"/>
      <c r="K258" s="142"/>
      <c r="L258" s="142"/>
    </row>
    <row r="259" spans="1:15" ht="15.5" x14ac:dyDescent="0.7">
      <c r="A259" s="7"/>
      <c r="B259" s="142"/>
      <c r="C259" s="142"/>
      <c r="D259" s="142"/>
      <c r="E259" s="142"/>
      <c r="F259" s="142"/>
      <c r="G259" s="142"/>
      <c r="H259" s="142"/>
      <c r="I259" s="142"/>
      <c r="J259" s="142"/>
      <c r="K259" s="142"/>
      <c r="L259" s="142"/>
    </row>
    <row r="261" spans="1:15" x14ac:dyDescent="0.6">
      <c r="A261" s="6" t="s">
        <v>133</v>
      </c>
      <c r="B261" s="1" t="s">
        <v>168</v>
      </c>
    </row>
    <row r="262" spans="1:15" x14ac:dyDescent="0.6">
      <c r="A262" s="7"/>
      <c r="B262" s="1"/>
    </row>
    <row r="263" spans="1:15" x14ac:dyDescent="0.6">
      <c r="A263" s="7"/>
      <c r="C263" s="2"/>
      <c r="D263" s="2"/>
      <c r="E263" s="2" t="str">
        <f>+E$13</f>
        <v>RT{1}</v>
      </c>
      <c r="F263" s="2" t="str">
        <f>+F$13</f>
        <v>RS{2}</v>
      </c>
      <c r="G263" s="2" t="str">
        <f>+G$13</f>
        <v>GS{3}</v>
      </c>
      <c r="H263" s="133" t="str">
        <f>+H$58</f>
        <v>GST {4}</v>
      </c>
      <c r="I263" s="2" t="str">
        <f>+I$13</f>
        <v>OL/SL</v>
      </c>
      <c r="J263" s="2" t="s">
        <v>13</v>
      </c>
      <c r="K263" s="2"/>
      <c r="L263" s="2"/>
    </row>
    <row r="264" spans="1:15" x14ac:dyDescent="0.6">
      <c r="A264" s="7"/>
      <c r="B264" t="s">
        <v>134</v>
      </c>
    </row>
    <row r="265" spans="1:15" x14ac:dyDescent="0.6">
      <c r="A265" s="7"/>
      <c r="B265" s="23" t="s">
        <v>17</v>
      </c>
      <c r="C265" s="127"/>
      <c r="D265" s="127"/>
      <c r="E265" s="127">
        <f>+E219*E245/1000000</f>
        <v>208.94863932857305</v>
      </c>
      <c r="F265" s="127"/>
      <c r="G265" s="127">
        <f>+G219*G245/1000000</f>
        <v>230931.24489634263</v>
      </c>
      <c r="H265" s="122"/>
      <c r="I265" s="127">
        <f>+I219*I245/1000000</f>
        <v>3786.7945048228939</v>
      </c>
      <c r="J265" s="127"/>
      <c r="K265" s="127"/>
      <c r="L265" s="127"/>
    </row>
    <row r="266" spans="1:15" x14ac:dyDescent="0.6">
      <c r="A266" s="7"/>
      <c r="B266" s="63" t="s">
        <v>72</v>
      </c>
      <c r="C266" s="127"/>
      <c r="D266" s="127"/>
      <c r="E266" s="127">
        <f>+E220*E246/1000000</f>
        <v>3920.6764550205298</v>
      </c>
      <c r="F266" s="127"/>
      <c r="G266" s="127"/>
      <c r="H266" s="127">
        <f>+H220*H246/1000000</f>
        <v>3517.8946011400049</v>
      </c>
      <c r="I266" s="127"/>
      <c r="J266" s="127"/>
      <c r="K266" s="127"/>
      <c r="L266" s="127"/>
    </row>
    <row r="267" spans="1:15" x14ac:dyDescent="0.6">
      <c r="A267" s="7"/>
      <c r="B267" s="63" t="s">
        <v>73</v>
      </c>
      <c r="C267" s="127"/>
      <c r="D267" s="127"/>
      <c r="E267" s="127">
        <f>+E221*E247/1000000</f>
        <v>2531.9611284747148</v>
      </c>
      <c r="F267" s="127"/>
      <c r="G267" s="127"/>
      <c r="H267" s="127">
        <f>+H221*H247/1000000</f>
        <v>2214.0484661082232</v>
      </c>
      <c r="I267" s="127"/>
      <c r="J267" s="127"/>
      <c r="K267" s="3"/>
      <c r="L267" s="3"/>
      <c r="N267" s="3"/>
      <c r="O267" s="3"/>
    </row>
    <row r="268" spans="1:15" x14ac:dyDescent="0.6">
      <c r="A268" s="7"/>
      <c r="B268" s="73" t="s">
        <v>142</v>
      </c>
      <c r="C268" s="127"/>
      <c r="D268" s="127"/>
      <c r="E268" s="127"/>
      <c r="F268" s="127">
        <f>+F222*F248/1000000</f>
        <v>200758.49447061837</v>
      </c>
      <c r="G268" s="127"/>
      <c r="H268" s="122"/>
      <c r="I268" s="127"/>
      <c r="J268" s="127"/>
      <c r="K268" s="127"/>
      <c r="L268" s="127"/>
      <c r="M268" s="3"/>
    </row>
    <row r="269" spans="1:15" x14ac:dyDescent="0.6">
      <c r="A269" s="7"/>
      <c r="B269" s="73" t="s">
        <v>144</v>
      </c>
      <c r="C269" s="127"/>
      <c r="D269" s="127"/>
      <c r="E269" s="127"/>
      <c r="F269" s="127">
        <f>+F223*F249/1000000</f>
        <v>234231.49799588375</v>
      </c>
      <c r="G269" s="127"/>
      <c r="H269" s="122"/>
      <c r="I269" s="127"/>
      <c r="J269" s="127"/>
      <c r="K269" s="127"/>
      <c r="L269" s="127"/>
    </row>
    <row r="270" spans="1:15" x14ac:dyDescent="0.6">
      <c r="A270" s="7"/>
      <c r="C270" s="127"/>
      <c r="D270" s="127"/>
      <c r="E270" s="127"/>
      <c r="F270" s="127"/>
      <c r="G270" s="127"/>
      <c r="H270" s="122"/>
      <c r="I270" s="127"/>
      <c r="J270" s="127"/>
      <c r="K270" s="127"/>
      <c r="L270" s="127"/>
    </row>
    <row r="271" spans="1:15" x14ac:dyDescent="0.6">
      <c r="A271" s="7"/>
      <c r="B271" s="23" t="s">
        <v>18</v>
      </c>
      <c r="C271" s="127"/>
      <c r="D271" s="127"/>
      <c r="E271" s="127">
        <f>+E225*E251/1000000</f>
        <v>513.12791534285486</v>
      </c>
      <c r="F271" s="127">
        <f>+F225*F251/1000000</f>
        <v>601040.1345594757</v>
      </c>
      <c r="G271" s="127">
        <f>+G225*G251/1000000</f>
        <v>400518.70125998143</v>
      </c>
      <c r="I271" s="127">
        <f>+I225*I251/1000000</f>
        <v>7731.3890356143274</v>
      </c>
      <c r="J271" s="127"/>
      <c r="K271" s="127"/>
      <c r="L271" s="127"/>
    </row>
    <row r="272" spans="1:15" x14ac:dyDescent="0.6">
      <c r="A272" s="7"/>
      <c r="B272" s="63" t="s">
        <v>72</v>
      </c>
      <c r="C272" s="127"/>
      <c r="D272" s="127"/>
      <c r="E272" s="127">
        <f>+E226*E252/1000000</f>
        <v>6536.7431037410306</v>
      </c>
      <c r="F272" s="3"/>
      <c r="G272" s="3"/>
      <c r="H272" s="127">
        <f>+H226*H252/1000000</f>
        <v>5718.4051958353148</v>
      </c>
      <c r="I272" s="3"/>
      <c r="J272" s="127"/>
      <c r="K272" s="127"/>
      <c r="L272" s="127"/>
    </row>
    <row r="273" spans="1:12" x14ac:dyDescent="0.6">
      <c r="A273" s="7"/>
      <c r="B273" s="63" t="s">
        <v>73</v>
      </c>
      <c r="C273" s="3"/>
      <c r="D273" s="3"/>
      <c r="E273" s="127">
        <f>+E227*E253/1000000</f>
        <v>5686.7162213339861</v>
      </c>
      <c r="H273" s="127">
        <f>+H227*H253/1000000</f>
        <v>4183.0132759449789</v>
      </c>
      <c r="J273" s="127"/>
      <c r="K273" s="127"/>
      <c r="L273" s="127"/>
    </row>
    <row r="274" spans="1:12" x14ac:dyDescent="0.6">
      <c r="A274" s="7"/>
      <c r="B274" s="5"/>
    </row>
    <row r="275" spans="1:12" x14ac:dyDescent="0.6">
      <c r="A275" s="7"/>
      <c r="B275" t="s">
        <v>135</v>
      </c>
    </row>
    <row r="276" spans="1:12" x14ac:dyDescent="0.6">
      <c r="A276" s="7"/>
      <c r="B276" s="5" t="s">
        <v>25</v>
      </c>
      <c r="E276" s="3">
        <f>SUM(E265:E269)</f>
        <v>6661.5862228238184</v>
      </c>
      <c r="F276" s="3">
        <f>SUM(F265:F269)</f>
        <v>434989.99246650212</v>
      </c>
      <c r="G276" s="3">
        <f>SUM(G265:G269)</f>
        <v>230931.24489634263</v>
      </c>
      <c r="H276" s="3">
        <f>SUM(H265:H269)</f>
        <v>5731.9430672482285</v>
      </c>
      <c r="I276" s="3">
        <f>SUM(I265:I269)</f>
        <v>3786.7945048228939</v>
      </c>
      <c r="J276" s="129">
        <f>SUM(E276:I276)</f>
        <v>682101.56115773972</v>
      </c>
    </row>
    <row r="277" spans="1:12" x14ac:dyDescent="0.6">
      <c r="A277" s="7"/>
      <c r="B277" s="5" t="s">
        <v>26</v>
      </c>
      <c r="E277" s="3">
        <f>SUM(E271:E273)</f>
        <v>12736.587240417872</v>
      </c>
      <c r="F277" s="3">
        <f>SUM(F271:F273)</f>
        <v>601040.1345594757</v>
      </c>
      <c r="G277" s="3">
        <f>SUM(G271:G273)</f>
        <v>400518.70125998143</v>
      </c>
      <c r="H277" s="3">
        <f>SUM(H271:H273)</f>
        <v>9901.4184717802927</v>
      </c>
      <c r="I277" s="3">
        <f>SUM(I271:I273)</f>
        <v>7731.3890356143274</v>
      </c>
      <c r="J277" s="129">
        <f>SUM(E277:I277)</f>
        <v>1031928.2305672695</v>
      </c>
    </row>
    <row r="278" spans="1:12" x14ac:dyDescent="0.6">
      <c r="A278" s="7"/>
      <c r="B278" s="5" t="s">
        <v>13</v>
      </c>
      <c r="E278" s="3">
        <f>SUM(E276:E277)</f>
        <v>19398.173463241692</v>
      </c>
      <c r="F278" s="3">
        <f>SUM(F276:F277)</f>
        <v>1036030.1270259778</v>
      </c>
      <c r="G278" s="3">
        <f>SUM(G276:G277)</f>
        <v>631449.94615632412</v>
      </c>
      <c r="H278" s="3">
        <f>SUM(H276:H277)</f>
        <v>15633.361539028521</v>
      </c>
      <c r="I278" s="3">
        <f>SUM(I276:I277)</f>
        <v>11518.183540437221</v>
      </c>
      <c r="J278" s="3">
        <f>SUM(E278:I278)</f>
        <v>1714029.7917250094</v>
      </c>
    </row>
    <row r="279" spans="1:12" x14ac:dyDescent="0.6">
      <c r="A279" s="7"/>
    </row>
    <row r="280" spans="1:12" x14ac:dyDescent="0.6">
      <c r="A280" s="7"/>
      <c r="B280" t="s">
        <v>136</v>
      </c>
    </row>
    <row r="281" spans="1:12" x14ac:dyDescent="0.6">
      <c r="A281" s="7"/>
      <c r="B281" s="5" t="s">
        <v>25</v>
      </c>
      <c r="E281" s="128">
        <f t="shared" ref="E281:J281" si="12">+E276/E278</f>
        <v>0.34341306594907511</v>
      </c>
      <c r="F281" s="128">
        <f t="shared" si="12"/>
        <v>0.41986230044794348</v>
      </c>
      <c r="G281" s="128">
        <f t="shared" si="12"/>
        <v>0.36571583591389273</v>
      </c>
      <c r="H281" s="128">
        <f t="shared" si="12"/>
        <v>0.36664814876432644</v>
      </c>
      <c r="I281" s="128">
        <f t="shared" si="12"/>
        <v>0.32876664028911196</v>
      </c>
      <c r="J281" s="128">
        <f t="shared" si="12"/>
        <v>0.39795198686206545</v>
      </c>
    </row>
    <row r="282" spans="1:12" x14ac:dyDescent="0.6">
      <c r="A282" s="7"/>
      <c r="B282" s="5" t="s">
        <v>26</v>
      </c>
      <c r="E282" s="128">
        <f t="shared" ref="E282:J282" si="13">+E277/E278</f>
        <v>0.65658693405092472</v>
      </c>
      <c r="F282" s="128">
        <f t="shared" si="13"/>
        <v>0.58013769955205652</v>
      </c>
      <c r="G282" s="128">
        <f t="shared" si="13"/>
        <v>0.63428416408610722</v>
      </c>
      <c r="H282" s="128">
        <f t="shared" si="13"/>
        <v>0.63335185123567361</v>
      </c>
      <c r="I282" s="128">
        <f t="shared" si="13"/>
        <v>0.67123335971088804</v>
      </c>
      <c r="J282" s="128">
        <f t="shared" si="13"/>
        <v>0.60204801313793443</v>
      </c>
    </row>
    <row r="283" spans="1:12" x14ac:dyDescent="0.6">
      <c r="A283" s="7"/>
      <c r="B283" s="5"/>
      <c r="E283" s="128"/>
      <c r="F283" s="128"/>
      <c r="G283" s="128"/>
      <c r="H283" s="128"/>
      <c r="I283" s="128"/>
      <c r="J283" s="128"/>
    </row>
    <row r="284" spans="1:12" x14ac:dyDescent="0.6">
      <c r="A284" s="7"/>
      <c r="B284" s="5"/>
      <c r="E284" s="128"/>
      <c r="F284" s="128"/>
      <c r="G284" s="128"/>
      <c r="H284" s="128"/>
      <c r="I284" s="128"/>
      <c r="J284" s="128"/>
    </row>
    <row r="285" spans="1:12" ht="15.5" x14ac:dyDescent="0.7">
      <c r="A285" s="7"/>
      <c r="B285" s="570" t="str">
        <f>$B$1</f>
        <v xml:space="preserve">Jersey Central Power &amp; Light </v>
      </c>
      <c r="C285" s="570"/>
      <c r="D285" s="570"/>
      <c r="E285" s="570"/>
      <c r="F285" s="570"/>
      <c r="G285" s="570"/>
      <c r="H285" s="570"/>
      <c r="I285" s="570"/>
      <c r="J285" s="570"/>
      <c r="K285" s="570"/>
      <c r="L285" s="570"/>
    </row>
    <row r="286" spans="1:12" ht="15.5" x14ac:dyDescent="0.7">
      <c r="A286" s="7"/>
      <c r="B286" s="570" t="str">
        <f>$B$2</f>
        <v>Attachment 2</v>
      </c>
      <c r="C286" s="570"/>
      <c r="D286" s="570"/>
      <c r="E286" s="570"/>
      <c r="F286" s="570"/>
      <c r="G286" s="570"/>
      <c r="H286" s="570"/>
      <c r="I286" s="570"/>
      <c r="J286" s="570"/>
      <c r="K286" s="570"/>
      <c r="L286" s="570"/>
    </row>
    <row r="287" spans="1:12" x14ac:dyDescent="0.6">
      <c r="A287" s="7"/>
      <c r="B287" s="5"/>
      <c r="E287" s="128"/>
      <c r="F287" s="128"/>
      <c r="G287" s="128"/>
      <c r="H287" s="128"/>
      <c r="I287" s="128"/>
      <c r="J287" s="128"/>
    </row>
    <row r="288" spans="1:12" x14ac:dyDescent="0.6">
      <c r="A288" s="6" t="s">
        <v>138</v>
      </c>
      <c r="B288" s="1" t="s">
        <v>245</v>
      </c>
      <c r="G288" s="3"/>
    </row>
    <row r="289" spans="1:10" x14ac:dyDescent="0.6">
      <c r="A289" s="7"/>
      <c r="C289" s="60"/>
      <c r="D289" s="60"/>
    </row>
    <row r="290" spans="1:10" x14ac:dyDescent="0.6">
      <c r="A290" s="7"/>
      <c r="B290" s="1" t="s">
        <v>231</v>
      </c>
      <c r="C290" s="60"/>
      <c r="D290" s="60"/>
    </row>
    <row r="291" spans="1:10" x14ac:dyDescent="0.6">
      <c r="A291" s="7"/>
      <c r="B291" s="73" t="s">
        <v>103</v>
      </c>
      <c r="C291" s="122">
        <f>J278</f>
        <v>1714029.7917250094</v>
      </c>
    </row>
    <row r="292" spans="1:10" x14ac:dyDescent="0.6">
      <c r="A292" s="7"/>
      <c r="B292" s="1"/>
      <c r="C292" s="122"/>
    </row>
    <row r="293" spans="1:10" x14ac:dyDescent="0.6">
      <c r="A293" s="7"/>
      <c r="B293" s="1" t="s">
        <v>229</v>
      </c>
      <c r="C293" s="122"/>
      <c r="E293" s="2" t="str">
        <f>+E$13</f>
        <v>RT{1}</v>
      </c>
      <c r="F293" s="2" t="str">
        <f>+F$13</f>
        <v>RS{2}</v>
      </c>
      <c r="G293" s="2" t="str">
        <f>+G$13</f>
        <v>GS{3}</v>
      </c>
      <c r="H293" s="133" t="str">
        <f>+H$58</f>
        <v>GST {4}</v>
      </c>
      <c r="I293" s="2" t="str">
        <f>+I$13</f>
        <v>OL/SL</v>
      </c>
      <c r="J293" s="2" t="s">
        <v>13</v>
      </c>
    </row>
    <row r="294" spans="1:10" x14ac:dyDescent="0.6">
      <c r="A294" s="7"/>
      <c r="B294" s="18" t="s">
        <v>25</v>
      </c>
      <c r="C294" s="122"/>
      <c r="E294" s="138">
        <f>ROUND(SUM(E65:E68)*E95,0)</f>
        <v>70806</v>
      </c>
      <c r="F294" s="138">
        <f>ROUND(SUM(F65:F68)*F95,0)</f>
        <v>4577160</v>
      </c>
      <c r="G294" s="138">
        <f>ROUND(SUM(G65:G68)*G95,0)</f>
        <v>2433716</v>
      </c>
      <c r="H294" s="138">
        <f>ROUND(SUM(H65:H68)*H95,0)</f>
        <v>62023</v>
      </c>
      <c r="I294" s="138">
        <f>ROUND(SUM(I65:I68)*I95,0)</f>
        <v>50684</v>
      </c>
      <c r="J294" s="138">
        <f>SUM(E294:I294)</f>
        <v>7194389</v>
      </c>
    </row>
    <row r="295" spans="1:10" x14ac:dyDescent="0.6">
      <c r="A295" s="7"/>
      <c r="B295" s="12" t="s">
        <v>26</v>
      </c>
      <c r="C295" s="122"/>
      <c r="E295" s="138">
        <f>ROUND((E72-SUM(E65:E68))*E95,0)</f>
        <v>136864</v>
      </c>
      <c r="F295" s="138">
        <f>ROUND((F72-SUM(F65:F68))*F95,0)</f>
        <v>6225320</v>
      </c>
      <c r="G295" s="138">
        <f>ROUND((G72-SUM(G65:G68))*G95,0)</f>
        <v>4313182</v>
      </c>
      <c r="H295" s="138">
        <f>ROUND((H72-SUM(H65:H68))*H95,0)</f>
        <v>107472</v>
      </c>
      <c r="I295" s="138">
        <f>ROUND((I72-SUM(I65:I68))*I95,0)</f>
        <v>101350</v>
      </c>
      <c r="J295" s="138">
        <f>SUM(E295:I295)</f>
        <v>10884188</v>
      </c>
    </row>
    <row r="296" spans="1:10" x14ac:dyDescent="0.6">
      <c r="A296" s="7"/>
      <c r="C296" s="73"/>
      <c r="D296" s="123"/>
      <c r="J296" s="4"/>
    </row>
    <row r="297" spans="1:10" x14ac:dyDescent="0.6">
      <c r="A297" s="7"/>
      <c r="B297" s="1" t="s">
        <v>232</v>
      </c>
      <c r="C297" s="73"/>
      <c r="D297" s="137" t="s">
        <v>220</v>
      </c>
      <c r="E297" s="10" t="s">
        <v>226</v>
      </c>
    </row>
    <row r="298" spans="1:10" x14ac:dyDescent="0.6">
      <c r="A298" s="7"/>
      <c r="B298" s="239" t="s">
        <v>440</v>
      </c>
      <c r="D298" s="8" t="s">
        <v>223</v>
      </c>
      <c r="E298" s="531">
        <v>94.81</v>
      </c>
      <c r="F298" s="8" t="s">
        <v>228</v>
      </c>
      <c r="G298" s="8" t="s">
        <v>230</v>
      </c>
    </row>
    <row r="299" spans="1:10" x14ac:dyDescent="0.6">
      <c r="A299" s="7"/>
      <c r="B299" t="s">
        <v>225</v>
      </c>
      <c r="C299" s="73"/>
      <c r="D299" s="143">
        <v>1</v>
      </c>
      <c r="E299" s="258">
        <f>ROUND($E$298*D299,3)</f>
        <v>94.81</v>
      </c>
      <c r="F299" s="4">
        <f>J294</f>
        <v>7194389</v>
      </c>
      <c r="G299" s="122">
        <f>ROUND(F299*E299/1000,0)</f>
        <v>682100</v>
      </c>
    </row>
    <row r="300" spans="1:10" ht="15.25" x14ac:dyDescent="1.05">
      <c r="A300" s="7"/>
      <c r="B300" t="s">
        <v>227</v>
      </c>
      <c r="C300" s="73"/>
      <c r="D300" s="143">
        <v>1</v>
      </c>
      <c r="E300" s="258">
        <f>ROUND($E$298*D300,3)</f>
        <v>94.81</v>
      </c>
      <c r="F300" s="4">
        <f>J295</f>
        <v>10884188</v>
      </c>
      <c r="G300" s="69">
        <f>ROUND(F300*E300/1000,0)</f>
        <v>1031930</v>
      </c>
    </row>
    <row r="301" spans="1:10" x14ac:dyDescent="0.6">
      <c r="A301" s="7"/>
      <c r="B301" t="s">
        <v>233</v>
      </c>
      <c r="C301" s="73"/>
      <c r="D301" s="123"/>
      <c r="G301" s="3">
        <f>SUM(G299:G300)</f>
        <v>1714030</v>
      </c>
    </row>
    <row r="302" spans="1:10" x14ac:dyDescent="0.6">
      <c r="A302" s="7"/>
      <c r="C302" s="73"/>
      <c r="D302" s="123"/>
    </row>
    <row r="303" spans="1:10" x14ac:dyDescent="0.6">
      <c r="A303" s="6" t="s">
        <v>240</v>
      </c>
      <c r="B303" s="1" t="s">
        <v>234</v>
      </c>
      <c r="C303" s="73"/>
      <c r="D303" s="123"/>
      <c r="F303" s="5" t="s">
        <v>220</v>
      </c>
      <c r="G303" s="5" t="s">
        <v>222</v>
      </c>
      <c r="H303" s="5"/>
    </row>
    <row r="304" spans="1:10" x14ac:dyDescent="0.6">
      <c r="A304" s="7"/>
      <c r="F304" s="5" t="s">
        <v>236</v>
      </c>
      <c r="G304" s="5" t="s">
        <v>223</v>
      </c>
      <c r="H304" s="5" t="s">
        <v>222</v>
      </c>
    </row>
    <row r="305" spans="1:15" x14ac:dyDescent="0.6">
      <c r="A305" s="7"/>
      <c r="B305" t="s">
        <v>235</v>
      </c>
      <c r="F305" s="8" t="s">
        <v>230</v>
      </c>
      <c r="G305" s="8" t="s">
        <v>224</v>
      </c>
      <c r="H305" s="8" t="s">
        <v>223</v>
      </c>
      <c r="I305" s="10"/>
    </row>
    <row r="306" spans="1:15" x14ac:dyDescent="0.6">
      <c r="A306" s="7"/>
      <c r="B306" s="5" t="s">
        <v>25</v>
      </c>
      <c r="C306" s="130">
        <f>J276*1000/J294</f>
        <v>94.810214065119325</v>
      </c>
      <c r="D306" t="s">
        <v>137</v>
      </c>
      <c r="F306" s="235">
        <f>E299</f>
        <v>94.81</v>
      </c>
      <c r="G306" s="136">
        <f>E299/C306</f>
        <v>0.99999774217238691</v>
      </c>
      <c r="H306" s="533">
        <v>1.59518</v>
      </c>
      <c r="M306" s="149"/>
    </row>
    <row r="307" spans="1:15" x14ac:dyDescent="0.6">
      <c r="A307" s="7"/>
      <c r="B307" s="5" t="s">
        <v>26</v>
      </c>
      <c r="C307" s="130">
        <f>J277*1000/J295</f>
        <v>94.809849900357236</v>
      </c>
      <c r="D307" t="s">
        <v>137</v>
      </c>
      <c r="F307" s="235">
        <f>E300</f>
        <v>94.81</v>
      </c>
      <c r="G307" s="136">
        <f>E300/C307</f>
        <v>1.0000015831650713</v>
      </c>
      <c r="H307" s="533">
        <v>1.437605</v>
      </c>
      <c r="M307" s="149"/>
    </row>
    <row r="308" spans="1:15" x14ac:dyDescent="0.6">
      <c r="A308" s="7"/>
      <c r="B308" s="5"/>
      <c r="C308" s="130"/>
      <c r="H308" s="2"/>
      <c r="I308" s="87"/>
      <c r="M308" s="1"/>
      <c r="N308" s="87"/>
      <c r="O308" s="87"/>
    </row>
    <row r="309" spans="1:15" x14ac:dyDescent="0.6">
      <c r="A309" s="1" t="s">
        <v>108</v>
      </c>
      <c r="E309" s="81"/>
      <c r="F309" s="84"/>
    </row>
    <row r="310" spans="1:15" x14ac:dyDescent="0.6">
      <c r="A310" s="7"/>
      <c r="B310" s="73" t="s">
        <v>132</v>
      </c>
      <c r="C310" s="85">
        <f>E179</f>
        <v>73.260000000000005</v>
      </c>
      <c r="D310" s="77" t="s">
        <v>160</v>
      </c>
      <c r="E310" s="81"/>
      <c r="F310" s="84"/>
    </row>
    <row r="311" spans="1:15" x14ac:dyDescent="0.6">
      <c r="A311" s="7"/>
      <c r="B311" s="73"/>
      <c r="C311" s="85">
        <f>E180</f>
        <v>73.260000000000005</v>
      </c>
      <c r="D311" s="77" t="s">
        <v>161</v>
      </c>
      <c r="E311" s="81"/>
      <c r="F311" s="84"/>
    </row>
    <row r="312" spans="1:15" x14ac:dyDescent="0.6">
      <c r="A312" s="7"/>
      <c r="B312" s="73" t="s">
        <v>159</v>
      </c>
      <c r="C312" s="440" t="s">
        <v>357</v>
      </c>
      <c r="D312" s="77"/>
      <c r="E312" s="81"/>
      <c r="F312" s="84"/>
    </row>
    <row r="313" spans="1:15" x14ac:dyDescent="0.6">
      <c r="A313" s="7"/>
      <c r="B313" s="73" t="s">
        <v>109</v>
      </c>
      <c r="C313" s="126">
        <f>+H173</f>
        <v>4</v>
      </c>
      <c r="D313" t="s">
        <v>110</v>
      </c>
      <c r="E313" s="81"/>
      <c r="F313" s="84"/>
    </row>
    <row r="314" spans="1:15" x14ac:dyDescent="0.6">
      <c r="A314" s="7"/>
      <c r="B314" s="73"/>
      <c r="C314" s="126">
        <f>+H174</f>
        <v>8</v>
      </c>
      <c r="D314" t="s">
        <v>111</v>
      </c>
      <c r="E314" s="81"/>
      <c r="F314" s="84"/>
    </row>
    <row r="315" spans="1:15" x14ac:dyDescent="0.6">
      <c r="A315" s="7"/>
      <c r="B315" s="73" t="s">
        <v>112</v>
      </c>
      <c r="C315" s="85">
        <f>+E193</f>
        <v>27.199000000000002</v>
      </c>
      <c r="D315" t="s">
        <v>113</v>
      </c>
      <c r="E315" s="81"/>
      <c r="F315" s="84"/>
    </row>
    <row r="316" spans="1:15" x14ac:dyDescent="0.6">
      <c r="A316" s="7"/>
      <c r="B316" s="73" t="s">
        <v>114</v>
      </c>
      <c r="C316" s="18" t="s">
        <v>246</v>
      </c>
      <c r="E316" s="81"/>
      <c r="F316" s="84"/>
    </row>
    <row r="317" spans="1:15" x14ac:dyDescent="0.6">
      <c r="A317" s="7"/>
      <c r="B317" s="73"/>
      <c r="C317" s="273" t="s">
        <v>441</v>
      </c>
      <c r="E317" s="81"/>
      <c r="F317" s="84"/>
    </row>
    <row r="318" spans="1:15" x14ac:dyDescent="0.6">
      <c r="A318" s="7"/>
      <c r="B318" s="73" t="s">
        <v>115</v>
      </c>
      <c r="C318" s="12" t="str">
        <f>'BGS PTY23 Cost Alloc'!C$307</f>
        <v xml:space="preserve"> forecasted 2024 energy use by class based upon PJM on/off % from 2021 through 2023 class load profiles</v>
      </c>
      <c r="E318" s="81"/>
      <c r="F318" s="84"/>
    </row>
    <row r="319" spans="1:15" x14ac:dyDescent="0.6">
      <c r="A319" s="7"/>
      <c r="B319" s="73"/>
      <c r="C319" s="12" t="str">
        <f>'BGS PTY23 Cost Alloc'!C$308</f>
        <v xml:space="preserve">   JCP&amp;L billing on/off % from 2024 forecasted billing determinants</v>
      </c>
      <c r="E319" s="81"/>
      <c r="F319" s="84"/>
    </row>
    <row r="320" spans="1:15" x14ac:dyDescent="0.6">
      <c r="A320" s="7"/>
      <c r="B320" s="73" t="s">
        <v>116</v>
      </c>
      <c r="C320" s="12" t="str">
        <f>'BGS PTY23 Cost Alloc'!C$309</f>
        <v xml:space="preserve"> class totals for 2024 excluding accounts required to take service under BGS-CIEP as of June 1, 2025</v>
      </c>
      <c r="E320" s="81"/>
      <c r="F320" s="84"/>
    </row>
    <row r="321" spans="1:12" x14ac:dyDescent="0.6">
      <c r="A321" s="7"/>
      <c r="B321" s="73" t="s">
        <v>117</v>
      </c>
      <c r="C321" t="s">
        <v>166</v>
      </c>
      <c r="E321" s="81"/>
      <c r="F321" s="84"/>
    </row>
    <row r="322" spans="1:12" x14ac:dyDescent="0.6">
      <c r="A322" s="7"/>
      <c r="B322" s="73" t="s">
        <v>118</v>
      </c>
      <c r="C322" t="s">
        <v>214</v>
      </c>
      <c r="E322" s="83"/>
      <c r="F322" s="84"/>
    </row>
    <row r="323" spans="1:12" x14ac:dyDescent="0.6">
      <c r="C323" t="s">
        <v>119</v>
      </c>
      <c r="E323" s="81"/>
      <c r="F323" s="84"/>
    </row>
    <row r="324" spans="1:12" x14ac:dyDescent="0.6">
      <c r="B324" s="73" t="s">
        <v>120</v>
      </c>
      <c r="C324" s="86" t="s">
        <v>189</v>
      </c>
      <c r="E324" s="81"/>
      <c r="F324" s="84"/>
    </row>
    <row r="325" spans="1:12" x14ac:dyDescent="0.6">
      <c r="A325" s="7"/>
      <c r="C325" s="86" t="s">
        <v>121</v>
      </c>
      <c r="E325" s="82"/>
    </row>
    <row r="326" spans="1:12" x14ac:dyDescent="0.6">
      <c r="C326" s="86" t="s">
        <v>188</v>
      </c>
    </row>
    <row r="327" spans="1:12" x14ac:dyDescent="0.6">
      <c r="A327" s="7"/>
      <c r="B327" s="306" t="s">
        <v>318</v>
      </c>
      <c r="C327" s="362" t="s">
        <v>319</v>
      </c>
      <c r="E327" s="115"/>
      <c r="F327" s="4"/>
    </row>
    <row r="328" spans="1:12" x14ac:dyDescent="0.6">
      <c r="A328" s="7"/>
      <c r="B328" t="str">
        <f>'BGS PTY23 Cost Alloc'!B318</f>
        <v xml:space="preserve"> </v>
      </c>
      <c r="C328" s="9"/>
      <c r="E328" s="115"/>
      <c r="F328" s="115"/>
    </row>
    <row r="333" spans="1:12" x14ac:dyDescent="0.6">
      <c r="L333" s="122"/>
    </row>
    <row r="342" spans="12:12" x14ac:dyDescent="0.6">
      <c r="L342" s="122"/>
    </row>
    <row r="343" spans="12:12" x14ac:dyDescent="0.6">
      <c r="L343" s="122"/>
    </row>
    <row r="344" spans="12:12" x14ac:dyDescent="0.6">
      <c r="L344" s="122"/>
    </row>
    <row r="345" spans="12:12" x14ac:dyDescent="0.6">
      <c r="L345" s="117"/>
    </row>
    <row r="346" spans="12:12" x14ac:dyDescent="0.6">
      <c r="L346" s="117"/>
    </row>
    <row r="347" spans="12:12" x14ac:dyDescent="0.6">
      <c r="L347" s="117"/>
    </row>
  </sheetData>
  <mergeCells count="16">
    <mergeCell ref="B103:L103"/>
    <mergeCell ref="B104:L104"/>
    <mergeCell ref="B143:L143"/>
    <mergeCell ref="B1:L1"/>
    <mergeCell ref="B2:L2"/>
    <mergeCell ref="B52:L52"/>
    <mergeCell ref="B53:L53"/>
    <mergeCell ref="B5:L5"/>
    <mergeCell ref="B3:L3"/>
    <mergeCell ref="B144:L144"/>
    <mergeCell ref="B285:L285"/>
    <mergeCell ref="B286:L286"/>
    <mergeCell ref="B238:L238"/>
    <mergeCell ref="B239:L239"/>
    <mergeCell ref="B208:L208"/>
    <mergeCell ref="B209:L209"/>
  </mergeCells>
  <phoneticPr fontId="34" type="noConversion"/>
  <pageMargins left="0.97" right="0.79" top="0.69" bottom="0.69" header="0.33" footer="0.5"/>
  <pageSetup scale="6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7" max="9" man="1"/>
    <brk id="237" max="9" man="1"/>
    <brk id="284" max="9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4FD05-6B4B-4DA5-814D-B49995B3204C}">
  <sheetPr codeName="Sheet13"/>
  <dimension ref="A1:G17"/>
  <sheetViews>
    <sheetView view="pageBreakPreview" zoomScaleNormal="100" zoomScaleSheetLayoutView="100" workbookViewId="0"/>
  </sheetViews>
  <sheetFormatPr defaultRowHeight="13" x14ac:dyDescent="0.6"/>
  <cols>
    <col min="1" max="1" width="4.7265625" customWidth="1"/>
    <col min="2" max="2" width="39.54296875" customWidth="1"/>
    <col min="3" max="3" width="21.26953125" customWidth="1"/>
    <col min="5" max="5" width="12.90625" customWidth="1"/>
    <col min="6" max="6" width="17.81640625" customWidth="1"/>
    <col min="7" max="7" width="53.54296875" customWidth="1"/>
  </cols>
  <sheetData>
    <row r="1" spans="1:7" ht="15.5" x14ac:dyDescent="0.7">
      <c r="B1" s="570" t="s">
        <v>69</v>
      </c>
      <c r="C1" s="570"/>
      <c r="D1" s="570"/>
      <c r="E1" s="570"/>
      <c r="F1" s="570"/>
    </row>
    <row r="2" spans="1:7" ht="15.5" x14ac:dyDescent="0.7">
      <c r="B2" s="570" t="s">
        <v>473</v>
      </c>
      <c r="C2" s="570"/>
      <c r="D2" s="570"/>
      <c r="E2" s="570"/>
      <c r="F2" s="570"/>
    </row>
    <row r="3" spans="1:7" ht="39.5" customHeight="1" x14ac:dyDescent="0.7">
      <c r="B3" s="576" t="s">
        <v>481</v>
      </c>
      <c r="C3" s="570"/>
      <c r="D3" s="570"/>
      <c r="E3" s="570"/>
      <c r="F3" s="570"/>
      <c r="G3" s="142"/>
    </row>
    <row r="4" spans="1:7" ht="15.5" x14ac:dyDescent="0.7">
      <c r="B4" s="12"/>
      <c r="C4" s="142"/>
      <c r="D4" s="142"/>
      <c r="E4" s="142"/>
      <c r="F4" s="142"/>
      <c r="G4" s="142"/>
    </row>
    <row r="5" spans="1:7" ht="15.5" x14ac:dyDescent="0.7">
      <c r="B5" s="12"/>
      <c r="C5" s="142"/>
      <c r="D5" s="142"/>
      <c r="E5" s="142"/>
      <c r="F5" s="142"/>
      <c r="G5" s="142"/>
    </row>
    <row r="6" spans="1:7" ht="18" x14ac:dyDescent="0.8">
      <c r="B6" s="510" t="s">
        <v>377</v>
      </c>
      <c r="C6" s="510"/>
      <c r="D6" s="510"/>
      <c r="E6" s="510"/>
      <c r="F6" s="510"/>
      <c r="G6" s="510"/>
    </row>
    <row r="9" spans="1:7" ht="65" x14ac:dyDescent="0.6">
      <c r="C9" s="394" t="s">
        <v>475</v>
      </c>
    </row>
    <row r="10" spans="1:7" x14ac:dyDescent="0.6">
      <c r="C10" s="511"/>
    </row>
    <row r="11" spans="1:7" ht="26" x14ac:dyDescent="0.6">
      <c r="A11">
        <v>1</v>
      </c>
      <c r="B11" s="400" t="s">
        <v>366</v>
      </c>
      <c r="C11" s="512">
        <v>50</v>
      </c>
    </row>
    <row r="12" spans="1:7" ht="18" customHeight="1" x14ac:dyDescent="0.6">
      <c r="A12">
        <v>2</v>
      </c>
      <c r="B12" s="424" t="s">
        <v>334</v>
      </c>
      <c r="C12" s="513">
        <v>53.76</v>
      </c>
    </row>
    <row r="13" spans="1:7" x14ac:dyDescent="0.6">
      <c r="A13">
        <v>3</v>
      </c>
      <c r="B13" s="423" t="s">
        <v>335</v>
      </c>
      <c r="C13" s="512">
        <f>C11-C12</f>
        <v>-3.759999999999998</v>
      </c>
      <c r="D13" s="273" t="s">
        <v>478</v>
      </c>
    </row>
    <row r="14" spans="1:7" x14ac:dyDescent="0.6">
      <c r="B14" s="423"/>
      <c r="C14" s="512"/>
    </row>
    <row r="15" spans="1:7" s="549" customFormat="1" ht="29" customHeight="1" x14ac:dyDescent="0.6">
      <c r="A15" s="549">
        <v>4</v>
      </c>
      <c r="B15" s="423" t="s">
        <v>482</v>
      </c>
      <c r="C15" s="569">
        <v>357.14</v>
      </c>
      <c r="D15" s="585" t="s">
        <v>493</v>
      </c>
      <c r="E15" s="585"/>
      <c r="F15" s="585"/>
    </row>
    <row r="16" spans="1:7" ht="15.5" customHeight="1" x14ac:dyDescent="0.6">
      <c r="A16">
        <v>5</v>
      </c>
      <c r="B16" s="423" t="s">
        <v>335</v>
      </c>
      <c r="C16" s="513">
        <f>C13</f>
        <v>-3.759999999999998</v>
      </c>
      <c r="D16" s="273" t="s">
        <v>479</v>
      </c>
    </row>
    <row r="17" spans="1:4" ht="15.5" customHeight="1" x14ac:dyDescent="0.6">
      <c r="A17">
        <v>6</v>
      </c>
      <c r="B17" s="397" t="s">
        <v>490</v>
      </c>
      <c r="C17" s="512">
        <f>C13+C15</f>
        <v>353.38</v>
      </c>
      <c r="D17" s="273" t="s">
        <v>480</v>
      </c>
    </row>
  </sheetData>
  <mergeCells count="4">
    <mergeCell ref="B1:F1"/>
    <mergeCell ref="B2:F2"/>
    <mergeCell ref="B3:F3"/>
    <mergeCell ref="D15:F1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Y347"/>
  <sheetViews>
    <sheetView view="pageBreakPreview" zoomScaleNormal="60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7.36328125" customWidth="1"/>
    <col min="4" max="4" width="12.54296875" customWidth="1"/>
    <col min="5" max="5" width="16.54296875" customWidth="1"/>
    <col min="6" max="6" width="16" customWidth="1"/>
    <col min="7" max="7" width="16.54296875" customWidth="1"/>
    <col min="8" max="8" width="15.453125" customWidth="1"/>
    <col min="9" max="9" width="14.08984375" customWidth="1"/>
    <col min="10" max="10" width="19.36328125" customWidth="1"/>
    <col min="11" max="11" width="12.54296875" customWidth="1"/>
    <col min="12" max="12" width="16.54296875" hidden="1" customWidth="1"/>
    <col min="13" max="13" width="17" hidden="1" customWidth="1"/>
    <col min="14" max="14" width="15.08984375" hidden="1" customWidth="1"/>
    <col min="15" max="16" width="12.453125" hidden="1" customWidth="1"/>
    <col min="17" max="17" width="13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0.54296875" hidden="1" customWidth="1"/>
    <col min="26" max="26" width="11.54296875" hidden="1" customWidth="1"/>
    <col min="27" max="27" width="12.54296875" hidden="1" customWidth="1"/>
    <col min="28" max="28" width="13.453125" hidden="1" customWidth="1"/>
    <col min="29" max="29" width="11" hidden="1" customWidth="1"/>
    <col min="30" max="30" width="14.08984375" hidden="1" customWidth="1"/>
    <col min="31" max="31" width="9.90625" hidden="1" customWidth="1"/>
    <col min="32" max="32" width="9.08984375" hidden="1" customWidth="1"/>
    <col min="33" max="33" width="12" hidden="1" customWidth="1"/>
    <col min="34" max="37" width="9.08984375" hidden="1" customWidth="1"/>
    <col min="38" max="38" width="9.453125" hidden="1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570" t="s">
        <v>69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</row>
    <row r="2" spans="1:26" ht="15.5" x14ac:dyDescent="0.7">
      <c r="B2" s="570" t="s">
        <v>187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</row>
    <row r="3" spans="1:26" ht="15.5" x14ac:dyDescent="0.7">
      <c r="B3" s="570" t="str">
        <f>'BGS PTY23 Cost Alloc'!$B$3</f>
        <v>2025 BGS Auction Cost and Bid Factor Tables</v>
      </c>
      <c r="C3" s="570"/>
      <c r="D3" s="570"/>
      <c r="E3" s="570"/>
      <c r="F3" s="570"/>
      <c r="G3" s="570"/>
      <c r="H3" s="570"/>
      <c r="I3" s="570"/>
      <c r="J3" s="570"/>
      <c r="K3" s="570"/>
      <c r="L3" s="570"/>
    </row>
    <row r="4" spans="1:26" ht="15.5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6" ht="15.5" x14ac:dyDescent="0.7">
      <c r="B5" s="571" t="s">
        <v>459</v>
      </c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6" spans="1:26" x14ac:dyDescent="0.6">
      <c r="L6" s="102" t="s">
        <v>251</v>
      </c>
    </row>
    <row r="8" spans="1:26" ht="15.5" x14ac:dyDescent="0.7">
      <c r="B8" s="13" t="s">
        <v>50</v>
      </c>
    </row>
    <row r="9" spans="1:26" x14ac:dyDescent="0.6">
      <c r="A9" s="14"/>
      <c r="B9" s="1" t="s">
        <v>45</v>
      </c>
    </row>
    <row r="10" spans="1:26" x14ac:dyDescent="0.6">
      <c r="E10" s="15" t="str">
        <f>'BGS PTY23 Cost Alloc'!$E$10</f>
        <v>Based on an average of 2021,2022 and 2023 Load Profile Information</v>
      </c>
    </row>
    <row r="11" spans="1:26" x14ac:dyDescent="0.6">
      <c r="A11" s="6" t="s">
        <v>30</v>
      </c>
      <c r="B11" s="16" t="s">
        <v>47</v>
      </c>
      <c r="C11" s="17"/>
      <c r="E11" s="15" t="s">
        <v>27</v>
      </c>
      <c r="N11" s="16"/>
      <c r="P11" s="18"/>
      <c r="Q11" s="16" t="s">
        <v>212</v>
      </c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" x14ac:dyDescent="0.6">
      <c r="A12" s="7"/>
      <c r="C12" s="19"/>
      <c r="D12" s="19"/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56</v>
      </c>
      <c r="K12" s="19"/>
      <c r="L12" s="19"/>
      <c r="M12" s="19"/>
      <c r="N12" s="15"/>
      <c r="O12" s="19"/>
      <c r="P12" s="19"/>
      <c r="Q12" s="19" t="s">
        <v>24</v>
      </c>
      <c r="R12" s="19" t="s">
        <v>24</v>
      </c>
      <c r="S12" s="19" t="s">
        <v>24</v>
      </c>
      <c r="T12" s="19" t="s">
        <v>24</v>
      </c>
      <c r="U12" s="19" t="s">
        <v>56</v>
      </c>
      <c r="W12" s="19"/>
      <c r="X12" s="19"/>
      <c r="Y12" s="19"/>
      <c r="Z12" s="19"/>
    </row>
    <row r="13" spans="1:26" x14ac:dyDescent="0.6">
      <c r="A13" s="7"/>
      <c r="B13" s="20" t="s">
        <v>190</v>
      </c>
      <c r="C13" s="21"/>
      <c r="D13" s="21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1"/>
      <c r="K13" s="21"/>
      <c r="L13" s="21"/>
      <c r="M13" s="21"/>
      <c r="N13" s="22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6">
      <c r="A15" s="7"/>
      <c r="B15" s="23" t="s">
        <v>1</v>
      </c>
      <c r="C15" s="24"/>
      <c r="D15" s="24"/>
      <c r="E15" s="131">
        <f>'BGS PTY23 Cost Alloc'!E15</f>
        <v>0.44990000000000002</v>
      </c>
      <c r="F15" s="131">
        <f>'BGS PTY23 Cost Alloc'!F15</f>
        <v>0.4743</v>
      </c>
      <c r="G15" s="131">
        <f>'BGS PTY23 Cost Alloc'!G15</f>
        <v>0.52459999999999996</v>
      </c>
      <c r="H15" s="131">
        <f>'BGS PTY23 Cost Alloc'!H15</f>
        <v>0.50700000000000001</v>
      </c>
      <c r="I15" s="131">
        <f>'BGS PTY23 Cost Alloc'!I15</f>
        <v>0.31559999999999999</v>
      </c>
      <c r="J15" s="24"/>
      <c r="K15" s="25"/>
      <c r="L15" s="25"/>
      <c r="M15" s="25"/>
      <c r="N15" s="26"/>
      <c r="O15" s="27"/>
      <c r="P15" s="27"/>
      <c r="Q15" s="27">
        <f t="shared" ref="Q15:Q26" si="0">1-E15</f>
        <v>0.55010000000000003</v>
      </c>
      <c r="R15" s="27">
        <f t="shared" ref="R15:R26" si="1">1-F15</f>
        <v>0.52570000000000006</v>
      </c>
      <c r="S15" s="27">
        <f t="shared" ref="S15:S26" si="2">1-G15</f>
        <v>0.47540000000000004</v>
      </c>
      <c r="T15" s="27">
        <f t="shared" ref="T15:T26" si="3">1-H15</f>
        <v>0.49299999999999999</v>
      </c>
      <c r="U15" s="27">
        <f t="shared" ref="U15:U26" si="4">1-I15</f>
        <v>0.68440000000000001</v>
      </c>
      <c r="V15" s="27"/>
      <c r="W15" s="27"/>
      <c r="X15" s="27"/>
      <c r="Y15" s="27"/>
      <c r="Z15" s="27"/>
    </row>
    <row r="16" spans="1:26" x14ac:dyDescent="0.6">
      <c r="A16" s="7"/>
      <c r="B16" s="23" t="s">
        <v>2</v>
      </c>
      <c r="C16" s="24"/>
      <c r="D16" s="24"/>
      <c r="E16" s="131">
        <f>'BGS PTY23 Cost Alloc'!E16</f>
        <v>0.47739999999999999</v>
      </c>
      <c r="F16" s="131">
        <f>'BGS PTY23 Cost Alloc'!F16</f>
        <v>0.50419999999999998</v>
      </c>
      <c r="G16" s="131">
        <f>'BGS PTY23 Cost Alloc'!G16</f>
        <v>0.55489999999999995</v>
      </c>
      <c r="H16" s="131">
        <f>'BGS PTY23 Cost Alloc'!H16</f>
        <v>0.54020000000000001</v>
      </c>
      <c r="I16" s="131">
        <f>'BGS PTY23 Cost Alloc'!I16</f>
        <v>0.30590000000000001</v>
      </c>
      <c r="J16" s="24"/>
      <c r="K16" s="25"/>
      <c r="L16" s="25"/>
      <c r="M16" s="25"/>
      <c r="N16" s="26"/>
      <c r="O16" s="27"/>
      <c r="P16" s="27"/>
      <c r="Q16" s="27">
        <f t="shared" si="0"/>
        <v>0.52259999999999995</v>
      </c>
      <c r="R16" s="27">
        <f t="shared" si="1"/>
        <v>0.49580000000000002</v>
      </c>
      <c r="S16" s="27">
        <f t="shared" si="2"/>
        <v>0.44510000000000005</v>
      </c>
      <c r="T16" s="27">
        <f t="shared" si="3"/>
        <v>0.45979999999999999</v>
      </c>
      <c r="U16" s="27">
        <f t="shared" si="4"/>
        <v>0.69409999999999994</v>
      </c>
      <c r="V16" s="27"/>
      <c r="W16" s="27"/>
      <c r="X16" s="27"/>
      <c r="Y16" s="27"/>
      <c r="Z16" s="27"/>
    </row>
    <row r="17" spans="1:26" x14ac:dyDescent="0.6">
      <c r="A17" s="7"/>
      <c r="B17" s="23" t="s">
        <v>3</v>
      </c>
      <c r="C17" s="24"/>
      <c r="D17" s="24"/>
      <c r="E17" s="131">
        <f>'BGS PTY23 Cost Alloc'!E17</f>
        <v>0.50470000000000004</v>
      </c>
      <c r="F17" s="131">
        <f>'BGS PTY23 Cost Alloc'!F17</f>
        <v>0.5323</v>
      </c>
      <c r="G17" s="131">
        <f>'BGS PTY23 Cost Alloc'!G17</f>
        <v>0.58879999999999999</v>
      </c>
      <c r="H17" s="131">
        <f>'BGS PTY23 Cost Alloc'!H17</f>
        <v>0.55969999999999998</v>
      </c>
      <c r="I17" s="131">
        <f>'BGS PTY23 Cost Alloc'!I17</f>
        <v>0.3175</v>
      </c>
      <c r="J17" s="24"/>
      <c r="K17" s="25"/>
      <c r="L17" s="25"/>
      <c r="M17" s="25"/>
      <c r="N17" s="26"/>
      <c r="O17" s="27"/>
      <c r="P17" s="27"/>
      <c r="Q17" s="27">
        <f t="shared" si="0"/>
        <v>0.49529999999999996</v>
      </c>
      <c r="R17" s="27">
        <f t="shared" si="1"/>
        <v>0.4677</v>
      </c>
      <c r="S17" s="27">
        <f t="shared" si="2"/>
        <v>0.41120000000000001</v>
      </c>
      <c r="T17" s="27">
        <f t="shared" si="3"/>
        <v>0.44030000000000002</v>
      </c>
      <c r="U17" s="27">
        <f t="shared" si="4"/>
        <v>0.6825</v>
      </c>
      <c r="V17" s="27"/>
      <c r="W17" s="27"/>
      <c r="X17" s="27"/>
      <c r="Y17" s="27"/>
      <c r="Z17" s="27"/>
    </row>
    <row r="18" spans="1:26" x14ac:dyDescent="0.6">
      <c r="A18" s="7"/>
      <c r="B18" s="23" t="s">
        <v>4</v>
      </c>
      <c r="C18" s="24"/>
      <c r="D18" s="24"/>
      <c r="E18" s="131">
        <f>'BGS PTY23 Cost Alloc'!E18</f>
        <v>0.48959999999999998</v>
      </c>
      <c r="F18" s="131">
        <f>'BGS PTY23 Cost Alloc'!F18</f>
        <v>0.51</v>
      </c>
      <c r="G18" s="131">
        <f>'BGS PTY23 Cost Alloc'!G18</f>
        <v>0.56459999999999999</v>
      </c>
      <c r="H18" s="131">
        <f>'BGS PTY23 Cost Alloc'!H18</f>
        <v>0.54920000000000002</v>
      </c>
      <c r="I18" s="131">
        <f>'BGS PTY23 Cost Alloc'!I18</f>
        <v>0.30209999999999998</v>
      </c>
      <c r="J18" s="24"/>
      <c r="K18" s="25"/>
      <c r="L18" s="25"/>
      <c r="M18" s="25"/>
      <c r="N18" s="26"/>
      <c r="O18" s="27"/>
      <c r="P18" s="27"/>
      <c r="Q18" s="27">
        <f t="shared" si="0"/>
        <v>0.51039999999999996</v>
      </c>
      <c r="R18" s="27">
        <f t="shared" si="1"/>
        <v>0.49</v>
      </c>
      <c r="S18" s="27">
        <f t="shared" si="2"/>
        <v>0.43540000000000001</v>
      </c>
      <c r="T18" s="27">
        <f t="shared" si="3"/>
        <v>0.45079999999999998</v>
      </c>
      <c r="U18" s="27">
        <f t="shared" si="4"/>
        <v>0.69789999999999996</v>
      </c>
      <c r="V18" s="27"/>
      <c r="W18" s="27"/>
      <c r="X18" s="27"/>
      <c r="Y18" s="27"/>
      <c r="Z18" s="27"/>
    </row>
    <row r="19" spans="1:26" x14ac:dyDescent="0.6">
      <c r="A19" s="7"/>
      <c r="B19" s="23" t="s">
        <v>5</v>
      </c>
      <c r="C19" s="24"/>
      <c r="D19" s="24"/>
      <c r="E19" s="131">
        <f>'BGS PTY23 Cost Alloc'!E19</f>
        <v>0.45219999999999999</v>
      </c>
      <c r="F19" s="131">
        <f>'BGS PTY23 Cost Alloc'!F19</f>
        <v>0.47449999999999998</v>
      </c>
      <c r="G19" s="131">
        <f>'BGS PTY23 Cost Alloc'!G19</f>
        <v>0.54669999999999996</v>
      </c>
      <c r="H19" s="131">
        <f>'BGS PTY23 Cost Alloc'!H19</f>
        <v>0.52849999999999997</v>
      </c>
      <c r="I19" s="131">
        <f>'BGS PTY23 Cost Alloc'!I19</f>
        <v>0.28599999999999998</v>
      </c>
      <c r="J19" s="24"/>
      <c r="K19" s="25"/>
      <c r="L19" s="25"/>
      <c r="M19" s="25"/>
      <c r="N19" s="26"/>
      <c r="O19" s="27"/>
      <c r="P19" s="27"/>
      <c r="Q19" s="27">
        <f t="shared" si="0"/>
        <v>0.54780000000000006</v>
      </c>
      <c r="R19" s="27">
        <f t="shared" si="1"/>
        <v>0.52550000000000008</v>
      </c>
      <c r="S19" s="27">
        <f t="shared" si="2"/>
        <v>0.45330000000000004</v>
      </c>
      <c r="T19" s="27">
        <f t="shared" si="3"/>
        <v>0.47150000000000003</v>
      </c>
      <c r="U19" s="27">
        <f t="shared" si="4"/>
        <v>0.71399999999999997</v>
      </c>
      <c r="V19" s="27"/>
      <c r="W19" s="27"/>
      <c r="X19" s="27"/>
      <c r="Y19" s="27"/>
      <c r="Z19" s="27"/>
    </row>
    <row r="20" spans="1:26" x14ac:dyDescent="0.6">
      <c r="A20" s="7"/>
      <c r="B20" s="23" t="s">
        <v>6</v>
      </c>
      <c r="C20" s="24"/>
      <c r="D20" s="24"/>
      <c r="E20" s="131">
        <f>'BGS PTY23 Cost Alloc'!E20</f>
        <v>0.53900000000000003</v>
      </c>
      <c r="F20" s="131">
        <f>'BGS PTY23 Cost Alloc'!F20</f>
        <v>0.54600000000000004</v>
      </c>
      <c r="G20" s="131">
        <f>'BGS PTY23 Cost Alloc'!G20</f>
        <v>0.58720000000000006</v>
      </c>
      <c r="H20" s="131">
        <f>'BGS PTY23 Cost Alloc'!H20</f>
        <v>0.57999999999999996</v>
      </c>
      <c r="I20" s="131">
        <f>'BGS PTY23 Cost Alloc'!I20</f>
        <v>0.30249999999999999</v>
      </c>
      <c r="J20" s="24"/>
      <c r="K20" s="25"/>
      <c r="L20" s="25"/>
      <c r="M20" s="25"/>
      <c r="N20" s="26"/>
      <c r="O20" s="27"/>
      <c r="P20" s="27"/>
      <c r="Q20" s="27">
        <f t="shared" si="0"/>
        <v>0.46099999999999997</v>
      </c>
      <c r="R20" s="27">
        <f t="shared" si="1"/>
        <v>0.45399999999999996</v>
      </c>
      <c r="S20" s="27">
        <f t="shared" si="2"/>
        <v>0.41279999999999994</v>
      </c>
      <c r="T20" s="27">
        <f t="shared" si="3"/>
        <v>0.42000000000000004</v>
      </c>
      <c r="U20" s="27">
        <f t="shared" si="4"/>
        <v>0.69750000000000001</v>
      </c>
      <c r="V20" s="27"/>
      <c r="W20" s="27"/>
      <c r="X20" s="27"/>
      <c r="Y20" s="27"/>
      <c r="Z20" s="27"/>
    </row>
    <row r="21" spans="1:26" x14ac:dyDescent="0.6">
      <c r="A21" s="7"/>
      <c r="B21" s="23" t="s">
        <v>7</v>
      </c>
      <c r="C21" s="24"/>
      <c r="D21" s="24"/>
      <c r="E21" s="131">
        <f>'BGS PTY23 Cost Alloc'!E21</f>
        <v>0.50470000000000004</v>
      </c>
      <c r="F21" s="131">
        <f>'BGS PTY23 Cost Alloc'!F21</f>
        <v>0.50349999999999995</v>
      </c>
      <c r="G21" s="131">
        <f>'BGS PTY23 Cost Alloc'!G21</f>
        <v>0.54390000000000005</v>
      </c>
      <c r="H21" s="131">
        <f>'BGS PTY23 Cost Alloc'!H21</f>
        <v>0.52839999999999998</v>
      </c>
      <c r="I21" s="131">
        <f>'BGS PTY23 Cost Alloc'!I21</f>
        <v>0.26240000000000002</v>
      </c>
      <c r="J21" s="24"/>
      <c r="K21" s="25"/>
      <c r="L21" s="25"/>
      <c r="M21" s="25"/>
      <c r="N21" s="26"/>
      <c r="O21" s="27"/>
      <c r="P21" s="27"/>
      <c r="Q21" s="27">
        <f t="shared" si="0"/>
        <v>0.49529999999999996</v>
      </c>
      <c r="R21" s="27">
        <f t="shared" si="1"/>
        <v>0.49650000000000005</v>
      </c>
      <c r="S21" s="27">
        <f t="shared" si="2"/>
        <v>0.45609999999999995</v>
      </c>
      <c r="T21" s="27">
        <f t="shared" si="3"/>
        <v>0.47160000000000002</v>
      </c>
      <c r="U21" s="27">
        <f t="shared" si="4"/>
        <v>0.73760000000000003</v>
      </c>
      <c r="V21" s="27"/>
      <c r="W21" s="27"/>
      <c r="X21" s="27"/>
      <c r="Y21" s="27"/>
      <c r="Z21" s="27"/>
    </row>
    <row r="22" spans="1:26" x14ac:dyDescent="0.6">
      <c r="A22" s="7"/>
      <c r="B22" s="23" t="s">
        <v>8</v>
      </c>
      <c r="C22" s="24"/>
      <c r="D22" s="24"/>
      <c r="E22" s="131">
        <f>'BGS PTY23 Cost Alloc'!E22</f>
        <v>0.54759999999999998</v>
      </c>
      <c r="F22" s="131">
        <f>'BGS PTY23 Cost Alloc'!F22</f>
        <v>0.55159999999999998</v>
      </c>
      <c r="G22" s="131">
        <f>'BGS PTY23 Cost Alloc'!G22</f>
        <v>0.59250000000000003</v>
      </c>
      <c r="H22" s="131">
        <f>'BGS PTY23 Cost Alloc'!H22</f>
        <v>0.57050000000000001</v>
      </c>
      <c r="I22" s="131">
        <f>'BGS PTY23 Cost Alloc'!I22</f>
        <v>0.30059999999999998</v>
      </c>
      <c r="J22" s="24"/>
      <c r="K22" s="25"/>
      <c r="L22" s="25"/>
      <c r="M22" s="25"/>
      <c r="N22" s="26"/>
      <c r="O22" s="27"/>
      <c r="P22" s="27"/>
      <c r="Q22" s="27">
        <f t="shared" si="0"/>
        <v>0.45240000000000002</v>
      </c>
      <c r="R22" s="27">
        <f t="shared" si="1"/>
        <v>0.44840000000000002</v>
      </c>
      <c r="S22" s="27">
        <f t="shared" si="2"/>
        <v>0.40749999999999997</v>
      </c>
      <c r="T22" s="27">
        <f t="shared" si="3"/>
        <v>0.42949999999999999</v>
      </c>
      <c r="U22" s="27">
        <f t="shared" si="4"/>
        <v>0.69940000000000002</v>
      </c>
      <c r="V22" s="27"/>
      <c r="W22" s="27"/>
      <c r="X22" s="27"/>
      <c r="Y22" s="27"/>
      <c r="Z22" s="27"/>
    </row>
    <row r="23" spans="1:26" x14ac:dyDescent="0.6">
      <c r="A23" s="7"/>
      <c r="B23" s="23" t="s">
        <v>9</v>
      </c>
      <c r="C23" s="24"/>
      <c r="D23" s="24"/>
      <c r="E23" s="131">
        <f>'BGS PTY23 Cost Alloc'!E23</f>
        <v>0.48970000000000002</v>
      </c>
      <c r="F23" s="131">
        <f>'BGS PTY23 Cost Alloc'!F23</f>
        <v>0.4965</v>
      </c>
      <c r="G23" s="131">
        <f>'BGS PTY23 Cost Alloc'!G23</f>
        <v>0.56679999999999997</v>
      </c>
      <c r="H23" s="131">
        <f>'BGS PTY23 Cost Alloc'!H23</f>
        <v>0.55359999999999998</v>
      </c>
      <c r="I23" s="131">
        <f>'BGS PTY23 Cost Alloc'!I23</f>
        <v>0.29980000000000001</v>
      </c>
      <c r="J23" s="24"/>
      <c r="K23" s="25"/>
      <c r="L23" s="25"/>
      <c r="M23" s="25"/>
      <c r="N23" s="26"/>
      <c r="O23" s="27"/>
      <c r="P23" s="27"/>
      <c r="Q23" s="27">
        <f t="shared" si="0"/>
        <v>0.51029999999999998</v>
      </c>
      <c r="R23" s="27">
        <f t="shared" si="1"/>
        <v>0.50350000000000006</v>
      </c>
      <c r="S23" s="27">
        <f t="shared" si="2"/>
        <v>0.43320000000000003</v>
      </c>
      <c r="T23" s="27">
        <f t="shared" si="3"/>
        <v>0.44640000000000002</v>
      </c>
      <c r="U23" s="27">
        <f t="shared" si="4"/>
        <v>0.70019999999999993</v>
      </c>
      <c r="V23" s="27"/>
      <c r="W23" s="27"/>
      <c r="X23" s="27"/>
      <c r="Y23" s="27"/>
      <c r="Z23" s="27"/>
    </row>
    <row r="24" spans="1:26" x14ac:dyDescent="0.6">
      <c r="A24" s="7"/>
      <c r="B24" s="23" t="s">
        <v>10</v>
      </c>
      <c r="C24" s="24"/>
      <c r="D24" s="24"/>
      <c r="E24" s="131">
        <f>'BGS PTY23 Cost Alloc'!E24</f>
        <v>0.47660000000000002</v>
      </c>
      <c r="F24" s="131">
        <f>'BGS PTY23 Cost Alloc'!F24</f>
        <v>0.49880000000000002</v>
      </c>
      <c r="G24" s="131">
        <f>'BGS PTY23 Cost Alloc'!G24</f>
        <v>0.55959999999999999</v>
      </c>
      <c r="H24" s="131">
        <f>'BGS PTY23 Cost Alloc'!H24</f>
        <v>0.5383</v>
      </c>
      <c r="I24" s="131">
        <f>'BGS PTY23 Cost Alloc'!I24</f>
        <v>0.31240000000000001</v>
      </c>
      <c r="J24" s="24"/>
      <c r="K24" s="25"/>
      <c r="L24" s="25"/>
      <c r="M24" s="25"/>
      <c r="N24" s="26"/>
      <c r="O24" s="27"/>
      <c r="P24" s="27"/>
      <c r="Q24" s="27">
        <f t="shared" si="0"/>
        <v>0.52339999999999998</v>
      </c>
      <c r="R24" s="27">
        <f t="shared" si="1"/>
        <v>0.50119999999999998</v>
      </c>
      <c r="S24" s="27">
        <f t="shared" si="2"/>
        <v>0.44040000000000001</v>
      </c>
      <c r="T24" s="27">
        <f t="shared" si="3"/>
        <v>0.4617</v>
      </c>
      <c r="U24" s="27">
        <f t="shared" si="4"/>
        <v>0.68759999999999999</v>
      </c>
      <c r="V24" s="27"/>
      <c r="W24" s="27"/>
      <c r="X24" s="27"/>
      <c r="Y24" s="27"/>
      <c r="Z24" s="27"/>
    </row>
    <row r="25" spans="1:26" x14ac:dyDescent="0.6">
      <c r="A25" s="7"/>
      <c r="B25" s="23" t="s">
        <v>11</v>
      </c>
      <c r="C25" s="24"/>
      <c r="D25" s="24"/>
      <c r="E25" s="131">
        <f>'BGS PTY23 Cost Alloc'!E25</f>
        <v>0.47149999999999997</v>
      </c>
      <c r="F25" s="131">
        <f>'BGS PTY23 Cost Alloc'!F25</f>
        <v>0.50149999999999995</v>
      </c>
      <c r="G25" s="131">
        <f>'BGS PTY23 Cost Alloc'!G25</f>
        <v>0.56210000000000004</v>
      </c>
      <c r="H25" s="131">
        <f>'BGS PTY23 Cost Alloc'!H25</f>
        <v>0.5413</v>
      </c>
      <c r="I25" s="131">
        <f>'BGS PTY23 Cost Alloc'!I25</f>
        <v>0.32179999999999997</v>
      </c>
      <c r="J25" s="24"/>
      <c r="K25" s="25"/>
      <c r="L25" s="25"/>
      <c r="M25" s="25"/>
      <c r="N25" s="26"/>
      <c r="O25" s="27"/>
      <c r="P25" s="27"/>
      <c r="Q25" s="27">
        <f t="shared" si="0"/>
        <v>0.52849999999999997</v>
      </c>
      <c r="R25" s="27">
        <f t="shared" si="1"/>
        <v>0.49850000000000005</v>
      </c>
      <c r="S25" s="27">
        <f t="shared" si="2"/>
        <v>0.43789999999999996</v>
      </c>
      <c r="T25" s="27">
        <f t="shared" si="3"/>
        <v>0.4587</v>
      </c>
      <c r="U25" s="27">
        <f t="shared" si="4"/>
        <v>0.67820000000000003</v>
      </c>
      <c r="V25" s="27"/>
      <c r="W25" s="27"/>
      <c r="X25" s="27"/>
      <c r="Y25" s="27"/>
      <c r="Z25" s="27"/>
    </row>
    <row r="26" spans="1:26" x14ac:dyDescent="0.6">
      <c r="A26" s="7"/>
      <c r="B26" s="23" t="s">
        <v>12</v>
      </c>
      <c r="C26" s="24"/>
      <c r="D26" s="24"/>
      <c r="E26" s="131">
        <f>'BGS PTY23 Cost Alloc'!E26</f>
        <v>0.48380000000000001</v>
      </c>
      <c r="F26" s="131">
        <f>'BGS PTY23 Cost Alloc'!F26</f>
        <v>0.49409999999999998</v>
      </c>
      <c r="G26" s="131">
        <f>'BGS PTY23 Cost Alloc'!G26</f>
        <v>0.54910000000000003</v>
      </c>
      <c r="H26" s="131">
        <f>'BGS PTY23 Cost Alloc'!H26</f>
        <v>0.53990000000000005</v>
      </c>
      <c r="I26" s="131">
        <f>'BGS PTY23 Cost Alloc'!I26</f>
        <v>0.3246</v>
      </c>
      <c r="J26" s="24"/>
      <c r="K26" s="25"/>
      <c r="L26" s="25"/>
      <c r="M26" s="25"/>
      <c r="N26" s="26"/>
      <c r="O26" s="27"/>
      <c r="P26" s="27"/>
      <c r="Q26" s="27">
        <f t="shared" si="0"/>
        <v>0.51619999999999999</v>
      </c>
      <c r="R26" s="27">
        <f t="shared" si="1"/>
        <v>0.50590000000000002</v>
      </c>
      <c r="S26" s="27">
        <f t="shared" si="2"/>
        <v>0.45089999999999997</v>
      </c>
      <c r="T26" s="27">
        <f t="shared" si="3"/>
        <v>0.46009999999999995</v>
      </c>
      <c r="U26" s="27">
        <f t="shared" si="4"/>
        <v>0.6754</v>
      </c>
      <c r="V26" s="27"/>
      <c r="W26" s="27"/>
      <c r="X26" s="27"/>
      <c r="Y26" s="27"/>
      <c r="Z26" s="27"/>
    </row>
    <row r="27" spans="1:26" x14ac:dyDescent="0.6">
      <c r="A27" s="7"/>
      <c r="B27" s="23"/>
      <c r="C27" s="26"/>
      <c r="D27" s="26"/>
      <c r="E27" s="26"/>
      <c r="F27" s="26"/>
      <c r="G27" s="26"/>
      <c r="H27" s="26"/>
      <c r="I27" s="28"/>
      <c r="J27" s="28"/>
      <c r="K27" s="26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6">
      <c r="A28" s="7"/>
      <c r="B28" s="23"/>
      <c r="C28" s="26"/>
      <c r="D28" s="26"/>
      <c r="E28" s="26"/>
      <c r="F28" s="26"/>
      <c r="G28" s="26"/>
      <c r="H28" s="26"/>
      <c r="I28" s="28"/>
      <c r="J28" s="28"/>
      <c r="K28" s="26"/>
      <c r="L28" s="26"/>
      <c r="M28" s="26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6">
      <c r="A29" s="6" t="s">
        <v>31</v>
      </c>
      <c r="B29" s="16" t="s">
        <v>57</v>
      </c>
      <c r="C29" s="26"/>
      <c r="D29" s="26"/>
      <c r="E29" s="26"/>
      <c r="F29" s="29" t="s">
        <v>46</v>
      </c>
      <c r="G29" s="26"/>
      <c r="H29" s="26"/>
      <c r="I29" s="28"/>
      <c r="J29" s="28"/>
      <c r="K29" s="26"/>
      <c r="L29" s="26"/>
      <c r="M29" s="26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53.25" customHeight="1" x14ac:dyDescent="0.6">
      <c r="A30" s="7"/>
      <c r="C30" s="19"/>
      <c r="D30" s="19"/>
      <c r="E30" s="19" t="str">
        <f>'BGS PTY23 Cost Alloc'!$E$30</f>
        <v>2024 Forecasted Calendar Month Sales</v>
      </c>
      <c r="F30" s="19" t="s">
        <v>39</v>
      </c>
      <c r="G30" s="19" t="s">
        <v>39</v>
      </c>
      <c r="H30" s="19" t="str">
        <f>'BGS PTY23 Cost Alloc'!$E$30</f>
        <v>2024 Forecasted Calendar Month Sales</v>
      </c>
      <c r="I30" s="19" t="s">
        <v>39</v>
      </c>
      <c r="J30" s="19"/>
      <c r="K30" s="19"/>
      <c r="L30" s="19"/>
      <c r="M30" s="19"/>
      <c r="N30" s="15"/>
      <c r="O30" s="19"/>
      <c r="P30" s="19"/>
      <c r="Q30" s="19" t="str">
        <f>'BGS PTY23 Cost Alloc'!Q30</f>
        <v>2024 Forecasted Calendar Month Sales</v>
      </c>
      <c r="R30" s="19" t="s">
        <v>39</v>
      </c>
      <c r="S30" s="19" t="s">
        <v>39</v>
      </c>
      <c r="T30" s="19" t="str">
        <f>'BGS PTY23 Cost Alloc'!T30</f>
        <v>2024 Forecasted Calendar Month Sales</v>
      </c>
      <c r="U30" s="19" t="s">
        <v>39</v>
      </c>
      <c r="V30" s="19"/>
      <c r="W30" s="19"/>
      <c r="X30" s="19"/>
      <c r="Y30" s="19"/>
      <c r="Z30" s="19"/>
    </row>
    <row r="31" spans="1:26" x14ac:dyDescent="0.6">
      <c r="A31" s="7"/>
      <c r="B31" s="20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22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6">
      <c r="A33" s="7"/>
      <c r="B33" s="23" t="s">
        <v>1</v>
      </c>
      <c r="C33" s="30"/>
      <c r="D33" s="113"/>
      <c r="E33" s="131">
        <f>'BGS PTY23 Cost Alloc'!E33</f>
        <v>0.35580000000000001</v>
      </c>
      <c r="F33" s="134" t="s">
        <v>40</v>
      </c>
      <c r="G33" s="134" t="s">
        <v>40</v>
      </c>
      <c r="H33" s="131">
        <f>'BGS PTY23 Cost Alloc'!H33</f>
        <v>0.41980000000000001</v>
      </c>
      <c r="I33" s="134" t="s">
        <v>40</v>
      </c>
      <c r="J33" s="30"/>
      <c r="K33" s="30"/>
      <c r="L33" s="26"/>
      <c r="M33" s="25"/>
      <c r="N33" s="26"/>
      <c r="O33" s="27"/>
      <c r="P33" s="27"/>
      <c r="Q33" s="27">
        <f t="shared" ref="Q33:Q44" si="5">1-E33</f>
        <v>0.64419999999999999</v>
      </c>
      <c r="R33" s="27"/>
      <c r="S33" s="27"/>
      <c r="T33" s="27">
        <f t="shared" ref="T33:T44" si="6">1-H33</f>
        <v>0.58020000000000005</v>
      </c>
      <c r="U33" s="27"/>
      <c r="V33" s="27"/>
      <c r="W33" s="27"/>
      <c r="X33" s="27"/>
      <c r="Y33" s="27"/>
      <c r="Z33" s="27"/>
    </row>
    <row r="34" spans="1:26" x14ac:dyDescent="0.6">
      <c r="A34" s="7"/>
      <c r="B34" s="23" t="s">
        <v>2</v>
      </c>
      <c r="C34" s="30"/>
      <c r="D34" s="113"/>
      <c r="E34" s="131">
        <f>'BGS PTY23 Cost Alloc'!E34</f>
        <v>0.34810000000000002</v>
      </c>
      <c r="F34" s="134" t="s">
        <v>40</v>
      </c>
      <c r="G34" s="134" t="s">
        <v>40</v>
      </c>
      <c r="H34" s="131">
        <f>'BGS PTY23 Cost Alloc'!H34</f>
        <v>0.41289999999999999</v>
      </c>
      <c r="I34" s="134" t="s">
        <v>40</v>
      </c>
      <c r="J34" s="30"/>
      <c r="K34" s="30"/>
      <c r="L34" s="26"/>
      <c r="M34" s="25"/>
      <c r="N34" s="26"/>
      <c r="O34" s="27"/>
      <c r="P34" s="27"/>
      <c r="Q34" s="27">
        <f t="shared" si="5"/>
        <v>0.65189999999999992</v>
      </c>
      <c r="R34" s="27"/>
      <c r="S34" s="27"/>
      <c r="T34" s="27">
        <f t="shared" si="6"/>
        <v>0.58709999999999996</v>
      </c>
      <c r="U34" s="27"/>
      <c r="V34" s="27"/>
      <c r="W34" s="27"/>
      <c r="X34" s="27"/>
      <c r="Y34" s="27"/>
      <c r="Z34" s="27"/>
    </row>
    <row r="35" spans="1:26" x14ac:dyDescent="0.6">
      <c r="A35" s="7"/>
      <c r="B35" s="23" t="s">
        <v>3</v>
      </c>
      <c r="C35" s="30"/>
      <c r="D35" s="113"/>
      <c r="E35" s="131">
        <f>'BGS PTY23 Cost Alloc'!E35</f>
        <v>0.34720000000000001</v>
      </c>
      <c r="F35" s="134" t="s">
        <v>40</v>
      </c>
      <c r="G35" s="134" t="s">
        <v>40</v>
      </c>
      <c r="H35" s="131">
        <f>'BGS PTY23 Cost Alloc'!H35</f>
        <v>0.41339999999999999</v>
      </c>
      <c r="I35" s="134" t="s">
        <v>40</v>
      </c>
      <c r="J35" s="30"/>
      <c r="K35" s="30"/>
      <c r="L35" s="26"/>
      <c r="M35" s="25"/>
      <c r="N35" s="26"/>
      <c r="O35" s="27"/>
      <c r="P35" s="27"/>
      <c r="Q35" s="27">
        <f t="shared" si="5"/>
        <v>0.65280000000000005</v>
      </c>
      <c r="R35" s="27"/>
      <c r="S35" s="27"/>
      <c r="T35" s="27">
        <f t="shared" si="6"/>
        <v>0.58660000000000001</v>
      </c>
      <c r="U35" s="27"/>
      <c r="V35" s="27"/>
      <c r="W35" s="27"/>
      <c r="X35" s="27"/>
      <c r="Y35" s="27"/>
      <c r="Z35" s="27"/>
    </row>
    <row r="36" spans="1:26" x14ac:dyDescent="0.6">
      <c r="A36" s="7"/>
      <c r="B36" s="23" t="s">
        <v>4</v>
      </c>
      <c r="C36" s="30"/>
      <c r="D36" s="113"/>
      <c r="E36" s="131">
        <f>'BGS PTY23 Cost Alloc'!E36</f>
        <v>0.35630000000000001</v>
      </c>
      <c r="F36" s="134" t="s">
        <v>40</v>
      </c>
      <c r="G36" s="134" t="s">
        <v>40</v>
      </c>
      <c r="H36" s="131">
        <f>'BGS PTY23 Cost Alloc'!H36</f>
        <v>0.41749999999999998</v>
      </c>
      <c r="I36" s="134" t="s">
        <v>40</v>
      </c>
      <c r="J36" s="30"/>
      <c r="K36" s="30"/>
      <c r="L36" s="26"/>
      <c r="M36" s="25"/>
      <c r="N36" s="26"/>
      <c r="O36" s="27"/>
      <c r="P36" s="27"/>
      <c r="Q36" s="27">
        <f t="shared" si="5"/>
        <v>0.64369999999999994</v>
      </c>
      <c r="R36" s="27"/>
      <c r="S36" s="27"/>
      <c r="T36" s="27">
        <f t="shared" si="6"/>
        <v>0.58250000000000002</v>
      </c>
      <c r="U36" s="27"/>
      <c r="V36" s="27"/>
      <c r="W36" s="27"/>
      <c r="X36" s="27"/>
      <c r="Y36" s="27"/>
      <c r="Z36" s="27"/>
    </row>
    <row r="37" spans="1:26" x14ac:dyDescent="0.6">
      <c r="A37" s="7"/>
      <c r="B37" s="23" t="s">
        <v>5</v>
      </c>
      <c r="C37" s="30"/>
      <c r="D37" s="113"/>
      <c r="E37" s="131">
        <f>'BGS PTY23 Cost Alloc'!E37</f>
        <v>0.37990000000000002</v>
      </c>
      <c r="F37" s="134" t="s">
        <v>40</v>
      </c>
      <c r="G37" s="134" t="s">
        <v>40</v>
      </c>
      <c r="H37" s="131">
        <f>'BGS PTY23 Cost Alloc'!H37</f>
        <v>0.42449999999999999</v>
      </c>
      <c r="I37" s="134" t="s">
        <v>40</v>
      </c>
      <c r="J37" s="30"/>
      <c r="K37" s="30"/>
      <c r="L37" s="26"/>
      <c r="M37" s="25"/>
      <c r="N37" s="26"/>
      <c r="O37" s="27"/>
      <c r="P37" s="27"/>
      <c r="Q37" s="27">
        <f t="shared" si="5"/>
        <v>0.62009999999999998</v>
      </c>
      <c r="R37" s="27"/>
      <c r="S37" s="27"/>
      <c r="T37" s="27">
        <f t="shared" si="6"/>
        <v>0.57550000000000001</v>
      </c>
      <c r="U37" s="27"/>
      <c r="V37" s="27"/>
      <c r="W37" s="27"/>
      <c r="X37" s="27"/>
      <c r="Y37" s="27"/>
      <c r="Z37" s="27"/>
    </row>
    <row r="38" spans="1:26" x14ac:dyDescent="0.6">
      <c r="A38" s="7"/>
      <c r="B38" s="23" t="s">
        <v>6</v>
      </c>
      <c r="C38" s="30"/>
      <c r="D38" s="113"/>
      <c r="E38" s="131">
        <f>'BGS PTY23 Cost Alloc'!E38</f>
        <v>0.40870000000000001</v>
      </c>
      <c r="F38" s="134" t="s">
        <v>40</v>
      </c>
      <c r="G38" s="134" t="s">
        <v>40</v>
      </c>
      <c r="H38" s="131">
        <f>'BGS PTY23 Cost Alloc'!H38</f>
        <v>0.4405</v>
      </c>
      <c r="I38" s="134" t="s">
        <v>40</v>
      </c>
      <c r="J38" s="30"/>
      <c r="K38" s="30"/>
      <c r="L38" s="26"/>
      <c r="M38" s="25"/>
      <c r="N38" s="26"/>
      <c r="O38" s="27"/>
      <c r="P38" s="27"/>
      <c r="Q38" s="27">
        <f t="shared" si="5"/>
        <v>0.59129999999999994</v>
      </c>
      <c r="R38" s="27"/>
      <c r="S38" s="27"/>
      <c r="T38" s="27">
        <f t="shared" si="6"/>
        <v>0.5595</v>
      </c>
      <c r="U38" s="27"/>
      <c r="V38" s="27"/>
      <c r="W38" s="27"/>
      <c r="X38" s="27"/>
      <c r="Y38" s="27"/>
      <c r="Z38" s="27"/>
    </row>
    <row r="39" spans="1:26" x14ac:dyDescent="0.6">
      <c r="A39" s="7"/>
      <c r="B39" s="23" t="s">
        <v>7</v>
      </c>
      <c r="C39" s="30"/>
      <c r="D39" s="113"/>
      <c r="E39" s="131">
        <f>'BGS PTY23 Cost Alloc'!E39</f>
        <v>0.42470000000000002</v>
      </c>
      <c r="F39" s="134" t="s">
        <v>40</v>
      </c>
      <c r="G39" s="134" t="s">
        <v>40</v>
      </c>
      <c r="H39" s="131">
        <f>'BGS PTY23 Cost Alloc'!H39</f>
        <v>0.45090000000000002</v>
      </c>
      <c r="I39" s="134" t="s">
        <v>40</v>
      </c>
      <c r="J39" s="30"/>
      <c r="K39" s="30"/>
      <c r="L39" s="26"/>
      <c r="M39" s="25"/>
      <c r="N39" s="26"/>
      <c r="O39" s="27"/>
      <c r="P39" s="27"/>
      <c r="Q39" s="27">
        <f t="shared" si="5"/>
        <v>0.57529999999999992</v>
      </c>
      <c r="R39" s="27"/>
      <c r="S39" s="27"/>
      <c r="T39" s="27">
        <f t="shared" si="6"/>
        <v>0.54909999999999992</v>
      </c>
      <c r="U39" s="27"/>
      <c r="V39" s="27"/>
      <c r="W39" s="27"/>
      <c r="X39" s="27"/>
      <c r="Y39" s="27"/>
      <c r="Z39" s="27"/>
    </row>
    <row r="40" spans="1:26" x14ac:dyDescent="0.6">
      <c r="A40" s="7"/>
      <c r="B40" s="23" t="s">
        <v>8</v>
      </c>
      <c r="C40" s="30"/>
      <c r="D40" s="113"/>
      <c r="E40" s="131">
        <f>'BGS PTY23 Cost Alloc'!E40</f>
        <v>0.42870000000000003</v>
      </c>
      <c r="F40" s="134" t="s">
        <v>40</v>
      </c>
      <c r="G40" s="134" t="s">
        <v>40</v>
      </c>
      <c r="H40" s="131">
        <f>'BGS PTY23 Cost Alloc'!H40</f>
        <v>0.44390000000000002</v>
      </c>
      <c r="I40" s="134" t="s">
        <v>40</v>
      </c>
      <c r="J40" s="30"/>
      <c r="K40" s="30"/>
      <c r="L40" s="26"/>
      <c r="M40" s="25"/>
      <c r="N40" s="26"/>
      <c r="O40" s="27"/>
      <c r="P40" s="27"/>
      <c r="Q40" s="27">
        <f t="shared" si="5"/>
        <v>0.57129999999999992</v>
      </c>
      <c r="R40" s="27"/>
      <c r="S40" s="27"/>
      <c r="T40" s="27">
        <f t="shared" si="6"/>
        <v>0.55610000000000004</v>
      </c>
      <c r="U40" s="27"/>
      <c r="V40" s="27"/>
      <c r="W40" s="27"/>
      <c r="X40" s="27"/>
      <c r="Y40" s="27"/>
      <c r="Z40" s="27"/>
    </row>
    <row r="41" spans="1:26" x14ac:dyDescent="0.6">
      <c r="A41" s="7"/>
      <c r="B41" s="23" t="s">
        <v>9</v>
      </c>
      <c r="C41" s="30"/>
      <c r="D41" s="113"/>
      <c r="E41" s="131">
        <f>'BGS PTY23 Cost Alloc'!E41</f>
        <v>0.41770000000000002</v>
      </c>
      <c r="F41" s="134" t="s">
        <v>40</v>
      </c>
      <c r="G41" s="134" t="s">
        <v>40</v>
      </c>
      <c r="H41" s="131">
        <f>'BGS PTY23 Cost Alloc'!H41</f>
        <v>0.4466</v>
      </c>
      <c r="I41" s="134" t="s">
        <v>40</v>
      </c>
      <c r="J41" s="30"/>
      <c r="K41" s="30"/>
      <c r="L41" s="26"/>
      <c r="M41" s="25"/>
      <c r="N41" s="26"/>
      <c r="O41" s="27"/>
      <c r="P41" s="27"/>
      <c r="Q41" s="27">
        <f t="shared" si="5"/>
        <v>0.58230000000000004</v>
      </c>
      <c r="R41" s="27"/>
      <c r="S41" s="27"/>
      <c r="T41" s="27">
        <f t="shared" si="6"/>
        <v>0.5534</v>
      </c>
      <c r="U41" s="27"/>
      <c r="V41" s="27"/>
      <c r="W41" s="27"/>
      <c r="X41" s="27"/>
      <c r="Y41" s="27"/>
      <c r="Z41" s="27"/>
    </row>
    <row r="42" spans="1:26" x14ac:dyDescent="0.6">
      <c r="A42" s="7"/>
      <c r="B42" s="23" t="s">
        <v>10</v>
      </c>
      <c r="C42" s="30"/>
      <c r="D42" s="113"/>
      <c r="E42" s="131">
        <f>'BGS PTY23 Cost Alloc'!E42</f>
        <v>0.38540000000000002</v>
      </c>
      <c r="F42" s="134" t="s">
        <v>40</v>
      </c>
      <c r="G42" s="134" t="s">
        <v>40</v>
      </c>
      <c r="H42" s="131">
        <f>'BGS PTY23 Cost Alloc'!H42</f>
        <v>0.44490000000000002</v>
      </c>
      <c r="I42" s="134" t="s">
        <v>40</v>
      </c>
      <c r="J42" s="30"/>
      <c r="K42" s="30"/>
      <c r="L42" s="26"/>
      <c r="M42" s="25"/>
      <c r="N42" s="26"/>
      <c r="O42" s="27"/>
      <c r="P42" s="27"/>
      <c r="Q42" s="27">
        <f t="shared" si="5"/>
        <v>0.61460000000000004</v>
      </c>
      <c r="R42" s="27"/>
      <c r="S42" s="27"/>
      <c r="T42" s="27">
        <f t="shared" si="6"/>
        <v>0.55509999999999993</v>
      </c>
      <c r="U42" s="27"/>
      <c r="V42" s="27"/>
      <c r="W42" s="27"/>
      <c r="X42" s="27"/>
      <c r="Y42" s="27"/>
      <c r="Z42" s="27"/>
    </row>
    <row r="43" spans="1:26" x14ac:dyDescent="0.6">
      <c r="A43" s="7"/>
      <c r="B43" s="23" t="s">
        <v>11</v>
      </c>
      <c r="C43" s="30"/>
      <c r="D43" s="113"/>
      <c r="E43" s="131">
        <f>'BGS PTY23 Cost Alloc'!E43</f>
        <v>0.36199999999999999</v>
      </c>
      <c r="F43" s="134" t="s">
        <v>40</v>
      </c>
      <c r="G43" s="134" t="s">
        <v>40</v>
      </c>
      <c r="H43" s="131">
        <f>'BGS PTY23 Cost Alloc'!H43</f>
        <v>0.43330000000000002</v>
      </c>
      <c r="I43" s="134" t="s">
        <v>40</v>
      </c>
      <c r="J43" s="30"/>
      <c r="K43" s="30"/>
      <c r="L43" s="26"/>
      <c r="M43" s="25"/>
      <c r="N43" s="26"/>
      <c r="O43" s="27"/>
      <c r="P43" s="27"/>
      <c r="Q43" s="27">
        <f t="shared" si="5"/>
        <v>0.63800000000000001</v>
      </c>
      <c r="R43" s="27"/>
      <c r="S43" s="27"/>
      <c r="T43" s="27">
        <f t="shared" si="6"/>
        <v>0.56669999999999998</v>
      </c>
      <c r="U43" s="27"/>
      <c r="V43" s="27"/>
      <c r="W43" s="27"/>
      <c r="X43" s="27"/>
      <c r="Y43" s="27"/>
      <c r="Z43" s="27"/>
    </row>
    <row r="44" spans="1:26" x14ac:dyDescent="0.6">
      <c r="A44" s="7"/>
      <c r="B44" s="23" t="s">
        <v>12</v>
      </c>
      <c r="C44" s="30"/>
      <c r="D44" s="113"/>
      <c r="E44" s="131">
        <f>'BGS PTY23 Cost Alloc'!E44</f>
        <v>0.35899999999999999</v>
      </c>
      <c r="F44" s="134" t="s">
        <v>40</v>
      </c>
      <c r="G44" s="134" t="s">
        <v>40</v>
      </c>
      <c r="H44" s="131">
        <f>'BGS PTY23 Cost Alloc'!H44</f>
        <v>0.42049999999999998</v>
      </c>
      <c r="I44" s="134" t="s">
        <v>40</v>
      </c>
      <c r="J44" s="30"/>
      <c r="K44" s="30"/>
      <c r="L44" s="26"/>
      <c r="M44" s="25"/>
      <c r="N44" s="26"/>
      <c r="O44" s="27"/>
      <c r="P44" s="27"/>
      <c r="Q44" s="27">
        <f t="shared" si="5"/>
        <v>0.64100000000000001</v>
      </c>
      <c r="R44" s="27"/>
      <c r="S44" s="27"/>
      <c r="T44" s="27">
        <f t="shared" si="6"/>
        <v>0.57950000000000002</v>
      </c>
      <c r="U44" s="27"/>
      <c r="V44" s="27"/>
      <c r="W44" s="27"/>
      <c r="X44" s="27"/>
      <c r="Y44" s="27"/>
      <c r="Z44" s="27"/>
    </row>
    <row r="45" spans="1:26" x14ac:dyDescent="0.6">
      <c r="A45" s="7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26"/>
      <c r="M45" s="25"/>
      <c r="N45" s="26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6">
      <c r="A46" s="7"/>
      <c r="B46" s="31" t="s">
        <v>202</v>
      </c>
      <c r="C46" s="30"/>
      <c r="D46" s="30"/>
      <c r="E46" s="30"/>
      <c r="F46" s="30"/>
      <c r="G46" s="30"/>
      <c r="H46" s="30"/>
      <c r="I46" s="30"/>
      <c r="J46" s="30"/>
      <c r="K46" s="30"/>
      <c r="L46" s="26"/>
      <c r="M46" s="25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6">
      <c r="A47" s="7"/>
      <c r="B47" s="31" t="s">
        <v>213</v>
      </c>
      <c r="C47" s="26"/>
      <c r="D47" s="26"/>
      <c r="E47" s="26"/>
      <c r="F47" s="26"/>
      <c r="G47" s="26"/>
      <c r="H47" s="26"/>
      <c r="I47" s="28"/>
      <c r="J47" s="28"/>
      <c r="K47" s="26"/>
      <c r="L47" s="26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6">
      <c r="A48" s="7"/>
      <c r="B48" s="31" t="s">
        <v>66</v>
      </c>
      <c r="C48" s="26"/>
      <c r="D48" s="26"/>
      <c r="E48" s="26"/>
      <c r="F48" s="26"/>
      <c r="G48" s="26"/>
      <c r="H48" s="26"/>
      <c r="I48" s="28"/>
      <c r="J48" s="28"/>
      <c r="K48" s="26"/>
      <c r="L48" s="26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33" x14ac:dyDescent="0.6">
      <c r="A49" s="7"/>
      <c r="B49" s="31" t="s">
        <v>67</v>
      </c>
      <c r="C49" s="26"/>
      <c r="D49" s="26"/>
      <c r="E49" s="26"/>
      <c r="F49" s="26"/>
      <c r="G49" s="26"/>
      <c r="H49" s="26"/>
      <c r="I49" s="28"/>
      <c r="J49" s="28"/>
      <c r="K49" s="26"/>
      <c r="L49" s="26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33" x14ac:dyDescent="0.6">
      <c r="A50" s="7"/>
      <c r="B50" s="31" t="s">
        <v>68</v>
      </c>
      <c r="C50" s="26"/>
      <c r="D50" s="26"/>
      <c r="E50" s="26"/>
      <c r="F50" s="26"/>
      <c r="G50" s="26"/>
      <c r="H50" s="26"/>
      <c r="I50" s="28"/>
      <c r="J50" s="28"/>
      <c r="K50" s="26"/>
      <c r="L50" s="26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33" x14ac:dyDescent="0.6">
      <c r="A51" s="7"/>
      <c r="B51" s="23"/>
      <c r="C51" s="26"/>
      <c r="D51" s="26"/>
      <c r="E51" s="26"/>
      <c r="F51" s="26"/>
      <c r="G51" s="26"/>
      <c r="H51" s="26"/>
      <c r="I51" s="28"/>
      <c r="J51" s="28"/>
      <c r="K51" s="26"/>
      <c r="L51" s="26"/>
      <c r="M51" s="26"/>
      <c r="N51" s="26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33" ht="15.5" x14ac:dyDescent="0.7">
      <c r="A52" s="7"/>
      <c r="B52" s="570" t="str">
        <f>$B$1</f>
        <v xml:space="preserve">Jersey Central Power &amp; Light </v>
      </c>
      <c r="C52" s="570"/>
      <c r="D52" s="570"/>
      <c r="E52" s="570"/>
      <c r="F52" s="570"/>
      <c r="G52" s="570"/>
      <c r="H52" s="570"/>
      <c r="I52" s="570"/>
      <c r="J52" s="570"/>
      <c r="K52" s="570"/>
      <c r="L52" s="570"/>
      <c r="M52" s="26"/>
      <c r="N52" s="26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33" ht="15.5" x14ac:dyDescent="0.7">
      <c r="A53" s="7"/>
      <c r="B53" s="570" t="str">
        <f>$B$2</f>
        <v>Attachment 2</v>
      </c>
      <c r="C53" s="570"/>
      <c r="D53" s="570"/>
      <c r="E53" s="570"/>
      <c r="F53" s="570"/>
      <c r="G53" s="570"/>
      <c r="H53" s="570"/>
      <c r="I53" s="570"/>
      <c r="J53" s="570"/>
      <c r="K53" s="570"/>
      <c r="L53" s="570"/>
      <c r="M53" s="26"/>
      <c r="N53" s="26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33" x14ac:dyDescent="0.6">
      <c r="A54" s="7"/>
      <c r="B54" s="23"/>
      <c r="C54" s="26"/>
      <c r="D54" s="26"/>
      <c r="E54" s="26"/>
      <c r="F54" s="26"/>
      <c r="G54" s="26"/>
      <c r="H54" s="26"/>
      <c r="I54" s="28"/>
      <c r="J54" s="28"/>
      <c r="K54" s="26"/>
      <c r="L54" s="26"/>
      <c r="M54" s="26"/>
      <c r="N54" s="26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33" x14ac:dyDescent="0.6">
      <c r="A55" s="7"/>
      <c r="B55" s="23"/>
      <c r="C55" s="26"/>
      <c r="D55" s="26"/>
      <c r="E55" s="26"/>
      <c r="F55" s="26"/>
      <c r="G55" s="26"/>
      <c r="H55" s="26"/>
      <c r="I55" s="28"/>
      <c r="J55" s="28"/>
      <c r="K55" s="26"/>
      <c r="L55" s="26"/>
      <c r="M55" s="26"/>
      <c r="N55" s="26"/>
      <c r="O55" s="27"/>
      <c r="P55" s="27"/>
      <c r="Q55" s="27"/>
      <c r="R55" s="27"/>
      <c r="S55" s="27"/>
      <c r="T55" s="27"/>
      <c r="U55" s="27"/>
      <c r="V55" s="27"/>
      <c r="W55" s="146" t="str">
        <f>'BGS PTY23 Cost Alloc'!Y55</f>
        <v>Forecast 2024 Delivery MWh</v>
      </c>
      <c r="X55" s="147"/>
      <c r="Y55" s="147"/>
      <c r="Z55" s="26"/>
    </row>
    <row r="56" spans="1:33" x14ac:dyDescent="0.6">
      <c r="A56" s="6" t="s">
        <v>36</v>
      </c>
      <c r="B56" s="32" t="s">
        <v>48</v>
      </c>
      <c r="E56" s="26"/>
      <c r="F56" s="26"/>
      <c r="G56" s="26"/>
      <c r="H56" s="26"/>
      <c r="I56" s="28"/>
      <c r="J56" s="28"/>
      <c r="O56" s="1"/>
      <c r="W56" s="1"/>
      <c r="X56" s="1"/>
      <c r="Z56" s="144" t="s">
        <v>247</v>
      </c>
    </row>
    <row r="57" spans="1:33" x14ac:dyDescent="0.6">
      <c r="A57" s="7"/>
      <c r="B57" s="33" t="str">
        <f>'BGS PTY23 Cost Alloc'!$B$57</f>
        <v>calendar month sales forecasted for 2024</v>
      </c>
      <c r="N57" s="34"/>
      <c r="O57" s="35"/>
      <c r="P57" s="35"/>
      <c r="Q57" s="35" t="s">
        <v>129</v>
      </c>
      <c r="R57" s="35"/>
      <c r="S57" s="35"/>
      <c r="T57" s="35"/>
      <c r="U57" s="36"/>
      <c r="W57" s="2" t="s">
        <v>13</v>
      </c>
    </row>
    <row r="58" spans="1:33" x14ac:dyDescent="0.6">
      <c r="A58" s="7"/>
      <c r="B58" s="15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3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3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" t="s">
        <v>60</v>
      </c>
      <c r="AA58" s="2" t="s">
        <v>52</v>
      </c>
      <c r="AB58" s="2" t="s">
        <v>0</v>
      </c>
      <c r="AC58" s="2" t="s">
        <v>53</v>
      </c>
      <c r="AD58" s="2" t="s">
        <v>53</v>
      </c>
      <c r="AG58" s="2" t="s">
        <v>54</v>
      </c>
    </row>
    <row r="59" spans="1:33" x14ac:dyDescent="0.6">
      <c r="A59" s="7"/>
      <c r="M59" s="1" t="s">
        <v>180</v>
      </c>
      <c r="N59" s="39"/>
      <c r="U59" s="40"/>
    </row>
    <row r="60" spans="1:33" x14ac:dyDescent="0.6">
      <c r="A60" s="7"/>
      <c r="B60" s="23" t="s">
        <v>1</v>
      </c>
      <c r="C60" s="41"/>
      <c r="D60" s="41"/>
      <c r="E60" s="42">
        <f>'BGS PTY23 Cost Alloc'!E60</f>
        <v>19988</v>
      </c>
      <c r="F60" s="42">
        <f>'BGS PTY23 Cost Alloc'!F60</f>
        <v>843633</v>
      </c>
      <c r="G60" s="42">
        <f>'BGS PTY23 Cost Alloc'!G60</f>
        <v>507045</v>
      </c>
      <c r="H60" s="42">
        <f>'BGS PTY23 Cost Alloc'!H60</f>
        <v>14625</v>
      </c>
      <c r="I60" s="42">
        <f>'BGS PTY23 Cost Alloc'!I60</f>
        <v>11325</v>
      </c>
      <c r="J60" s="42">
        <f t="shared" ref="J60:J72" si="7">SUM(E60:I60)</f>
        <v>1396616</v>
      </c>
      <c r="K60" s="41"/>
      <c r="L60" s="41"/>
      <c r="M60" s="42">
        <f t="shared" ref="M60:M71" si="8">E60-ROUND(SUM($W60/1000),0)</f>
        <v>19274</v>
      </c>
      <c r="N60" s="43" t="s">
        <v>28</v>
      </c>
      <c r="O60" s="44"/>
      <c r="P60" s="4"/>
      <c r="Q60" s="4">
        <f>SUM(E60:E64,E69:E71)</f>
        <v>122419</v>
      </c>
      <c r="R60" s="4">
        <f>SUM(F60:F64,F69:F71)</f>
        <v>5568269</v>
      </c>
      <c r="S60" s="4">
        <f>SUM(G60:G64,G69:G71)</f>
        <v>3857947</v>
      </c>
      <c r="T60" s="4">
        <f>SUM(H60:H64,H69:H71)</f>
        <v>96129</v>
      </c>
      <c r="U60" s="45">
        <f>SUM(I60:I64,I69:I71)</f>
        <v>90653</v>
      </c>
      <c r="V60" s="145">
        <f>'BGS PTY23 Cost Alloc'!V60</f>
        <v>45292</v>
      </c>
      <c r="W60" s="42">
        <f>'BGS PTY23 Cost Alloc'!W60</f>
        <v>714168.30594957422</v>
      </c>
      <c r="X60" s="42">
        <f>'BGS PTY23 Cost Alloc'!X60</f>
        <v>47310.450338394672</v>
      </c>
      <c r="Y60" s="4">
        <f t="shared" ref="Y60:Y71" si="9">W60-X60</f>
        <v>666857.85561117949</v>
      </c>
      <c r="Z60" s="42">
        <f>'BGS PTY23 Cost Alloc'!Z60</f>
        <v>1738459.1219203153</v>
      </c>
      <c r="AA60" s="42">
        <f>'BGS PTY23 Cost Alloc'!AA60</f>
        <v>19273.66750889063</v>
      </c>
      <c r="AB60" s="42">
        <f>'BGS PTY23 Cost Alloc'!AB60</f>
        <v>841894.94779618143</v>
      </c>
      <c r="AC60" s="42">
        <f>'BGS PTY23 Cost Alloc'!AC60</f>
        <v>507092.13169780897</v>
      </c>
      <c r="AD60" s="42">
        <f>'BGS PTY23 Cost Alloc'!AD60</f>
        <v>559184.237697809</v>
      </c>
      <c r="AG60" s="42">
        <f>'BGS PTY23 Cost Alloc'!AG60</f>
        <v>14625.477903780222</v>
      </c>
    </row>
    <row r="61" spans="1:33" x14ac:dyDescent="0.6">
      <c r="A61" s="7"/>
      <c r="B61" s="23" t="s">
        <v>2</v>
      </c>
      <c r="C61" s="41"/>
      <c r="D61" s="41"/>
      <c r="E61" s="42">
        <f>'BGS PTY23 Cost Alloc'!E61</f>
        <v>20407</v>
      </c>
      <c r="F61" s="42">
        <f>'BGS PTY23 Cost Alloc'!F61</f>
        <v>815975</v>
      </c>
      <c r="G61" s="42">
        <f>'BGS PTY23 Cost Alloc'!G61</f>
        <v>519777</v>
      </c>
      <c r="H61" s="42">
        <f>'BGS PTY23 Cost Alloc'!H61</f>
        <v>13590</v>
      </c>
      <c r="I61" s="42">
        <f>'BGS PTY23 Cost Alloc'!I61</f>
        <v>11326</v>
      </c>
      <c r="J61" s="42">
        <f t="shared" si="7"/>
        <v>1381075</v>
      </c>
      <c r="K61" s="41"/>
      <c r="L61" s="41"/>
      <c r="M61" s="42">
        <f t="shared" si="8"/>
        <v>19714</v>
      </c>
      <c r="N61" s="43"/>
      <c r="O61" s="44"/>
      <c r="P61" s="73" t="s">
        <v>193</v>
      </c>
      <c r="Q61" s="4">
        <f>SUMPRODUCT(E33:E37,M60:M64)+SUMPRODUCT(E42:E44,M69:M71)</f>
        <v>42194.068100000004</v>
      </c>
      <c r="S61" s="5" t="s">
        <v>177</v>
      </c>
      <c r="T61" s="4">
        <f>SUMPRODUCT(H33:H37,H60:H64)+SUMPRODUCT(H42:H44,H69:H71)</f>
        <v>40633.899299999997</v>
      </c>
      <c r="U61" s="40">
        <f>T61/T60</f>
        <v>0.42270177885965732</v>
      </c>
      <c r="V61" s="145">
        <f>'BGS PTY23 Cost Alloc'!V61</f>
        <v>45323</v>
      </c>
      <c r="W61" s="42">
        <f>'BGS PTY23 Cost Alloc'!W61</f>
        <v>692855.51320816192</v>
      </c>
      <c r="X61" s="42">
        <f>'BGS PTY23 Cost Alloc'!X61</f>
        <v>21418.423384593865</v>
      </c>
      <c r="Y61" s="4">
        <f t="shared" si="9"/>
        <v>671437.08982356801</v>
      </c>
      <c r="Z61" s="42">
        <f>'BGS PTY23 Cost Alloc'!Z61</f>
        <v>1643777.4472847255</v>
      </c>
      <c r="AA61" s="42">
        <f>'BGS PTY23 Cost Alloc'!AA61</f>
        <v>19713.802880403193</v>
      </c>
      <c r="AB61" s="42">
        <f>'BGS PTY23 Cost Alloc'!AB61</f>
        <v>814330.98314831348</v>
      </c>
      <c r="AC61" s="42">
        <f>'BGS PTY23 Cost Alloc'!AC61</f>
        <v>519797.88675883482</v>
      </c>
      <c r="AD61" s="42">
        <f>'BGS PTY23 Cost Alloc'!AD61</f>
        <v>569419.8887588348</v>
      </c>
      <c r="AG61" s="42">
        <f>'BGS PTY23 Cost Alloc'!AG61</f>
        <v>13590.015416756458</v>
      </c>
    </row>
    <row r="62" spans="1:33" x14ac:dyDescent="0.6">
      <c r="A62" s="7"/>
      <c r="B62" s="23" t="s">
        <v>3</v>
      </c>
      <c r="C62" s="41"/>
      <c r="D62" s="41"/>
      <c r="E62" s="42">
        <f>'BGS PTY23 Cost Alloc'!E62</f>
        <v>18383</v>
      </c>
      <c r="F62" s="42">
        <f>'BGS PTY23 Cost Alloc'!F62</f>
        <v>744210</v>
      </c>
      <c r="G62" s="42">
        <f>'BGS PTY23 Cost Alloc'!G62</f>
        <v>518622</v>
      </c>
      <c r="H62" s="42">
        <f>'BGS PTY23 Cost Alloc'!H62</f>
        <v>9553</v>
      </c>
      <c r="I62" s="42">
        <f>'BGS PTY23 Cost Alloc'!I62</f>
        <v>11328</v>
      </c>
      <c r="J62" s="42">
        <f t="shared" si="7"/>
        <v>1302096</v>
      </c>
      <c r="K62" s="41"/>
      <c r="L62" s="41"/>
      <c r="M62" s="42">
        <f t="shared" si="8"/>
        <v>17735</v>
      </c>
      <c r="N62" s="43"/>
      <c r="O62" s="44"/>
      <c r="P62" s="73" t="s">
        <v>194</v>
      </c>
      <c r="Q62" s="4">
        <f>SUMPRODUCT(Q33:Q37,M60:M64)+SUMPRODUCT(Q42:Q44,M69:M71)</f>
        <v>75293.931899999996</v>
      </c>
      <c r="S62" s="5" t="s">
        <v>178</v>
      </c>
      <c r="T62" s="4">
        <f>+T60-T61</f>
        <v>55495.100700000003</v>
      </c>
      <c r="U62" s="40"/>
      <c r="V62" s="145">
        <f>'BGS PTY23 Cost Alloc'!V62</f>
        <v>45352</v>
      </c>
      <c r="W62" s="42">
        <f>'BGS PTY23 Cost Alloc'!W62</f>
        <v>648016.79527891637</v>
      </c>
      <c r="X62" s="42">
        <f>'BGS PTY23 Cost Alloc'!X62</f>
        <v>22276.405216539217</v>
      </c>
      <c r="Y62" s="4">
        <f t="shared" si="9"/>
        <v>625740.39006237721</v>
      </c>
      <c r="Z62" s="42">
        <f>'BGS PTY23 Cost Alloc'!Z62</f>
        <v>1659727.5818691335</v>
      </c>
      <c r="AA62" s="42">
        <f>'BGS PTY23 Cost Alloc'!AA62</f>
        <v>17734.532216683052</v>
      </c>
      <c r="AB62" s="42">
        <f>'BGS PTY23 Cost Alloc'!AB62</f>
        <v>742550.45000618196</v>
      </c>
      <c r="AC62" s="42">
        <f>'BGS PTY23 Cost Alloc'!AC62</f>
        <v>518643.91707055306</v>
      </c>
      <c r="AD62" s="42">
        <f>'BGS PTY23 Cost Alloc'!AD62</f>
        <v>568975.51707055303</v>
      </c>
      <c r="AG62" s="42">
        <f>'BGS PTY23 Cost Alloc'!AG62</f>
        <v>9553.2909160512681</v>
      </c>
    </row>
    <row r="63" spans="1:33" x14ac:dyDescent="0.6">
      <c r="A63" s="7"/>
      <c r="B63" s="23" t="s">
        <v>4</v>
      </c>
      <c r="C63" s="41"/>
      <c r="D63" s="41"/>
      <c r="E63" s="42">
        <f>'BGS PTY23 Cost Alloc'!E63</f>
        <v>14553</v>
      </c>
      <c r="F63" s="42">
        <f>'BGS PTY23 Cost Alloc'!F63</f>
        <v>628002</v>
      </c>
      <c r="G63" s="42">
        <f>'BGS PTY23 Cost Alloc'!G63</f>
        <v>482815</v>
      </c>
      <c r="H63" s="42">
        <f>'BGS PTY23 Cost Alloc'!H63</f>
        <v>12445</v>
      </c>
      <c r="I63" s="42">
        <f>'BGS PTY23 Cost Alloc'!I63</f>
        <v>11329</v>
      </c>
      <c r="J63" s="42">
        <f t="shared" si="7"/>
        <v>1149144</v>
      </c>
      <c r="K63" s="41"/>
      <c r="L63" s="41"/>
      <c r="M63" s="42">
        <f t="shared" si="8"/>
        <v>13876</v>
      </c>
      <c r="N63" s="39"/>
      <c r="P63" s="73" t="s">
        <v>195</v>
      </c>
      <c r="Q63" s="4">
        <f>SUM(W60:W64,W69:W71)/1000</f>
        <v>4931.8421941814795</v>
      </c>
      <c r="U63" s="40"/>
      <c r="V63" s="145">
        <f>'BGS PTY23 Cost Alloc'!V63</f>
        <v>45383</v>
      </c>
      <c r="W63" s="42">
        <f>'BGS PTY23 Cost Alloc'!W63</f>
        <v>676901.17042294855</v>
      </c>
      <c r="X63" s="42">
        <f>'BGS PTY23 Cost Alloc'!X63</f>
        <v>21934.18980132648</v>
      </c>
      <c r="Y63" s="4">
        <f t="shared" si="9"/>
        <v>654966.98062162206</v>
      </c>
      <c r="Z63" s="42">
        <f>'BGS PTY23 Cost Alloc'!Z63</f>
        <v>1212037.5557268381</v>
      </c>
      <c r="AA63" s="42">
        <f>'BGS PTY23 Cost Alloc'!AA63</f>
        <v>13876.227026417086</v>
      </c>
      <c r="AB63" s="42">
        <f>'BGS PTY23 Cost Alloc'!AB63</f>
        <v>626789.88593615184</v>
      </c>
      <c r="AC63" s="42">
        <f>'BGS PTY23 Cost Alloc'!AC63</f>
        <v>482836.92413725279</v>
      </c>
      <c r="AD63" s="42">
        <f>'BGS PTY23 Cost Alloc'!AD63</f>
        <v>533523.03813725279</v>
      </c>
      <c r="AG63" s="42">
        <f>'BGS PTY23 Cost Alloc'!AG63</f>
        <v>12445.320996005148</v>
      </c>
    </row>
    <row r="64" spans="1:33" x14ac:dyDescent="0.6">
      <c r="A64" s="7"/>
      <c r="B64" s="23" t="s">
        <v>5</v>
      </c>
      <c r="C64" s="41"/>
      <c r="D64" s="41"/>
      <c r="E64" s="42">
        <f>'BGS PTY23 Cost Alloc'!E64</f>
        <v>11833</v>
      </c>
      <c r="F64" s="42">
        <f>'BGS PTY23 Cost Alloc'!F64</f>
        <v>571865</v>
      </c>
      <c r="G64" s="42">
        <f>'BGS PTY23 Cost Alloc'!G64</f>
        <v>459712</v>
      </c>
      <c r="H64" s="42">
        <f>'BGS PTY23 Cost Alloc'!H64</f>
        <v>9659</v>
      </c>
      <c r="I64" s="42">
        <f>'BGS PTY23 Cost Alloc'!I64</f>
        <v>11331</v>
      </c>
      <c r="J64" s="42">
        <f t="shared" si="7"/>
        <v>1064400</v>
      </c>
      <c r="K64" s="41"/>
      <c r="L64" s="41"/>
      <c r="M64" s="42">
        <f t="shared" si="8"/>
        <v>11197</v>
      </c>
      <c r="N64" s="43" t="s">
        <v>29</v>
      </c>
      <c r="O64" s="44"/>
      <c r="P64" s="4"/>
      <c r="Q64" s="4">
        <f>+SUM(E65:E68)</f>
        <v>63333</v>
      </c>
      <c r="R64" s="4">
        <f>+SUM(F65:F68)</f>
        <v>4094064</v>
      </c>
      <c r="S64" s="4">
        <f>+SUM(G65:G68)</f>
        <v>2176849</v>
      </c>
      <c r="T64" s="4">
        <f>+SUM(H65:H68)</f>
        <v>55477</v>
      </c>
      <c r="U64" s="45">
        <f>+SUM(I65:I68)</f>
        <v>45335</v>
      </c>
      <c r="V64" s="145">
        <f>'BGS PTY23 Cost Alloc'!V64</f>
        <v>45413</v>
      </c>
      <c r="W64" s="42">
        <f>'BGS PTY23 Cost Alloc'!W64</f>
        <v>636395.67878371244</v>
      </c>
      <c r="X64" s="42">
        <f>'BGS PTY23 Cost Alloc'!X64</f>
        <v>22681.790941956795</v>
      </c>
      <c r="Y64" s="4">
        <f t="shared" si="9"/>
        <v>613713.88784175564</v>
      </c>
      <c r="Z64" s="42">
        <f>'BGS PTY23 Cost Alloc'!Z64</f>
        <v>904569.00992310338</v>
      </c>
      <c r="AA64" s="42">
        <f>'BGS PTY23 Cost Alloc'!AA64</f>
        <v>11196.665442697637</v>
      </c>
      <c r="AB64" s="42">
        <f>'BGS PTY23 Cost Alloc'!AB64</f>
        <v>570959.70451932971</v>
      </c>
      <c r="AC64" s="42">
        <f>'BGS PTY23 Cost Alloc'!AC64</f>
        <v>459735.20092025131</v>
      </c>
      <c r="AD64" s="42">
        <f>'BGS PTY23 Cost Alloc'!AD64</f>
        <v>513375.83192025131</v>
      </c>
      <c r="AG64" s="42">
        <f>'BGS PTY23 Cost Alloc'!AG64</f>
        <v>9659.1007647379338</v>
      </c>
    </row>
    <row r="65" spans="1:34" x14ac:dyDescent="0.6">
      <c r="A65" s="7"/>
      <c r="B65" s="23" t="s">
        <v>6</v>
      </c>
      <c r="C65" s="41"/>
      <c r="D65" s="41"/>
      <c r="E65" s="42">
        <f>'BGS PTY23 Cost Alloc'!E65</f>
        <v>13312</v>
      </c>
      <c r="F65" s="42">
        <f>'BGS PTY23 Cost Alloc'!F65</f>
        <v>761373</v>
      </c>
      <c r="G65" s="42">
        <f>'BGS PTY23 Cost Alloc'!G65</f>
        <v>495571</v>
      </c>
      <c r="H65" s="42">
        <f>'BGS PTY23 Cost Alloc'!H65</f>
        <v>16388</v>
      </c>
      <c r="I65" s="42">
        <f>'BGS PTY23 Cost Alloc'!I65</f>
        <v>11332</v>
      </c>
      <c r="J65" s="42">
        <f t="shared" si="7"/>
        <v>1297976</v>
      </c>
      <c r="K65" s="41"/>
      <c r="L65" s="42"/>
      <c r="M65" s="42">
        <f t="shared" si="8"/>
        <v>12698</v>
      </c>
      <c r="N65" s="43"/>
      <c r="O65" s="44"/>
      <c r="P65" s="135" t="s">
        <v>151</v>
      </c>
      <c r="Q65" s="42">
        <f>SUMPRODUCT(E38:E41,M65:M68)</f>
        <v>25811.838199999998</v>
      </c>
      <c r="R65" s="42">
        <f>'BGS PTY23 Cost Alloc'!R65</f>
        <v>1972746.6948457141</v>
      </c>
      <c r="S65" s="5" t="s">
        <v>177</v>
      </c>
      <c r="T65" s="4">
        <f>+SUMPRODUCT(H38:H41,H65:H68)</f>
        <v>24685.819600000003</v>
      </c>
      <c r="U65" s="46">
        <f>T65/T64</f>
        <v>0.44497394595958689</v>
      </c>
      <c r="V65" s="145">
        <f>'BGS PTY23 Cost Alloc'!V65</f>
        <v>45444</v>
      </c>
      <c r="W65" s="42">
        <f>'BGS PTY23 Cost Alloc'!W65</f>
        <v>613594.85607070883</v>
      </c>
      <c r="X65" s="42">
        <f>'BGS PTY23 Cost Alloc'!X65</f>
        <v>22881.285699461809</v>
      </c>
      <c r="Y65" s="4">
        <f t="shared" si="9"/>
        <v>590713.57037124701</v>
      </c>
      <c r="Z65" s="42">
        <f>'BGS PTY23 Cost Alloc'!Z65</f>
        <v>952653.87326650089</v>
      </c>
      <c r="AA65" s="42">
        <f>'BGS PTY23 Cost Alloc'!AA65</f>
        <v>11746.241032176536</v>
      </c>
      <c r="AB65" s="42">
        <f>'BGS PTY23 Cost Alloc'!AB65</f>
        <v>761373.4250645896</v>
      </c>
      <c r="AC65" s="42">
        <f>'BGS PTY23 Cost Alloc'!AC65</f>
        <v>495594.03724929888</v>
      </c>
      <c r="AD65" s="42">
        <f>'BGS PTY23 Cost Alloc'!AD65</f>
        <v>546749.84124929889</v>
      </c>
      <c r="AG65" s="42">
        <f>'BGS PTY23 Cost Alloc'!AG65</f>
        <v>16387.796025361931</v>
      </c>
    </row>
    <row r="66" spans="1:34" x14ac:dyDescent="0.6">
      <c r="A66" s="7"/>
      <c r="B66" s="23" t="s">
        <v>7</v>
      </c>
      <c r="C66" s="41"/>
      <c r="D66" s="41"/>
      <c r="E66" s="42">
        <f>'BGS PTY23 Cost Alloc'!E66</f>
        <v>16459</v>
      </c>
      <c r="F66" s="42">
        <f>'BGS PTY23 Cost Alloc'!F66</f>
        <v>1076835</v>
      </c>
      <c r="G66" s="42">
        <f>'BGS PTY23 Cost Alloc'!G66</f>
        <v>539399</v>
      </c>
      <c r="H66" s="42">
        <f>'BGS PTY23 Cost Alloc'!H66</f>
        <v>11590</v>
      </c>
      <c r="I66" s="42">
        <f>'BGS PTY23 Cost Alloc'!I66</f>
        <v>11333</v>
      </c>
      <c r="J66" s="42">
        <f t="shared" si="7"/>
        <v>1655616</v>
      </c>
      <c r="K66" s="41"/>
      <c r="L66" s="42"/>
      <c r="M66" s="42">
        <f t="shared" si="8"/>
        <v>15958</v>
      </c>
      <c r="N66" s="43"/>
      <c r="O66" s="44"/>
      <c r="P66" s="135" t="s">
        <v>152</v>
      </c>
      <c r="Q66" s="42">
        <f>SUMPRODUCT(Q38:Q41,M65:M68)</f>
        <v>35534.161799999994</v>
      </c>
      <c r="R66" s="42">
        <f>'BGS PTY23 Cost Alloc'!R66</f>
        <v>2121317.3051542863</v>
      </c>
      <c r="S66" s="5" t="s">
        <v>178</v>
      </c>
      <c r="T66" s="4">
        <f>+T64-T65</f>
        <v>30791.180399999997</v>
      </c>
      <c r="U66" s="40"/>
      <c r="V66" s="145">
        <f>'BGS PTY23 Cost Alloc'!V66</f>
        <v>45474</v>
      </c>
      <c r="W66" s="42">
        <f>'BGS PTY23 Cost Alloc'!W66</f>
        <v>500681.23129008996</v>
      </c>
      <c r="X66" s="42">
        <f>'BGS PTY23 Cost Alloc'!X66</f>
        <v>9443.1819723864992</v>
      </c>
      <c r="Y66" s="4">
        <f t="shared" si="9"/>
        <v>491238.04931770347</v>
      </c>
      <c r="Z66" s="42">
        <f>'BGS PTY23 Cost Alloc'!Z66</f>
        <v>1158882.6846202938</v>
      </c>
      <c r="AA66" s="42">
        <f>'BGS PTY23 Cost Alloc'!AA66</f>
        <v>14799.32413881928</v>
      </c>
      <c r="AB66" s="42">
        <f>'BGS PTY23 Cost Alloc'!AB66</f>
        <v>1076835.4658018115</v>
      </c>
      <c r="AC66" s="42">
        <f>'BGS PTY23 Cost Alloc'!AC66</f>
        <v>539408.40828659036</v>
      </c>
      <c r="AD66" s="42">
        <f>'BGS PTY23 Cost Alloc'!AD66</f>
        <v>602958.38728659041</v>
      </c>
      <c r="AG66" s="42">
        <f>'BGS PTY23 Cost Alloc'!AG66</f>
        <v>11590.371810094513</v>
      </c>
    </row>
    <row r="67" spans="1:34" x14ac:dyDescent="0.6">
      <c r="A67" s="7"/>
      <c r="B67" s="23" t="s">
        <v>8</v>
      </c>
      <c r="C67" s="41"/>
      <c r="D67" s="41"/>
      <c r="E67" s="42">
        <f>'BGS PTY23 Cost Alloc'!E67</f>
        <v>17740</v>
      </c>
      <c r="F67" s="42">
        <f>'BGS PTY23 Cost Alloc'!F67</f>
        <v>1206905</v>
      </c>
      <c r="G67" s="42">
        <f>'BGS PTY23 Cost Alloc'!G67</f>
        <v>601943</v>
      </c>
      <c r="H67" s="42">
        <f>'BGS PTY23 Cost Alloc'!H67</f>
        <v>14844</v>
      </c>
      <c r="I67" s="42">
        <f>'BGS PTY23 Cost Alloc'!I67</f>
        <v>11334</v>
      </c>
      <c r="J67" s="42">
        <f t="shared" si="7"/>
        <v>1852766</v>
      </c>
      <c r="K67" s="41"/>
      <c r="L67" s="41"/>
      <c r="M67" s="42">
        <f t="shared" si="8"/>
        <v>17290</v>
      </c>
      <c r="N67" s="47"/>
      <c r="O67" s="48"/>
      <c r="P67" s="73" t="s">
        <v>195</v>
      </c>
      <c r="Q67" s="4">
        <f>SUM(W65:W68)/1000</f>
        <v>1986.5429326479127</v>
      </c>
      <c r="R67" s="55"/>
      <c r="S67" s="48"/>
      <c r="T67" s="48"/>
      <c r="U67" s="49"/>
      <c r="V67" s="145">
        <f>'BGS PTY23 Cost Alloc'!V67</f>
        <v>45505</v>
      </c>
      <c r="W67" s="42">
        <f>'BGS PTY23 Cost Alloc'!W67</f>
        <v>450086.96615424543</v>
      </c>
      <c r="X67" s="42">
        <f>'BGS PTY23 Cost Alloc'!X67</f>
        <v>9008.0147961036273</v>
      </c>
      <c r="Y67" s="4">
        <f t="shared" si="9"/>
        <v>441078.95135814179</v>
      </c>
      <c r="Z67" s="42">
        <f>'BGS PTY23 Cost Alloc'!Z67</f>
        <v>1132270.5860206091</v>
      </c>
      <c r="AA67" s="42">
        <f>'BGS PTY23 Cost Alloc'!AA67</f>
        <v>16158.118051931677</v>
      </c>
      <c r="AB67" s="42">
        <f>'BGS PTY23 Cost Alloc'!AB67</f>
        <v>1206904.5696542186</v>
      </c>
      <c r="AC67" s="42">
        <f>'BGS PTY23 Cost Alloc'!AC67</f>
        <v>601952.44049026025</v>
      </c>
      <c r="AD67" s="42">
        <f>'BGS PTY23 Cost Alloc'!AD67</f>
        <v>665882.65649026027</v>
      </c>
      <c r="AG67" s="42">
        <f>'BGS PTY23 Cost Alloc'!AG67</f>
        <v>14844.43914505776</v>
      </c>
    </row>
    <row r="68" spans="1:34" x14ac:dyDescent="0.6">
      <c r="A68" s="7"/>
      <c r="B68" s="23" t="s">
        <v>9</v>
      </c>
      <c r="C68" s="41"/>
      <c r="D68" s="41"/>
      <c r="E68" s="42">
        <f>'BGS PTY23 Cost Alloc'!E68</f>
        <v>15822</v>
      </c>
      <c r="F68" s="42">
        <f>'BGS PTY23 Cost Alloc'!F68</f>
        <v>1048951</v>
      </c>
      <c r="G68" s="42">
        <f>'BGS PTY23 Cost Alloc'!G68</f>
        <v>539936</v>
      </c>
      <c r="H68" s="42">
        <f>'BGS PTY23 Cost Alloc'!H68</f>
        <v>12655</v>
      </c>
      <c r="I68" s="42">
        <f>'BGS PTY23 Cost Alloc'!I68</f>
        <v>11336</v>
      </c>
      <c r="J68" s="42">
        <f t="shared" si="7"/>
        <v>1628700</v>
      </c>
      <c r="K68" s="41"/>
      <c r="L68" s="41"/>
      <c r="M68" s="42">
        <f t="shared" si="8"/>
        <v>15400</v>
      </c>
      <c r="N68" s="34"/>
      <c r="O68" s="35"/>
      <c r="P68" s="35"/>
      <c r="Q68" s="35" t="s">
        <v>130</v>
      </c>
      <c r="R68" s="35"/>
      <c r="S68" s="35"/>
      <c r="T68" s="35"/>
      <c r="U68" s="36"/>
      <c r="V68" s="145">
        <f>'BGS PTY23 Cost Alloc'!V68</f>
        <v>45536</v>
      </c>
      <c r="W68" s="42">
        <f>'BGS PTY23 Cost Alloc'!W68</f>
        <v>422179.87913286843</v>
      </c>
      <c r="X68" s="42">
        <f>'BGS PTY23 Cost Alloc'!X68</f>
        <v>2395.9581832066729</v>
      </c>
      <c r="Y68" s="4">
        <f t="shared" si="9"/>
        <v>419783.92094966176</v>
      </c>
      <c r="Z68" s="42">
        <f>'BGS PTY23 Cost Alloc'!Z68</f>
        <v>1107961.3292800277</v>
      </c>
      <c r="AA68" s="42">
        <f>'BGS PTY23 Cost Alloc'!AA68</f>
        <v>14291.501183564826</v>
      </c>
      <c r="AB68" s="42">
        <f>'BGS PTY23 Cost Alloc'!AB68</f>
        <v>1048950.5176228252</v>
      </c>
      <c r="AC68" s="42">
        <f>'BGS PTY23 Cost Alloc'!AC68</f>
        <v>539937.9740501825</v>
      </c>
      <c r="AD68" s="42">
        <f>'BGS PTY23 Cost Alloc'!AD68</f>
        <v>603850.56805018254</v>
      </c>
      <c r="AG68" s="42">
        <f>'BGS PTY23 Cost Alloc'!AG68</f>
        <v>12654.634464283474</v>
      </c>
    </row>
    <row r="69" spans="1:34" x14ac:dyDescent="0.6">
      <c r="A69" s="7"/>
      <c r="B69" s="23" t="s">
        <v>10</v>
      </c>
      <c r="C69" s="41"/>
      <c r="D69" s="41"/>
      <c r="E69" s="42">
        <f>'BGS PTY23 Cost Alloc'!E69</f>
        <v>10836</v>
      </c>
      <c r="F69" s="42">
        <f>'BGS PTY23 Cost Alloc'!F69</f>
        <v>686079</v>
      </c>
      <c r="G69" s="42">
        <f>'BGS PTY23 Cost Alloc'!G69</f>
        <v>456166</v>
      </c>
      <c r="H69" s="42">
        <f>'BGS PTY23 Cost Alloc'!H69</f>
        <v>9518</v>
      </c>
      <c r="I69" s="42">
        <f>'BGS PTY23 Cost Alloc'!I69</f>
        <v>11337</v>
      </c>
      <c r="J69" s="42">
        <f t="shared" si="7"/>
        <v>1173936</v>
      </c>
      <c r="K69" s="41"/>
      <c r="L69" s="41"/>
      <c r="M69" s="42">
        <f t="shared" si="8"/>
        <v>10376</v>
      </c>
      <c r="N69" s="3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38"/>
      <c r="V69" s="145">
        <f>'BGS PTY23 Cost Alloc'!V69</f>
        <v>45566</v>
      </c>
      <c r="W69" s="42">
        <f>'BGS PTY23 Cost Alloc'!W69</f>
        <v>460436.95673340856</v>
      </c>
      <c r="X69" s="42">
        <f>'BGS PTY23 Cost Alloc'!X69</f>
        <v>11800.213112073534</v>
      </c>
      <c r="Y69" s="4">
        <f t="shared" si="9"/>
        <v>448636.74362133502</v>
      </c>
      <c r="Z69" s="42">
        <f>'BGS PTY23 Cost Alloc'!Z69</f>
        <v>858451.66619244311</v>
      </c>
      <c r="AA69" s="42">
        <f>'BGS PTY23 Cost Alloc'!AA69</f>
        <v>10376.467503699943</v>
      </c>
      <c r="AB69" s="42">
        <f>'BGS PTY23 Cost Alloc'!AB69</f>
        <v>685220.84677986358</v>
      </c>
      <c r="AC69" s="42">
        <f>'BGS PTY23 Cost Alloc'!AC69</f>
        <v>456178.46513805812</v>
      </c>
      <c r="AD69" s="42">
        <f>'BGS PTY23 Cost Alloc'!AD69</f>
        <v>511881.17213805811</v>
      </c>
      <c r="AG69" s="42">
        <f>'BGS PTY23 Cost Alloc'!AG69</f>
        <v>9518.0213191605653</v>
      </c>
    </row>
    <row r="70" spans="1:34" x14ac:dyDescent="0.6">
      <c r="A70" s="7"/>
      <c r="B70" s="23" t="s">
        <v>11</v>
      </c>
      <c r="C70" s="41"/>
      <c r="D70" s="41"/>
      <c r="E70" s="42">
        <f>'BGS PTY23 Cost Alloc'!E70</f>
        <v>10921</v>
      </c>
      <c r="F70" s="42">
        <f>'BGS PTY23 Cost Alloc'!F70</f>
        <v>584113</v>
      </c>
      <c r="G70" s="42">
        <f>'BGS PTY23 Cost Alloc'!G70</f>
        <v>445898</v>
      </c>
      <c r="H70" s="42">
        <f>'BGS PTY23 Cost Alloc'!H70</f>
        <v>12458</v>
      </c>
      <c r="I70" s="42">
        <f>'BGS PTY23 Cost Alloc'!I70</f>
        <v>11339</v>
      </c>
      <c r="J70" s="42">
        <f t="shared" si="7"/>
        <v>1064729</v>
      </c>
      <c r="K70" s="41"/>
      <c r="L70" s="41"/>
      <c r="M70" s="42">
        <f t="shared" si="8"/>
        <v>10410</v>
      </c>
      <c r="N70" s="39"/>
      <c r="U70" s="40"/>
      <c r="V70" s="145">
        <f>'BGS PTY23 Cost Alloc'!V70</f>
        <v>45597</v>
      </c>
      <c r="W70" s="42">
        <f>'BGS PTY23 Cost Alloc'!W70</f>
        <v>511102.04542653472</v>
      </c>
      <c r="X70" s="42">
        <f>'BGS PTY23 Cost Alloc'!X70</f>
        <v>11546.055457467051</v>
      </c>
      <c r="Y70" s="4">
        <f t="shared" si="9"/>
        <v>499555.98996906768</v>
      </c>
      <c r="Z70" s="42">
        <f>'BGS PTY23 Cost Alloc'!Z70</f>
        <v>930860.51094852737</v>
      </c>
      <c r="AA70" s="42">
        <f>'BGS PTY23 Cost Alloc'!AA70</f>
        <v>10409.73179752875</v>
      </c>
      <c r="AB70" s="42">
        <f>'BGS PTY23 Cost Alloc'!AB70</f>
        <v>583181.72316450416</v>
      </c>
      <c r="AC70" s="42">
        <f>'BGS PTY23 Cost Alloc'!AC70</f>
        <v>445910.44108129031</v>
      </c>
      <c r="AD70" s="42">
        <f>'BGS PTY23 Cost Alloc'!AD70</f>
        <v>497606.39208129031</v>
      </c>
      <c r="AE70">
        <f>'BGS PTY23 Cost Alloc'!AE70</f>
        <v>0</v>
      </c>
      <c r="AG70" s="42">
        <f>'BGS PTY23 Cost Alloc'!AG70</f>
        <v>12458.436719186797</v>
      </c>
      <c r="AH70">
        <f>'BGS PTY23 Cost Alloc'!AH70</f>
        <v>33841009.719186798</v>
      </c>
    </row>
    <row r="71" spans="1:34" x14ac:dyDescent="0.6">
      <c r="A71" s="7"/>
      <c r="B71" s="23" t="s">
        <v>12</v>
      </c>
      <c r="C71" s="41"/>
      <c r="D71" s="41"/>
      <c r="E71" s="42">
        <f>'BGS PTY23 Cost Alloc'!E71</f>
        <v>15498</v>
      </c>
      <c r="F71" s="42">
        <f>'BGS PTY23 Cost Alloc'!F71</f>
        <v>694392</v>
      </c>
      <c r="G71" s="42">
        <f>'BGS PTY23 Cost Alloc'!G71</f>
        <v>467912</v>
      </c>
      <c r="H71" s="42">
        <f>'BGS PTY23 Cost Alloc'!H71</f>
        <v>14281</v>
      </c>
      <c r="I71" s="42">
        <f>'BGS PTY23 Cost Alloc'!I71</f>
        <v>11338</v>
      </c>
      <c r="J71" s="42">
        <f t="shared" si="7"/>
        <v>1203421</v>
      </c>
      <c r="K71" s="41"/>
      <c r="L71" s="41"/>
      <c r="M71" s="42">
        <f t="shared" si="8"/>
        <v>14906</v>
      </c>
      <c r="N71" s="43"/>
      <c r="O71" s="44"/>
      <c r="P71" s="97" t="s">
        <v>148</v>
      </c>
      <c r="Q71" s="4">
        <f>SUM(E60:E64,E69:E71)</f>
        <v>122419</v>
      </c>
      <c r="R71" s="4"/>
      <c r="S71" s="97" t="s">
        <v>148</v>
      </c>
      <c r="T71" s="4">
        <f>SUM(H60:H64,H69:H71)</f>
        <v>96129</v>
      </c>
      <c r="U71" s="45"/>
      <c r="V71" s="145">
        <f>'BGS PTY23 Cost Alloc'!V71</f>
        <v>45627</v>
      </c>
      <c r="W71" s="42">
        <f>'BGS PTY23 Cost Alloc'!W71</f>
        <v>591965.72837822326</v>
      </c>
      <c r="X71" s="42">
        <f>'BGS PTY23 Cost Alloc'!X71</f>
        <v>11634.902384070465</v>
      </c>
      <c r="Y71" s="4">
        <f t="shared" si="9"/>
        <v>580330.82599415281</v>
      </c>
      <c r="Z71" s="42">
        <f>'BGS PTY23 Cost Alloc'!Z71</f>
        <v>1335514.9208051851</v>
      </c>
      <c r="AA71" s="42">
        <f>'BGS PTY23 Cost Alloc'!AA71</f>
        <v>14906.436897410804</v>
      </c>
      <c r="AB71" s="42">
        <f>'BGS PTY23 Cost Alloc'!AB71</f>
        <v>693055.63958504656</v>
      </c>
      <c r="AC71" s="42">
        <f>'BGS PTY23 Cost Alloc'!AC71</f>
        <v>467923.50387229671</v>
      </c>
      <c r="AD71" s="42">
        <f>'BGS PTY23 Cost Alloc'!AD71</f>
        <v>518577.33887229674</v>
      </c>
      <c r="AE71">
        <f>'BGS PTY23 Cost Alloc'!AE71</f>
        <v>0</v>
      </c>
      <c r="AG71" s="42">
        <f>'BGS PTY23 Cost Alloc'!AG71</f>
        <v>14280.638364827864</v>
      </c>
      <c r="AH71">
        <f>'BGS PTY23 Cost Alloc'!AH71</f>
        <v>36658867.364827864</v>
      </c>
    </row>
    <row r="72" spans="1:34" x14ac:dyDescent="0.6">
      <c r="A72" s="7"/>
      <c r="B72" s="50" t="s">
        <v>13</v>
      </c>
      <c r="C72" s="4"/>
      <c r="D72" s="4"/>
      <c r="E72" s="4">
        <f>SUM(E60:E71)</f>
        <v>185752</v>
      </c>
      <c r="F72" s="4">
        <f>SUM(F60:F71)</f>
        <v>9662333</v>
      </c>
      <c r="G72" s="4">
        <f>SUM(G60:G71)</f>
        <v>6034796</v>
      </c>
      <c r="H72" s="4">
        <f>SUM(H60:H71)</f>
        <v>151606</v>
      </c>
      <c r="I72" s="4">
        <f>SUM(I60:I71)</f>
        <v>135988</v>
      </c>
      <c r="J72" s="4">
        <f t="shared" si="7"/>
        <v>16170475</v>
      </c>
      <c r="K72" s="4"/>
      <c r="L72" s="4"/>
      <c r="M72" s="4">
        <f>SUM(M60:M71)</f>
        <v>178834</v>
      </c>
      <c r="N72" s="43"/>
      <c r="O72" s="44"/>
      <c r="P72" s="73" t="s">
        <v>146</v>
      </c>
      <c r="Q72" s="4">
        <f>SUMPRODUCT(E15:E19,E60:E64)+SUMPRODUCT(E24:E26,E69:E71)</f>
        <v>58300.455999999998</v>
      </c>
      <c r="R72">
        <f>Q72/Q71</f>
        <v>0.47623698935622738</v>
      </c>
      <c r="S72" s="73" t="s">
        <v>177</v>
      </c>
      <c r="T72" s="4">
        <f>SUMPRODUCT(H15:H19,H60:H64)+SUMPRODUCT(H24:H26,H69:H71)</f>
        <v>51619.949299999993</v>
      </c>
      <c r="U72" s="40">
        <f>T72/T71</f>
        <v>0.5369862299618221</v>
      </c>
      <c r="W72" s="4">
        <f t="shared" ref="W72:AD72" si="10">SUM(W60:W71)</f>
        <v>6918385.1268293932</v>
      </c>
      <c r="X72" s="4">
        <f t="shared" si="10"/>
        <v>214330.87128758073</v>
      </c>
      <c r="Y72" s="4">
        <f t="shared" si="10"/>
        <v>6704054.2555418108</v>
      </c>
      <c r="Z72" s="4">
        <f t="shared" si="10"/>
        <v>14635166.287857704</v>
      </c>
      <c r="AA72" s="4">
        <f t="shared" si="10"/>
        <v>174482.71568022342</v>
      </c>
      <c r="AB72" s="4">
        <f t="shared" si="10"/>
        <v>9652048.1590790171</v>
      </c>
      <c r="AC72" s="4">
        <f t="shared" si="10"/>
        <v>6035011.3307526782</v>
      </c>
      <c r="AD72" s="4">
        <f t="shared" si="10"/>
        <v>6691984.869752679</v>
      </c>
      <c r="AE72">
        <f>'BGS PTY23 Cost Alloc'!AE72</f>
        <v>0</v>
      </c>
      <c r="AG72" s="4">
        <f>SUM(AG60:AG71)</f>
        <v>151607.54384530394</v>
      </c>
      <c r="AH72">
        <f>'BGS PTY23 Cost Alloc'!AH72</f>
        <v>429974947.84530389</v>
      </c>
    </row>
    <row r="73" spans="1:34" x14ac:dyDescent="0.6">
      <c r="A73" s="7"/>
      <c r="B73" s="23"/>
      <c r="J73" s="51"/>
      <c r="N73" s="43"/>
      <c r="O73" s="44"/>
      <c r="P73" s="73" t="s">
        <v>145</v>
      </c>
      <c r="Q73" s="4">
        <f>+Q71-Q72</f>
        <v>64118.544000000002</v>
      </c>
      <c r="S73" s="73" t="s">
        <v>178</v>
      </c>
      <c r="T73" s="4">
        <f>+T71-T72</f>
        <v>44509.050700000007</v>
      </c>
      <c r="U73" s="40"/>
    </row>
    <row r="74" spans="1:34" ht="15.5" x14ac:dyDescent="0.7">
      <c r="A74" s="7"/>
      <c r="N74" s="39"/>
      <c r="U74" s="40"/>
      <c r="V74" s="5" t="s">
        <v>181</v>
      </c>
      <c r="W74" t="s">
        <v>185</v>
      </c>
      <c r="X74" t="s">
        <v>184</v>
      </c>
      <c r="Y74" t="s">
        <v>182</v>
      </c>
      <c r="Z74" t="s">
        <v>183</v>
      </c>
      <c r="AB74" t="s">
        <v>186</v>
      </c>
      <c r="AC74" t="s">
        <v>211</v>
      </c>
      <c r="AE74" s="13"/>
    </row>
    <row r="75" spans="1:34" x14ac:dyDescent="0.6">
      <c r="A75" s="6" t="s">
        <v>37</v>
      </c>
      <c r="B75" s="1" t="s">
        <v>19</v>
      </c>
      <c r="G75" s="52" t="s">
        <v>32</v>
      </c>
      <c r="H75" s="1" t="s">
        <v>175</v>
      </c>
      <c r="N75" s="43"/>
      <c r="O75" s="44"/>
      <c r="P75" s="93" t="s">
        <v>149</v>
      </c>
      <c r="Q75" s="4">
        <f>+SUM(E65:E68)</f>
        <v>63333</v>
      </c>
      <c r="R75" s="2"/>
      <c r="S75" s="93" t="s">
        <v>149</v>
      </c>
      <c r="T75" s="4">
        <f>+SUM(H65:H68)</f>
        <v>55477</v>
      </c>
      <c r="U75" s="38"/>
      <c r="V75" s="4">
        <f t="shared" ref="V75:V86" si="11">W60-W75</f>
        <v>269747.51447884546</v>
      </c>
      <c r="W75" s="4">
        <f t="shared" ref="W75:W86" si="12">SUM(X75:Z75)</f>
        <v>444420.79147072876</v>
      </c>
      <c r="X75" s="42">
        <f>'BGS PTY23 Cost Alloc'!X75</f>
        <v>43562.586415394595</v>
      </c>
      <c r="Y75" s="42">
        <f>'BGS PTY23 Cost Alloc'!Y75</f>
        <v>396190.27898937667</v>
      </c>
      <c r="Z75" s="42">
        <f>'BGS PTY23 Cost Alloc'!Z75</f>
        <v>4667.9260659574775</v>
      </c>
      <c r="AA75" s="4"/>
      <c r="AB75">
        <f t="shared" ref="AB75:AB86" si="13">(V75*$AA$94+W75*$AA$95)/1000</f>
        <v>158.53057255755039</v>
      </c>
      <c r="AC75">
        <f t="shared" ref="AC75:AC86" si="14">(W60/1000)-AB75</f>
        <v>555.63773339202385</v>
      </c>
    </row>
    <row r="76" spans="1:34" x14ac:dyDescent="0.6">
      <c r="A76" s="7"/>
      <c r="B76" s="15" t="s">
        <v>21</v>
      </c>
      <c r="G76" s="18"/>
      <c r="H76" s="16" t="s">
        <v>174</v>
      </c>
      <c r="N76" s="43"/>
      <c r="O76" s="44"/>
      <c r="P76" s="73" t="s">
        <v>146</v>
      </c>
      <c r="Q76" s="4">
        <f>+SUMPRODUCT(E20:E23,E65:E68)</f>
        <v>32944.4827</v>
      </c>
      <c r="R76">
        <f>Q76/Q75</f>
        <v>0.52017878041463372</v>
      </c>
      <c r="S76" s="5" t="s">
        <v>177</v>
      </c>
      <c r="T76" s="4">
        <f>+SUMPRODUCT(H20:H23,H65:H68)</f>
        <v>31103.506000000001</v>
      </c>
      <c r="U76" s="40">
        <f>T76/T75</f>
        <v>0.56065587540782669</v>
      </c>
      <c r="V76" s="4">
        <f t="shared" si="11"/>
        <v>264212.51254411967</v>
      </c>
      <c r="W76" s="4">
        <f t="shared" si="12"/>
        <v>428643.00066404225</v>
      </c>
      <c r="X76" s="42">
        <f>'BGS PTY23 Cost Alloc'!X76</f>
        <v>18066.514060241632</v>
      </c>
      <c r="Y76" s="42">
        <f>'BGS PTY23 Cost Alloc'!Y76</f>
        <v>406582.85793362715</v>
      </c>
      <c r="Z76" s="42">
        <f>'BGS PTY23 Cost Alloc'!Z76</f>
        <v>3993.6286701734825</v>
      </c>
      <c r="AA76" s="4"/>
      <c r="AB76">
        <f t="shared" si="13"/>
        <v>153.38357024908763</v>
      </c>
      <c r="AC76">
        <f t="shared" si="14"/>
        <v>539.47194295907434</v>
      </c>
    </row>
    <row r="77" spans="1:34" x14ac:dyDescent="0.6">
      <c r="A77" s="7"/>
      <c r="C77" s="2" t="s">
        <v>221</v>
      </c>
      <c r="D77" s="2" t="s">
        <v>218</v>
      </c>
      <c r="E77" s="2" t="s">
        <v>221</v>
      </c>
      <c r="F77" s="2" t="s">
        <v>218</v>
      </c>
      <c r="G77" s="2"/>
      <c r="N77" s="53"/>
      <c r="O77" s="54"/>
      <c r="P77" s="98" t="s">
        <v>145</v>
      </c>
      <c r="Q77" s="55">
        <f>Q75-Q76</f>
        <v>30388.5173</v>
      </c>
      <c r="R77" s="48"/>
      <c r="S77" s="111" t="s">
        <v>178</v>
      </c>
      <c r="T77" s="55">
        <f>T75-T76</f>
        <v>24373.493999999999</v>
      </c>
      <c r="U77" s="49"/>
      <c r="V77" s="4">
        <f t="shared" si="11"/>
        <v>252497.96959460346</v>
      </c>
      <c r="W77" s="4">
        <f t="shared" si="12"/>
        <v>395518.82568431291</v>
      </c>
      <c r="X77" s="42">
        <f>'BGS PTY23 Cost Alloc'!X77</f>
        <v>19023.811422903182</v>
      </c>
      <c r="Y77" s="42">
        <f>'BGS PTY23 Cost Alloc'!Y77</f>
        <v>372636.95075745677</v>
      </c>
      <c r="Z77" s="42">
        <f>'BGS PTY23 Cost Alloc'!Z77</f>
        <v>3858.0635039529584</v>
      </c>
      <c r="AA77" s="4"/>
      <c r="AB77">
        <f t="shared" si="13"/>
        <v>142.56664036216864</v>
      </c>
      <c r="AC77">
        <f t="shared" si="14"/>
        <v>505.45015491674769</v>
      </c>
      <c r="AD77" s="4">
        <f>SUM(AB65:AB68)</f>
        <v>4094063.9781434448</v>
      </c>
    </row>
    <row r="78" spans="1:34" x14ac:dyDescent="0.6">
      <c r="A78" s="7"/>
      <c r="C78" s="2" t="s">
        <v>14</v>
      </c>
      <c r="D78" s="2" t="s">
        <v>14</v>
      </c>
      <c r="E78" s="2" t="s">
        <v>15</v>
      </c>
      <c r="F78" s="2" t="s">
        <v>15</v>
      </c>
      <c r="H78" s="2" t="s">
        <v>14</v>
      </c>
      <c r="I78" s="2" t="s">
        <v>15</v>
      </c>
      <c r="N78" s="39"/>
      <c r="Q78" t="s">
        <v>58</v>
      </c>
      <c r="U78" s="40"/>
      <c r="V78" s="4">
        <f t="shared" si="11"/>
        <v>263087.31127706158</v>
      </c>
      <c r="W78" s="4">
        <f t="shared" si="12"/>
        <v>413813.85914588696</v>
      </c>
      <c r="X78" s="42">
        <f>'BGS PTY23 Cost Alloc'!X78</f>
        <v>18184.954093885619</v>
      </c>
      <c r="Y78" s="42">
        <f>'BGS PTY23 Cost Alloc'!Y78</f>
        <v>391260.22752627177</v>
      </c>
      <c r="Z78" s="42">
        <f>'BGS PTY23 Cost Alloc'!Z78</f>
        <v>4368.6775257295549</v>
      </c>
      <c r="AA78" s="4"/>
      <c r="AB78">
        <f t="shared" si="13"/>
        <v>149.03139236557615</v>
      </c>
      <c r="AC78">
        <f t="shared" si="14"/>
        <v>527.8697780573724</v>
      </c>
    </row>
    <row r="79" spans="1:34" x14ac:dyDescent="0.6">
      <c r="A79" s="7"/>
      <c r="B79" s="23" t="s">
        <v>1</v>
      </c>
      <c r="C79" s="57">
        <v>61.55</v>
      </c>
      <c r="D79" s="525">
        <f>ROUND(C79*$H$307,3)</f>
        <v>76.135999999999996</v>
      </c>
      <c r="E79" s="57">
        <v>51.854999999999997</v>
      </c>
      <c r="F79" s="525">
        <f>ROUND(E79*$H$307,3)</f>
        <v>64.144000000000005</v>
      </c>
      <c r="H79" s="28">
        <v>0.82655718005207302</v>
      </c>
      <c r="I79" s="28">
        <v>0.89724072312083725</v>
      </c>
      <c r="L79" s="42"/>
      <c r="N79" s="3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38"/>
      <c r="V79" s="4">
        <f t="shared" si="11"/>
        <v>260048.98563846748</v>
      </c>
      <c r="W79" s="4">
        <f t="shared" si="12"/>
        <v>376346.69314524496</v>
      </c>
      <c r="X79" s="42">
        <f>'BGS PTY23 Cost Alloc'!X79</f>
        <v>18811.209548180079</v>
      </c>
      <c r="Y79" s="42">
        <f>'BGS PTY23 Cost Alloc'!Y79</f>
        <v>353815.48958144424</v>
      </c>
      <c r="Z79" s="42">
        <f>'BGS PTY23 Cost Alloc'!Z79</f>
        <v>3719.9940156206694</v>
      </c>
      <c r="AA79" s="4"/>
      <c r="AB79">
        <f t="shared" si="13"/>
        <v>138.01195942421472</v>
      </c>
      <c r="AC79">
        <f t="shared" si="14"/>
        <v>498.38371935949772</v>
      </c>
    </row>
    <row r="80" spans="1:34" x14ac:dyDescent="0.6">
      <c r="A80" s="7"/>
      <c r="B80" s="23" t="s">
        <v>2</v>
      </c>
      <c r="C80" s="57">
        <v>55.7</v>
      </c>
      <c r="D80" s="525">
        <f>ROUND(C80*$H$307,3)</f>
        <v>68.900000000000006</v>
      </c>
      <c r="E80" s="57">
        <v>48.613999999999997</v>
      </c>
      <c r="F80" s="525">
        <f>ROUND(E80*$H$307,3)</f>
        <v>60.134999999999998</v>
      </c>
      <c r="H80" s="152">
        <f>H79</f>
        <v>0.82655718005207302</v>
      </c>
      <c r="I80" s="152">
        <f>I79</f>
        <v>0.89724072312083725</v>
      </c>
      <c r="L80" s="117"/>
      <c r="N80" s="39"/>
      <c r="U80" s="40"/>
      <c r="V80" s="4">
        <f t="shared" si="11"/>
        <v>242995.39314966428</v>
      </c>
      <c r="W80" s="4">
        <f t="shared" si="12"/>
        <v>370599.46292104456</v>
      </c>
      <c r="X80" s="42">
        <f>'BGS PTY23 Cost Alloc'!X80</f>
        <v>20065.620016285789</v>
      </c>
      <c r="Y80" s="42">
        <f>'BGS PTY23 Cost Alloc'!Y80</f>
        <v>347295.3619976028</v>
      </c>
      <c r="Z80" s="42">
        <f>'BGS PTY23 Cost Alloc'!Z80</f>
        <v>3238.4809071559698</v>
      </c>
      <c r="AA80" s="4"/>
      <c r="AB80">
        <f t="shared" si="13"/>
        <v>134.34694073196505</v>
      </c>
      <c r="AC80">
        <f t="shared" si="14"/>
        <v>479.24791533874378</v>
      </c>
    </row>
    <row r="81" spans="1:29" x14ac:dyDescent="0.6">
      <c r="A81" s="7"/>
      <c r="B81" s="23" t="s">
        <v>3</v>
      </c>
      <c r="C81" s="57">
        <v>48.2</v>
      </c>
      <c r="D81" s="525">
        <f>ROUND(C81*$H$307,3)</f>
        <v>59.622</v>
      </c>
      <c r="E81" s="57">
        <v>34.878999999999998</v>
      </c>
      <c r="F81" s="525">
        <f>ROUND(E81*$H$307,3)</f>
        <v>43.145000000000003</v>
      </c>
      <c r="H81" s="152">
        <f>H79</f>
        <v>0.82655718005207302</v>
      </c>
      <c r="I81" s="152">
        <f>I79</f>
        <v>0.89724072312083725</v>
      </c>
      <c r="L81" s="117"/>
      <c r="N81" s="43"/>
      <c r="O81" s="44"/>
      <c r="P81" s="97" t="s">
        <v>26</v>
      </c>
      <c r="Q81" s="4"/>
      <c r="R81" s="4"/>
      <c r="S81" s="97" t="s">
        <v>26</v>
      </c>
      <c r="T81" s="4"/>
      <c r="U81" s="45"/>
      <c r="V81" s="4">
        <f t="shared" si="11"/>
        <v>212667.78937835235</v>
      </c>
      <c r="W81" s="4">
        <f t="shared" si="12"/>
        <v>288013.44191173761</v>
      </c>
      <c r="X81" s="42">
        <f>'BGS PTY23 Cost Alloc'!X81</f>
        <v>6694.5225045978559</v>
      </c>
      <c r="Y81" s="42">
        <f>'BGS PTY23 Cost Alloc'!Y81</f>
        <v>278234.87276505836</v>
      </c>
      <c r="Z81" s="42">
        <f>'BGS PTY23 Cost Alloc'!Z81</f>
        <v>3084.0466420814123</v>
      </c>
      <c r="AA81" s="4"/>
      <c r="AB81">
        <f t="shared" si="13"/>
        <v>107.24449451741694</v>
      </c>
      <c r="AC81">
        <f t="shared" si="14"/>
        <v>393.43673677267304</v>
      </c>
    </row>
    <row r="82" spans="1:29" x14ac:dyDescent="0.6">
      <c r="A82" s="7"/>
      <c r="B82" s="23" t="s">
        <v>4</v>
      </c>
      <c r="C82" s="57">
        <v>45.5</v>
      </c>
      <c r="D82" s="525">
        <f>ROUND(C82*$H$307,3)</f>
        <v>56.283000000000001</v>
      </c>
      <c r="E82" s="57">
        <v>31.484000000000002</v>
      </c>
      <c r="F82" s="525">
        <f>ROUND(E82*$H$307,3)</f>
        <v>38.945</v>
      </c>
      <c r="H82" s="152">
        <f>H79</f>
        <v>0.82655718005207302</v>
      </c>
      <c r="I82" s="152">
        <f>I79</f>
        <v>0.89724072312083725</v>
      </c>
      <c r="L82" s="117"/>
      <c r="N82" s="43"/>
      <c r="O82" s="44"/>
      <c r="P82" s="73" t="s">
        <v>147</v>
      </c>
      <c r="Q82" s="4">
        <f>Q72-Q61</f>
        <v>16106.387899999994</v>
      </c>
      <c r="S82" s="73" t="s">
        <v>147</v>
      </c>
      <c r="T82" s="4">
        <f>T72-T61</f>
        <v>10986.049999999996</v>
      </c>
      <c r="U82" s="40"/>
      <c r="V82" s="4">
        <f t="shared" si="11"/>
        <v>185947.62078901089</v>
      </c>
      <c r="W82" s="4">
        <f t="shared" si="12"/>
        <v>264139.34536523453</v>
      </c>
      <c r="X82" s="42">
        <f>'BGS PTY23 Cost Alloc'!X82</f>
        <v>6622.8110758945277</v>
      </c>
      <c r="Y82" s="42">
        <f>'BGS PTY23 Cost Alloc'!Y82</f>
        <v>254888.00541652218</v>
      </c>
      <c r="Z82" s="42">
        <f>'BGS PTY23 Cost Alloc'!Z82</f>
        <v>2628.5288728177984</v>
      </c>
      <c r="AA82" s="4"/>
      <c r="AB82">
        <f t="shared" si="13"/>
        <v>97.272412872387719</v>
      </c>
      <c r="AC82">
        <f t="shared" si="14"/>
        <v>352.81455328185768</v>
      </c>
    </row>
    <row r="83" spans="1:29" x14ac:dyDescent="0.6">
      <c r="A83" s="7"/>
      <c r="B83" s="23" t="s">
        <v>5</v>
      </c>
      <c r="C83" s="57">
        <v>47.9</v>
      </c>
      <c r="D83" s="525">
        <f>ROUND(C83*$H$307,3)</f>
        <v>59.250999999999998</v>
      </c>
      <c r="E83" s="57">
        <v>31.561</v>
      </c>
      <c r="F83" s="525">
        <f>ROUND(E83*$H$307,3)</f>
        <v>39.04</v>
      </c>
      <c r="H83" s="152">
        <f>H79</f>
        <v>0.82655718005207302</v>
      </c>
      <c r="I83" s="152">
        <f>I79</f>
        <v>0.89724072312083725</v>
      </c>
      <c r="L83" s="117"/>
      <c r="N83" s="43"/>
      <c r="O83" s="44"/>
      <c r="P83" s="73" t="s">
        <v>150</v>
      </c>
      <c r="Q83" s="118">
        <f>Q82*(E117-E118)</f>
        <v>146187.24716586969</v>
      </c>
      <c r="S83" s="73" t="s">
        <v>150</v>
      </c>
      <c r="T83" s="118">
        <f>T82*(H117-H118)</f>
        <v>100693.90335847021</v>
      </c>
      <c r="U83" s="40"/>
      <c r="V83" s="4">
        <f t="shared" si="11"/>
        <v>179793.60246514203</v>
      </c>
      <c r="W83" s="4">
        <f t="shared" si="12"/>
        <v>242386.2766677264</v>
      </c>
      <c r="X83" s="42">
        <f>'BGS PTY23 Cost Alloc'!X83</f>
        <v>0</v>
      </c>
      <c r="Y83" s="42">
        <f>'BGS PTY23 Cost Alloc'!Y83</f>
        <v>240501.31994765304</v>
      </c>
      <c r="Z83" s="42">
        <f>'BGS PTY23 Cost Alloc'!Z83</f>
        <v>1884.956720073347</v>
      </c>
      <c r="AA83" s="4"/>
      <c r="AB83">
        <f t="shared" si="13"/>
        <v>90.352019698151082</v>
      </c>
      <c r="AC83">
        <f t="shared" si="14"/>
        <v>331.82785943471737</v>
      </c>
    </row>
    <row r="84" spans="1:29" x14ac:dyDescent="0.6">
      <c r="A84" s="7"/>
      <c r="B84" s="155" t="s">
        <v>6</v>
      </c>
      <c r="C84" s="365">
        <v>45.25</v>
      </c>
      <c r="D84" s="526">
        <f>ROUND(C84*$H$306,3)</f>
        <v>61.359000000000002</v>
      </c>
      <c r="E84" s="365">
        <v>29.641999999999999</v>
      </c>
      <c r="F84" s="527">
        <f>ROUND(E84*$H$306,3)</f>
        <v>40.195</v>
      </c>
      <c r="H84" s="108">
        <v>0.83894540765152592</v>
      </c>
      <c r="I84" s="109">
        <v>0.89816700610997968</v>
      </c>
      <c r="L84" s="117"/>
      <c r="N84" s="39"/>
      <c r="Q84" s="3"/>
      <c r="T84" s="3"/>
      <c r="U84" s="40"/>
      <c r="V84" s="4">
        <f t="shared" si="11"/>
        <v>191210.45188976498</v>
      </c>
      <c r="W84" s="4">
        <f t="shared" si="12"/>
        <v>269226.50484364358</v>
      </c>
      <c r="X84" s="42">
        <f>'BGS PTY23 Cost Alloc'!X84</f>
        <v>9392.292584910856</v>
      </c>
      <c r="Y84" s="42">
        <f>'BGS PTY23 Cost Alloc'!Y84</f>
        <v>257324.7072201315</v>
      </c>
      <c r="Z84" s="42">
        <f>'BGS PTY23 Cost Alloc'!Z84</f>
        <v>2509.5050386012094</v>
      </c>
      <c r="AA84" s="4"/>
      <c r="AB84">
        <f t="shared" si="13"/>
        <v>99.346008986013018</v>
      </c>
      <c r="AC84">
        <f t="shared" si="14"/>
        <v>361.09094774739555</v>
      </c>
    </row>
    <row r="85" spans="1:29" x14ac:dyDescent="0.6">
      <c r="A85" s="7"/>
      <c r="B85" s="159" t="s">
        <v>7</v>
      </c>
      <c r="C85" s="57">
        <v>59.8</v>
      </c>
      <c r="D85" s="525">
        <f>ROUND(C85*$H$306,3)</f>
        <v>81.088999999999999</v>
      </c>
      <c r="E85" s="57">
        <v>33.953000000000003</v>
      </c>
      <c r="F85" s="528">
        <f>ROUND(E85*$H$306,3)</f>
        <v>46.040999999999997</v>
      </c>
      <c r="H85" s="150">
        <f t="shared" ref="H85:I87" si="15">H84</f>
        <v>0.83894540765152592</v>
      </c>
      <c r="I85" s="228">
        <f t="shared" si="15"/>
        <v>0.89816700610997968</v>
      </c>
      <c r="L85" s="117"/>
      <c r="N85" s="43"/>
      <c r="O85" s="44"/>
      <c r="P85" s="93" t="s">
        <v>25</v>
      </c>
      <c r="Q85" s="3"/>
      <c r="R85" s="2"/>
      <c r="S85" s="93" t="s">
        <v>25</v>
      </c>
      <c r="T85" s="3"/>
      <c r="U85" s="38"/>
      <c r="V85" s="4">
        <f t="shared" si="11"/>
        <v>212295.19196345087</v>
      </c>
      <c r="W85" s="4">
        <f t="shared" si="12"/>
        <v>298806.85346308385</v>
      </c>
      <c r="X85" s="42">
        <f>'BGS PTY23 Cost Alloc'!X85</f>
        <v>9024.8474578914775</v>
      </c>
      <c r="Y85" s="42">
        <f>'BGS PTY23 Cost Alloc'!Y85</f>
        <v>286788.43041335104</v>
      </c>
      <c r="Z85" s="42">
        <f>'BGS PTY23 Cost Alloc'!Z85</f>
        <v>2993.575591841287</v>
      </c>
      <c r="AA85" s="4"/>
      <c r="AB85">
        <f t="shared" si="13"/>
        <v>110.27037894891853</v>
      </c>
      <c r="AC85">
        <f t="shared" si="14"/>
        <v>400.83166647761618</v>
      </c>
    </row>
    <row r="86" spans="1:29" x14ac:dyDescent="0.6">
      <c r="A86" s="7"/>
      <c r="B86" s="159" t="s">
        <v>8</v>
      </c>
      <c r="C86" s="57">
        <v>53.9</v>
      </c>
      <c r="D86" s="525">
        <f>ROUND(C86*$H$306,3)</f>
        <v>73.088999999999999</v>
      </c>
      <c r="E86" s="57">
        <v>31.780999999999999</v>
      </c>
      <c r="F86" s="528">
        <f>ROUND(E86*$H$306,3)</f>
        <v>43.094999999999999</v>
      </c>
      <c r="H86" s="150">
        <f t="shared" si="15"/>
        <v>0.83894540765152592</v>
      </c>
      <c r="I86" s="228">
        <f t="shared" si="15"/>
        <v>0.89816700610997968</v>
      </c>
      <c r="L86" s="117"/>
      <c r="N86" s="43"/>
      <c r="O86" s="44"/>
      <c r="P86" s="73" t="s">
        <v>147</v>
      </c>
      <c r="Q86" s="4">
        <f>Q76-Q65</f>
        <v>7132.6445000000022</v>
      </c>
      <c r="S86" s="73" t="s">
        <v>147</v>
      </c>
      <c r="T86" s="4">
        <f>T76-T65</f>
        <v>6417.6863999999987</v>
      </c>
      <c r="U86" s="40"/>
      <c r="V86" s="4">
        <f t="shared" si="11"/>
        <v>238090.12874521298</v>
      </c>
      <c r="W86" s="4">
        <f t="shared" si="12"/>
        <v>353875.59963301028</v>
      </c>
      <c r="X86" s="42">
        <f>'BGS PTY23 Cost Alloc'!X86</f>
        <v>8841.6231309367449</v>
      </c>
      <c r="Y86" s="42">
        <f>'BGS PTY23 Cost Alloc'!Y86</f>
        <v>341284.46054332634</v>
      </c>
      <c r="Z86" s="42">
        <f>'BGS PTY23 Cost Alloc'!Z86</f>
        <v>3749.5159587472094</v>
      </c>
      <c r="AA86" s="4"/>
      <c r="AB86">
        <f t="shared" si="13"/>
        <v>129.00579200813326</v>
      </c>
      <c r="AC86">
        <f t="shared" si="14"/>
        <v>462.95993637009002</v>
      </c>
    </row>
    <row r="87" spans="1:29" x14ac:dyDescent="0.6">
      <c r="A87" s="7"/>
      <c r="B87" s="161" t="s">
        <v>9</v>
      </c>
      <c r="C87" s="366">
        <v>46.2</v>
      </c>
      <c r="D87" s="529">
        <f>ROUND(C87*$H$306,3)</f>
        <v>62.648000000000003</v>
      </c>
      <c r="E87" s="366">
        <v>30.376999999999999</v>
      </c>
      <c r="F87" s="530">
        <f>ROUND(E87*$H$306,3)</f>
        <v>41.192</v>
      </c>
      <c r="H87" s="151">
        <f t="shared" si="15"/>
        <v>0.83894540765152592</v>
      </c>
      <c r="I87" s="229">
        <f t="shared" si="15"/>
        <v>0.89816700610997968</v>
      </c>
      <c r="L87" s="117"/>
      <c r="N87" s="53"/>
      <c r="O87" s="54"/>
      <c r="P87" s="98" t="s">
        <v>150</v>
      </c>
      <c r="Q87" s="119">
        <f>Q86*(E113-E114)</f>
        <v>162439.52678537316</v>
      </c>
      <c r="R87" s="48"/>
      <c r="S87" s="98" t="s">
        <v>150</v>
      </c>
      <c r="T87" s="119">
        <f>T86*(H113-H114)</f>
        <v>139845.14018940183</v>
      </c>
      <c r="U87" s="49"/>
      <c r="AA87" s="4"/>
    </row>
    <row r="88" spans="1:29" x14ac:dyDescent="0.6">
      <c r="A88" s="7"/>
      <c r="B88" s="23" t="s">
        <v>10</v>
      </c>
      <c r="C88" s="57">
        <v>44.45</v>
      </c>
      <c r="D88" s="525">
        <f>ROUND(C88*$H$307,3)</f>
        <v>54.984000000000002</v>
      </c>
      <c r="E88" s="57">
        <v>34.762999999999998</v>
      </c>
      <c r="F88" s="525">
        <f>ROUND(E88*$H$307,3)</f>
        <v>43.000999999999998</v>
      </c>
      <c r="H88" s="152">
        <f>H79</f>
        <v>0.82655718005207302</v>
      </c>
      <c r="I88" s="152">
        <f>I79</f>
        <v>0.89724072312083725</v>
      </c>
      <c r="L88" s="117"/>
    </row>
    <row r="89" spans="1:29" x14ac:dyDescent="0.6">
      <c r="A89" s="7"/>
      <c r="B89" s="23" t="s">
        <v>11</v>
      </c>
      <c r="C89" s="57">
        <v>45.95</v>
      </c>
      <c r="D89" s="525">
        <f>ROUND(C89*$H$307,3)</f>
        <v>56.838999999999999</v>
      </c>
      <c r="E89" s="57">
        <v>35.959000000000003</v>
      </c>
      <c r="F89" s="525">
        <f>ROUND(E89*$H$307,3)</f>
        <v>44.481000000000002</v>
      </c>
      <c r="H89" s="152">
        <f>H79</f>
        <v>0.82655718005207302</v>
      </c>
      <c r="I89" s="152">
        <f>I79</f>
        <v>0.89724072312083725</v>
      </c>
      <c r="L89" s="117"/>
    </row>
    <row r="90" spans="1:29" x14ac:dyDescent="0.6">
      <c r="A90" s="7"/>
      <c r="B90" s="23" t="s">
        <v>12</v>
      </c>
      <c r="C90" s="57">
        <v>52.15</v>
      </c>
      <c r="D90" s="525">
        <f>ROUND(C90*$H$307,3)</f>
        <v>64.509</v>
      </c>
      <c r="E90" s="57">
        <v>37.734000000000002</v>
      </c>
      <c r="F90" s="525">
        <f>ROUND(E90*$H$307,3)</f>
        <v>46.676000000000002</v>
      </c>
      <c r="G90" s="28"/>
      <c r="H90" s="152">
        <f>H79</f>
        <v>0.82655718005207302</v>
      </c>
      <c r="I90" s="152">
        <f>I79</f>
        <v>0.89724072312083725</v>
      </c>
      <c r="L90" s="117"/>
    </row>
    <row r="91" spans="1:29" x14ac:dyDescent="0.6">
      <c r="A91" s="7"/>
      <c r="B91" s="23"/>
      <c r="C91" s="57"/>
      <c r="D91" s="57"/>
      <c r="G91" s="28"/>
      <c r="K91" s="28"/>
      <c r="X91" t="s">
        <v>210</v>
      </c>
    </row>
    <row r="92" spans="1:29" x14ac:dyDescent="0.6">
      <c r="A92" s="6" t="s">
        <v>33</v>
      </c>
      <c r="B92" s="32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X92" t="s">
        <v>205</v>
      </c>
      <c r="Y92" s="5" t="s">
        <v>13</v>
      </c>
      <c r="Z92" s="5" t="s">
        <v>13</v>
      </c>
      <c r="AA92" s="5" t="s">
        <v>207</v>
      </c>
    </row>
    <row r="93" spans="1:29" x14ac:dyDescent="0.6">
      <c r="A93" s="7"/>
      <c r="C93" s="5"/>
      <c r="D93" s="5"/>
      <c r="E93" s="5"/>
      <c r="F93" s="5"/>
      <c r="X93" s="10" t="s">
        <v>206</v>
      </c>
      <c r="Y93" s="8" t="s">
        <v>207</v>
      </c>
      <c r="Z93" s="8" t="s">
        <v>208</v>
      </c>
      <c r="AA93" s="8" t="s">
        <v>209</v>
      </c>
    </row>
    <row r="94" spans="1:29" x14ac:dyDescent="0.6">
      <c r="A94" s="7"/>
      <c r="B94" s="23" t="s">
        <v>23</v>
      </c>
      <c r="C94" s="58"/>
      <c r="D94" s="58"/>
      <c r="E94" s="132">
        <f>'BGS PTY23 Cost Alloc'!E94</f>
        <v>0.105545</v>
      </c>
      <c r="F94" s="132">
        <f>'BGS PTY23 Cost Alloc'!F94</f>
        <v>0.105545</v>
      </c>
      <c r="G94" s="132">
        <f>'BGS PTY23 Cost Alloc'!G94</f>
        <v>0.105545</v>
      </c>
      <c r="H94" s="132">
        <f>'BGS PTY23 Cost Alloc'!H94</f>
        <v>0.105545</v>
      </c>
      <c r="I94" s="132">
        <f>'BGS PTY23 Cost Alloc'!I94</f>
        <v>0.105545</v>
      </c>
      <c r="J94" s="58"/>
      <c r="K94" s="58"/>
      <c r="L94" s="58"/>
      <c r="M94" s="58"/>
      <c r="W94" t="s">
        <v>181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29" x14ac:dyDescent="0.6">
      <c r="A95" s="7"/>
      <c r="B95" t="s">
        <v>20</v>
      </c>
      <c r="C95" s="59"/>
      <c r="D95" s="59"/>
      <c r="E95" s="59">
        <f>1/(1-E94)</f>
        <v>1.1179992285805322</v>
      </c>
      <c r="F95" s="59">
        <f>1/(1-F94)</f>
        <v>1.1179992285805322</v>
      </c>
      <c r="G95" s="59">
        <f>1/(1-G94)</f>
        <v>1.1179992285805322</v>
      </c>
      <c r="H95" s="59">
        <f>1/(1-H94)</f>
        <v>1.1179992285805322</v>
      </c>
      <c r="I95" s="59">
        <f>1/(1-I94)</f>
        <v>1.1179992285805322</v>
      </c>
      <c r="J95" s="59"/>
      <c r="K95" s="59"/>
      <c r="L95" s="59"/>
      <c r="M95" s="59"/>
      <c r="W95" t="s">
        <v>204</v>
      </c>
      <c r="X95">
        <f>(9*23+10*29)/52</f>
        <v>9.5576923076923084</v>
      </c>
      <c r="Y95">
        <f>X95*365*5/7</f>
        <v>2491.8269230769229</v>
      </c>
      <c r="Z95">
        <f>365*24</f>
        <v>8760</v>
      </c>
      <c r="AA95">
        <f>Y95/Z95</f>
        <v>0.28445512820512819</v>
      </c>
    </row>
    <row r="96" spans="1:29" x14ac:dyDescent="0.6">
      <c r="A96" s="7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</row>
    <row r="97" spans="1:29" x14ac:dyDescent="0.6">
      <c r="A97" s="7"/>
      <c r="B97" t="s">
        <v>263</v>
      </c>
      <c r="C97" s="59"/>
      <c r="D97" s="59"/>
      <c r="E97" s="224">
        <f>ROUND(1-1/E98,6)</f>
        <v>9.7013000000000002E-2</v>
      </c>
      <c r="F97" s="224">
        <f>ROUND(1-1/F98,6)</f>
        <v>9.7013000000000002E-2</v>
      </c>
      <c r="G97" s="224">
        <f>ROUND(1-1/G98,6)</f>
        <v>9.7013000000000002E-2</v>
      </c>
      <c r="H97" s="224">
        <f>ROUND(1-1/H98,6)</f>
        <v>9.7013000000000002E-2</v>
      </c>
      <c r="I97" s="224">
        <f>ROUND(1-1/I98,6)</f>
        <v>9.7013000000000002E-2</v>
      </c>
      <c r="J97" s="59"/>
      <c r="K97" s="59"/>
      <c r="L97" s="59"/>
      <c r="M97" s="59"/>
    </row>
    <row r="98" spans="1:29" ht="12" customHeight="1" x14ac:dyDescent="0.6">
      <c r="A98" s="7"/>
      <c r="B98" t="s">
        <v>262</v>
      </c>
      <c r="C98" s="59"/>
      <c r="D98" s="59"/>
      <c r="E98" s="59">
        <v>1.1074352998061705</v>
      </c>
      <c r="F98" s="59">
        <v>1.1074352998061705</v>
      </c>
      <c r="G98" s="59">
        <v>1.1074352998061705</v>
      </c>
      <c r="H98" s="59">
        <v>1.1074352998061705</v>
      </c>
      <c r="I98" s="59">
        <v>1.1074352998061705</v>
      </c>
      <c r="J98" s="59"/>
      <c r="K98" s="59"/>
      <c r="L98" s="59"/>
      <c r="Q98" s="42"/>
      <c r="R98" s="42"/>
      <c r="S98" s="42"/>
    </row>
    <row r="99" spans="1:29" x14ac:dyDescent="0.6">
      <c r="A99" s="7"/>
      <c r="C99" s="59"/>
      <c r="D99" s="59"/>
      <c r="E99" s="59"/>
      <c r="F99" s="59"/>
      <c r="G99" s="59"/>
      <c r="H99" s="59"/>
      <c r="I99" s="59"/>
      <c r="J99" s="59"/>
      <c r="K99" s="59"/>
      <c r="L99" s="59"/>
      <c r="Q99" s="42"/>
      <c r="R99" s="42"/>
      <c r="S99" s="42"/>
    </row>
    <row r="100" spans="1:29" x14ac:dyDescent="0.6">
      <c r="A100" s="7"/>
      <c r="C100" s="59"/>
      <c r="D100" s="59"/>
      <c r="E100" s="59"/>
      <c r="F100" s="59"/>
      <c r="G100" s="59"/>
      <c r="H100" s="59"/>
      <c r="I100" s="59"/>
      <c r="J100" s="59"/>
      <c r="K100" s="59"/>
      <c r="L100" s="59"/>
    </row>
    <row r="101" spans="1:29" x14ac:dyDescent="0.6">
      <c r="A101" s="7"/>
      <c r="B101" s="31" t="s">
        <v>284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</row>
    <row r="102" spans="1:29" x14ac:dyDescent="0.6">
      <c r="A102" s="7"/>
      <c r="B102" s="31" t="str">
        <f>'BGS PTY23 Cost Alloc'!$B$102</f>
        <v xml:space="preserve"> </v>
      </c>
    </row>
    <row r="103" spans="1:29" ht="15.5" x14ac:dyDescent="0.7">
      <c r="A103" s="7"/>
      <c r="B103" s="570" t="str">
        <f>$B$1</f>
        <v xml:space="preserve">Jersey Central Power &amp; Light </v>
      </c>
      <c r="C103" s="570"/>
      <c r="D103" s="570"/>
      <c r="E103" s="570"/>
      <c r="F103" s="570"/>
      <c r="G103" s="570"/>
      <c r="H103" s="570"/>
      <c r="I103" s="570"/>
      <c r="J103" s="570"/>
      <c r="K103" s="570"/>
      <c r="L103" s="570"/>
    </row>
    <row r="104" spans="1:29" ht="15.5" x14ac:dyDescent="0.7">
      <c r="A104" s="7"/>
      <c r="B104" s="570" t="str">
        <f>$B$2</f>
        <v>Attachment 2</v>
      </c>
      <c r="C104" s="570"/>
      <c r="D104" s="570"/>
      <c r="E104" s="570"/>
      <c r="F104" s="570"/>
      <c r="G104" s="570"/>
      <c r="H104" s="570"/>
      <c r="I104" s="570"/>
      <c r="J104" s="570"/>
      <c r="K104" s="570"/>
      <c r="L104" s="570"/>
    </row>
    <row r="105" spans="1:29" x14ac:dyDescent="0.6">
      <c r="A105" s="7"/>
    </row>
    <row r="106" spans="1:29" x14ac:dyDescent="0.6">
      <c r="A106" s="7"/>
    </row>
    <row r="107" spans="1:29" x14ac:dyDescent="0.6">
      <c r="A107" s="6" t="s">
        <v>34</v>
      </c>
      <c r="B107" s="1" t="s">
        <v>51</v>
      </c>
    </row>
    <row r="108" spans="1:29" x14ac:dyDescent="0.6">
      <c r="A108" s="7"/>
      <c r="B108" s="15" t="s">
        <v>171</v>
      </c>
      <c r="S108" s="240"/>
    </row>
    <row r="109" spans="1:29" x14ac:dyDescent="0.6">
      <c r="A109" s="7"/>
      <c r="B109" s="15" t="s">
        <v>21</v>
      </c>
      <c r="S109" s="92"/>
      <c r="AC109" s="240"/>
    </row>
    <row r="110" spans="1:29" x14ac:dyDescent="0.6">
      <c r="A110" s="7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12"/>
      <c r="P110" s="5"/>
      <c r="W110" s="538"/>
      <c r="AC110" s="534"/>
    </row>
    <row r="111" spans="1:29" x14ac:dyDescent="0.6">
      <c r="A111" s="7"/>
      <c r="R111" s="73"/>
      <c r="S111" s="539"/>
      <c r="W111" s="2"/>
      <c r="X111" s="12"/>
      <c r="Z111" s="5"/>
    </row>
    <row r="112" spans="1:29" x14ac:dyDescent="0.6">
      <c r="A112" s="7"/>
      <c r="B112" s="23" t="s">
        <v>17</v>
      </c>
      <c r="C112" s="60"/>
      <c r="D112" s="60"/>
      <c r="E112" s="61">
        <f>(SUMPRODUCT(E20:E23,E65:E68,$D84:$D87,$H84:$H87)*E95+SUMPRODUCT(Q20:Q23,E65:E68,$F84:$F87,$I84:$I87)*E95)/SUM(E65:E68)</f>
        <v>54.818249530046394</v>
      </c>
      <c r="F112" s="61">
        <f>(SUMPRODUCT(F20:F23,F65:F68,$D84:$D87,$H84:$H87)*F95+SUMPRODUCT(R20:R23,F65:F68,$F84:$F87,$I84:$I87)*F95)/SUM(F65:F68)</f>
        <v>55.039612518337321</v>
      </c>
      <c r="G112" s="61">
        <f>(SUMPRODUCT(G20:G23,G65:G68,$D84:$D87,$H84:$H87)*G95+SUMPRODUCT(S20:S23,G65:G68,$F84:$F87,$I84:$I87)*G95)/SUM(G65:G68)</f>
        <v>55.774842376794247</v>
      </c>
      <c r="H112" s="61">
        <f>(SUMPRODUCT(H20:H23,H65:H68,$D84:$D87,$H84:$H87)*H95+SUMPRODUCT(T20:T23,H65:H68,$F84:$F87,$I84:$I87)*H95)/SUM(H65:H68)</f>
        <v>54.889012141874588</v>
      </c>
      <c r="I112" s="61">
        <f>(SUMPRODUCT(I20:I23,I65:I68,$D84:$D87,$H84:$H87)*I95+SUMPRODUCT(U20:U23,I65:I68,$F84:$F87,$I84:$I87)*I95)/SUM(I65:I68)</f>
        <v>49.267691049308624</v>
      </c>
      <c r="J112" s="62"/>
      <c r="K112" s="60"/>
      <c r="L112" s="60"/>
      <c r="M112" s="540"/>
      <c r="Z112" s="273"/>
      <c r="AB112" s="73"/>
      <c r="AC112" s="539"/>
    </row>
    <row r="113" spans="1:30" x14ac:dyDescent="0.6">
      <c r="A113" s="7"/>
      <c r="B113" s="63" t="s">
        <v>41</v>
      </c>
      <c r="C113" s="60"/>
      <c r="D113" s="60"/>
      <c r="E113" s="61">
        <f>(SUMPRODUCT(E20:E23,E65:E68,$D84:$D87,$H84:$H87)*E95)/SUMPRODUCT(E20:E23,E65:E68)</f>
        <v>65.745743792662097</v>
      </c>
      <c r="F113" s="61">
        <f>(SUMPRODUCT(F20:F23,F65:F68,$D84:$D87,$H84:$H87)*F95)/SUMPRODUCT(F20:F23,F65:F68)</f>
        <v>65.939090992152586</v>
      </c>
      <c r="G113" s="61">
        <f>(SUMPRODUCT(G20:G23,G65:G68,$D84:$D87,$H84:$H87)*G95)/SUMPRODUCT(G20:G23,G65:G68)</f>
        <v>65.347812778265933</v>
      </c>
      <c r="H113" s="61">
        <f>(SUMPRODUCT(H20:H23,H65:H68,$D84:$D87,$H84:$H87)*H95)/SUMPRODUCT(H20:H23,H65:H68)</f>
        <v>64.462577577384579</v>
      </c>
      <c r="I113" s="61">
        <f>(SUMPRODUCT(I20:I23,I65:I68,$D84:$D87,$H84:$H87)*I95)/SUMPRODUCT(I20:I23,I65:I68)</f>
        <v>64.867085251497997</v>
      </c>
      <c r="J113" s="62"/>
      <c r="K113" s="60"/>
      <c r="L113" s="60"/>
      <c r="M113" s="540"/>
      <c r="S113" s="548"/>
    </row>
    <row r="114" spans="1:30" x14ac:dyDescent="0.6">
      <c r="A114" s="7"/>
      <c r="B114" s="63" t="s">
        <v>42</v>
      </c>
      <c r="C114" s="60"/>
      <c r="D114" s="60"/>
      <c r="E114" s="61">
        <f>(SUMPRODUCT(Q20:Q23,E65:E68,$F84:$F87,$I84:$I87)*E95)/SUMPRODUCT(Q20:Q23,E65:E68)</f>
        <v>42.971648324231964</v>
      </c>
      <c r="F114" s="61">
        <f>(SUMPRODUCT(R20:R23,F65:F68,$F84:$F87,$I84:$I87)*F95)/SUMPRODUCT(R20:R23,F65:F68)</f>
        <v>43.051133203735809</v>
      </c>
      <c r="G114" s="61">
        <f>(SUMPRODUCT(S20:S23,G65:G68,$F84:$F87,$I84:$I87)*G95)/SUMPRODUCT(S20:S23,G65:G68)</f>
        <v>42.93516736270648</v>
      </c>
      <c r="H114" s="61">
        <f>(SUMPRODUCT(T20:T23,H65:H68,$F84:$F87,$I84:$I87)*H95)/SUMPRODUCT(T20:T23,H65:H68)</f>
        <v>42.671992704087891</v>
      </c>
      <c r="I114" s="61">
        <f>(SUMPRODUCT(U20:U23,I65:I68,$F84:$F87,$I84:$I87)*I95)/SUMPRODUCT(U20:U23,I65:I68)</f>
        <v>42.855012545986327</v>
      </c>
      <c r="J114" s="62"/>
      <c r="K114" s="60"/>
      <c r="L114" s="60"/>
      <c r="M114" s="2"/>
      <c r="N114" s="12"/>
      <c r="P114" s="5"/>
      <c r="W114" s="538"/>
      <c r="AC114" s="534"/>
    </row>
    <row r="115" spans="1:30" x14ac:dyDescent="0.6">
      <c r="A115" s="7"/>
      <c r="C115" s="120"/>
      <c r="D115" s="120"/>
      <c r="E115" s="121"/>
      <c r="F115" s="121"/>
      <c r="G115" s="121"/>
      <c r="H115" s="121"/>
      <c r="I115" s="121"/>
      <c r="J115" s="62"/>
      <c r="K115" s="120"/>
      <c r="L115" s="120"/>
      <c r="R115" s="73"/>
      <c r="S115" s="539"/>
      <c r="W115" s="2"/>
      <c r="X115" s="12"/>
      <c r="Z115" s="5"/>
    </row>
    <row r="116" spans="1:30" x14ac:dyDescent="0.6">
      <c r="A116" s="7"/>
      <c r="B116" s="23" t="s">
        <v>18</v>
      </c>
      <c r="C116" s="60"/>
      <c r="D116" s="60"/>
      <c r="E116" s="61">
        <f>(SUMPRODUCT(E15:E19,E60:E64,$D79:$D83,$H79:$H83)*E95+SUMPRODUCT(Q15:Q19,E60:E64,$F79:$F83,$I79:$I83)*E95+SUMPRODUCT(E24:E26,E69:E71,$D88:$D90,$H88:$H90)*E95+SUMPRODUCT(Q24:Q26,E69:E71,$F88:$F90,$I88:$I90)*E95)/SUM(E60:E64,E69:E71)</f>
        <v>53.694253486854024</v>
      </c>
      <c r="F116" s="61">
        <f>(SUMPRODUCT(F15:F19,F60:F64,$D79:$D83,$H79:$H83)*F95+SUMPRODUCT(R15:R19,F60:F64,$F79:$F83,$I79:$I83)*F95+SUMPRODUCT(F24:F26,F69:F71,$D88:$D90,$H88:$H90)*F95+SUMPRODUCT(R24:R26,F69:F71,$F88:$F90,$I88:$I90)*F95)/SUM(F60:F64,F69:F71)</f>
        <v>53.334807473684386</v>
      </c>
      <c r="G116" s="61">
        <f>(SUMPRODUCT(G15:G19,G60:G64,$D79:$D83,$H79:$H83)*G95+SUMPRODUCT(S15:S19,G60:G64,$F79:$F83,$I79:$I83)*G95+SUMPRODUCT(G24:G26,G69:G71,$D88:$D90,$H88:$H90)*G95+SUMPRODUCT(S24:S26,G69:G71,$F88:$F90,$I88:$I90)*G95)/SUM(G60:G64,G69:G71)</f>
        <v>53.29721816623406</v>
      </c>
      <c r="H116" s="61">
        <f>(SUMPRODUCT(H15:H19,H60:H64,$D79:$D83,$H79:$H83)*H95+SUMPRODUCT(T15:T19,H60:H64,$F79:$F83,$I79:$I83)*H95+SUMPRODUCT(H24:H26,H69:H71,$D88:$D90,$H88:$H90)*H95+SUMPRODUCT(T24:T26,H69:H71,$F88:$F90,$I88:$I90)*H95)/SUM(H60:H64,H69:H71)</f>
        <v>53.734439784159257</v>
      </c>
      <c r="I116" s="61">
        <f>(SUMPRODUCT(I15:I19,I60:I64,$D79:$D83,$H79:$H83)*I95+SUMPRODUCT(U15:U19,I60:I64,$F79:$F83,$I79:$I83)*I95+SUMPRODUCT(I24:I26,I69:I71,$D88:$D90,$H88:$H90)*I95+SUMPRODUCT(U24:U26,I69:I71,$F88:$F90,$I88:$I90)*I95)/SUM(I60:I64,I69:I71)</f>
        <v>50.608759337285989</v>
      </c>
      <c r="J116" s="62"/>
      <c r="K116" s="60"/>
      <c r="L116" s="60"/>
      <c r="M116" s="317"/>
      <c r="Z116" s="273"/>
      <c r="AB116" s="73"/>
      <c r="AC116" s="539"/>
    </row>
    <row r="117" spans="1:30" x14ac:dyDescent="0.6">
      <c r="A117" s="7"/>
      <c r="B117" s="63" t="s">
        <v>41</v>
      </c>
      <c r="C117" s="60"/>
      <c r="D117" s="60"/>
      <c r="E117" s="61">
        <f>(SUMPRODUCT(E15:E19,E60:E64,$D79:$D83,$H79:$H83)*E95+SUMPRODUCT(E24:E26,E69:E71,$D88:$D90,$H88:$H90)*E95)/(SUMPRODUCT(E15:E19,E60:E64)+SUMPRODUCT(E24:E26,E69:E71))</f>
        <v>58.448110973008397</v>
      </c>
      <c r="F117" s="61">
        <f>(SUMPRODUCT(F15:F19,F60:F64,$D79:$D83,$H79:$H83)*F95+SUMPRODUCT(F24:F26,F69:F71,$D88:$D90,$H88:$H90)*F95)/(SUMPRODUCT(F15:F19,F60:F64)+SUMPRODUCT(F24:F26,F69:F71))</f>
        <v>57.933732826368782</v>
      </c>
      <c r="G117" s="61">
        <f>(SUMPRODUCT(G15:G19,G60:G64,$D79:$D83,$H79:$H83)*G95+SUMPRODUCT(G24:G26,G69:G71,$D88:$D90,$H88:$H90)*G95)/(SUMPRODUCT(G15:G19,G60:G64)+SUMPRODUCT(G24:G26,G69:G71))</f>
        <v>57.437759059962666</v>
      </c>
      <c r="H117" s="61">
        <f>(SUMPRODUCT(H15:H19,H60:H64,$D79:$D83,$H79:$H83)*H95+SUMPRODUCT(H24:H26,H69:H71,$D88:$D90,$H88:$H90)*H95)/(SUMPRODUCT(H15:H19,H60:H64)+SUMPRODUCT(H24:H26,H69:H71))</f>
        <v>57.97824568472091</v>
      </c>
      <c r="I117" s="61">
        <f>(SUMPRODUCT(I15:I19,I60:I64,$D79:$D83,$H79:$H83)*I95+SUMPRODUCT(I24:I26,I69:I71,$D88:$D90,$H88:$H90)*I95)/(SUMPRODUCT(I15:I19,I60:I64)+SUMPRODUCT(I24:I26,I69:I71))</f>
        <v>57.390573693821466</v>
      </c>
      <c r="J117" s="62"/>
      <c r="K117" s="60"/>
      <c r="L117" s="60"/>
      <c r="M117" s="540"/>
      <c r="S117" s="534"/>
    </row>
    <row r="118" spans="1:30" x14ac:dyDescent="0.6">
      <c r="A118" s="7"/>
      <c r="B118" s="63" t="s">
        <v>42</v>
      </c>
      <c r="C118" s="60"/>
      <c r="D118" s="60"/>
      <c r="E118" s="61">
        <f>(SUMPRODUCT(Q15:Q19,E60:E64,$F79:$F83,$I79:$I83)*E95+SUMPRODUCT(Q24:Q26,E69:E71,$F88:$F90,$I88:$I90)*E95)/(SUMPRODUCT(Q15:Q19,E60:E64)+SUMPRODUCT(Q24:Q26,E69:E71))</f>
        <v>49.3717589024197</v>
      </c>
      <c r="F118" s="61">
        <f>(SUMPRODUCT(R15:R19,F60:F64,$F79:$F83,$I79:$I83)*F95+SUMPRODUCT(R24:R26,F69:F71,$F88:$F90,$I88:$I90)*F95)/(SUMPRODUCT(R15:R19,F60:F64)+SUMPRODUCT(R24:R26,F69:F71))</f>
        <v>48.757512649501535</v>
      </c>
      <c r="G118" s="61">
        <f>(SUMPRODUCT(S15:S19,G60:G64,$F79:$F83,$I79:$I83)*G95+SUMPRODUCT(S24:S26,G69:G71,$F88:$F90,$I88:$I90)*G95)/(SUMPRODUCT(S15:S19,G60:G64)+SUMPRODUCT(S24:S26,G69:G71))</f>
        <v>48.103888668675147</v>
      </c>
      <c r="H118" s="61">
        <f>(SUMPRODUCT(T15:T19,H60:H64,$F79:$F83,$I79:$I83)*H95+SUMPRODUCT(T24:T26,H69:H71,$F88:$F90,$I88:$I90)*H95)/(SUMPRODUCT(T15:T19,H60:H64)+SUMPRODUCT(T24:T26,H69:H71))</f>
        <v>48.812630804170553</v>
      </c>
      <c r="I118" s="61">
        <f>(SUMPRODUCT(U15:U19,I60:I64,$F79:$F83,$I79:$I83)*I95+SUMPRODUCT(U24:U26,I69:I71,$F88:$F90,$I88:$I90)*I95)/(SUMPRODUCT(U15:U19,I60:I64)+SUMPRODUCT(U24:U26,I69:I71))</f>
        <v>47.551311136088465</v>
      </c>
      <c r="J118" s="62"/>
      <c r="K118" s="60"/>
      <c r="L118" s="60"/>
      <c r="M118" s="2"/>
      <c r="N118" s="12"/>
      <c r="P118" s="5"/>
      <c r="W118" s="538"/>
      <c r="AC118" s="534"/>
    </row>
    <row r="119" spans="1:30" x14ac:dyDescent="0.6">
      <c r="A119" s="7"/>
      <c r="C119" s="120"/>
      <c r="D119" s="120"/>
      <c r="E119" s="121"/>
      <c r="F119" s="121"/>
      <c r="G119" s="121"/>
      <c r="H119" s="121"/>
      <c r="I119" s="121"/>
      <c r="J119" s="62"/>
      <c r="K119" s="120"/>
      <c r="L119" s="120"/>
      <c r="R119" s="73"/>
      <c r="S119" s="539"/>
      <c r="W119" s="2"/>
      <c r="X119" s="12"/>
      <c r="Z119" s="5"/>
    </row>
    <row r="120" spans="1:30" x14ac:dyDescent="0.6">
      <c r="A120" s="7"/>
      <c r="B120" t="s">
        <v>16</v>
      </c>
      <c r="C120" s="60"/>
      <c r="D120" s="64"/>
      <c r="E120" s="65">
        <f>(E112*SUM(E65:E68)+E116*SUM(E60:E64,E69:E71))/E72</f>
        <v>54.077485115065308</v>
      </c>
      <c r="F120" s="65">
        <f>(F112*SUM(F65:F68)+F116*SUM(F60:F64,F69:F71))/F72</f>
        <v>54.05715692700295</v>
      </c>
      <c r="G120" s="65">
        <f>(G112*SUM(G65:G68)+G116*SUM(G60:G64,G69:G71))/G72</f>
        <v>54.190937487505856</v>
      </c>
      <c r="H120" s="65">
        <f>(H112*SUM(H65:H68)+H116*SUM(H60:H64,H69:H71))/H72</f>
        <v>54.156931048944116</v>
      </c>
      <c r="I120" s="65">
        <f>(I112*SUM(I65:I68)+I116*SUM(I60:I64,I69:I71))/I72</f>
        <v>50.161680691850698</v>
      </c>
      <c r="J120" s="62"/>
      <c r="K120" s="64"/>
      <c r="L120" s="64"/>
      <c r="M120" s="540"/>
      <c r="Z120" s="273"/>
      <c r="AB120" s="73"/>
      <c r="AC120" s="539"/>
    </row>
    <row r="121" spans="1:30" x14ac:dyDescent="0.6">
      <c r="A121" s="7"/>
      <c r="C121" s="60"/>
      <c r="D121" s="64"/>
      <c r="E121" s="64"/>
      <c r="F121" s="64"/>
      <c r="G121" s="64"/>
      <c r="H121" s="64"/>
      <c r="I121" s="64"/>
      <c r="J121" s="64"/>
      <c r="K121" s="64"/>
      <c r="L121" s="64"/>
      <c r="M121" s="540"/>
      <c r="S121" s="534"/>
    </row>
    <row r="122" spans="1:30" x14ac:dyDescent="0.6">
      <c r="A122" s="7"/>
      <c r="B122" t="s">
        <v>44</v>
      </c>
      <c r="C122" s="60">
        <f>SUMPRODUCT(C120:I120,C72:I72)/SUM(C72:I72)</f>
        <v>54.075492982453071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2"/>
      <c r="N122" s="12"/>
      <c r="P122" s="5"/>
      <c r="W122" s="538"/>
      <c r="AC122" s="534"/>
    </row>
    <row r="123" spans="1:30" x14ac:dyDescent="0.6">
      <c r="A123" s="7"/>
      <c r="C123" s="60"/>
      <c r="D123" s="64"/>
      <c r="E123" s="64"/>
      <c r="F123" s="64"/>
      <c r="G123" s="64"/>
      <c r="H123" s="64"/>
      <c r="I123" s="64"/>
      <c r="J123" s="64"/>
      <c r="K123" s="64"/>
      <c r="L123" s="64"/>
      <c r="R123" s="73"/>
      <c r="S123" s="539"/>
      <c r="W123" s="2"/>
      <c r="X123" s="12"/>
      <c r="Z123" s="5"/>
    </row>
    <row r="124" spans="1:30" x14ac:dyDescent="0.6">
      <c r="A124" s="7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540"/>
      <c r="Z124" s="273"/>
      <c r="AB124" s="73"/>
      <c r="AC124" s="539"/>
      <c r="AD124" s="273"/>
    </row>
    <row r="125" spans="1:30" x14ac:dyDescent="0.6">
      <c r="A125" s="6" t="s">
        <v>35</v>
      </c>
      <c r="B125" s="1" t="s">
        <v>49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538"/>
      <c r="S125" s="534"/>
    </row>
    <row r="126" spans="1:30" x14ac:dyDescent="0.6">
      <c r="A126" s="7"/>
      <c r="B126" s="15" t="s">
        <v>172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2"/>
      <c r="N126" s="12"/>
      <c r="P126" s="5"/>
      <c r="W126" s="538"/>
      <c r="AC126" s="534"/>
    </row>
    <row r="127" spans="1:30" x14ac:dyDescent="0.6">
      <c r="A127" s="7"/>
      <c r="B127" s="15" t="s">
        <v>43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R127" s="73"/>
      <c r="S127" s="539"/>
      <c r="W127" s="2"/>
      <c r="X127" s="12"/>
      <c r="Z127" s="5"/>
    </row>
    <row r="128" spans="1:30" x14ac:dyDescent="0.6">
      <c r="A128" s="7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Z128" s="273"/>
      <c r="AB128" s="73"/>
      <c r="AC128" s="539"/>
      <c r="AD128" s="273"/>
    </row>
    <row r="129" spans="1:30" x14ac:dyDescent="0.6">
      <c r="A129" s="7"/>
      <c r="C129" s="3"/>
      <c r="M129" s="538"/>
      <c r="S129" s="534"/>
    </row>
    <row r="130" spans="1:30" x14ac:dyDescent="0.6">
      <c r="A130" s="7"/>
      <c r="B130" s="23" t="s">
        <v>17</v>
      </c>
      <c r="C130" s="62"/>
      <c r="D130" s="62"/>
      <c r="E130" s="62">
        <f>SUM(E65:E68)*E112/1000</f>
        <v>3471.8041974864282</v>
      </c>
      <c r="F130" s="62">
        <f>SUM(F65:F68)*F112/1000</f>
        <v>225335.69618527417</v>
      </c>
      <c r="G130" s="62">
        <f>SUM(G65:G68)*G112/1000</f>
        <v>121413.40985308218</v>
      </c>
      <c r="H130" s="62">
        <f>SUM(H65:H68)*H112/1000</f>
        <v>3045.0777265947763</v>
      </c>
      <c r="I130" s="62">
        <f>SUM(I65:I68)*I112/1000</f>
        <v>2233.5507737204066</v>
      </c>
      <c r="J130" s="62">
        <f>SUM(E130:I130)</f>
        <v>355499.53873615799</v>
      </c>
      <c r="K130" s="62"/>
      <c r="L130" s="62"/>
      <c r="M130" s="2"/>
      <c r="N130" s="12"/>
      <c r="P130" s="5"/>
      <c r="W130" s="538"/>
      <c r="AC130" s="534"/>
    </row>
    <row r="131" spans="1:30" x14ac:dyDescent="0.6">
      <c r="A131" s="7"/>
      <c r="B131" s="63" t="s">
        <v>41</v>
      </c>
      <c r="C131" s="62"/>
      <c r="D131" s="62"/>
      <c r="E131" s="62">
        <f>SUMPRODUCT(E65:E68,E20:E23)*E113/1000</f>
        <v>2165.9595189759889</v>
      </c>
      <c r="F131" s="62">
        <f>SUMPRODUCT(F65:F68,F20:F23)*F113/1000</f>
        <v>141401.70225416534</v>
      </c>
      <c r="G131" s="62">
        <f>SUMPRODUCT(G65:G68,G20:G23)*G113/1000</f>
        <v>81492.993641401699</v>
      </c>
      <c r="H131" s="62">
        <f>SUMPRODUCT(H65:H68,H20:H23)*H113/1000</f>
        <v>2005.0121684536468</v>
      </c>
      <c r="I131" s="62">
        <f>SUMPRODUCT(I65:I68,I20:I23)*I113/1000</f>
        <v>856.71531869799901</v>
      </c>
      <c r="J131" s="62">
        <f>SUM(E131:I131)</f>
        <v>227922.38290169468</v>
      </c>
      <c r="K131" s="62"/>
      <c r="L131" s="62"/>
      <c r="R131" s="73"/>
      <c r="S131" s="539"/>
      <c r="W131" s="2"/>
      <c r="X131" s="12"/>
      <c r="Z131" s="5"/>
    </row>
    <row r="132" spans="1:30" x14ac:dyDescent="0.6">
      <c r="A132" s="7"/>
      <c r="B132" s="63" t="s">
        <v>42</v>
      </c>
      <c r="C132" s="62"/>
      <c r="D132" s="62"/>
      <c r="E132" s="62">
        <f>SUMPRODUCT(E65:E68,Q20:Q23)*E114/1000</f>
        <v>1305.8446785104391</v>
      </c>
      <c r="F132" s="62">
        <f>SUMPRODUCT(F65:F68,R20:R23)*F114/1000</f>
        <v>83933.993931108809</v>
      </c>
      <c r="G132" s="62">
        <f>SUMPRODUCT(G65:G68,S20:S23)*G114/1000</f>
        <v>39920.416211680495</v>
      </c>
      <c r="H132" s="62">
        <f>SUMPRODUCT(H65:H68,T20:T23)*H114/1000</f>
        <v>1040.0655581411299</v>
      </c>
      <c r="I132" s="62">
        <f>SUMPRODUCT(I65:I68,U20:U23)*I114/1000</f>
        <v>1376.8354550224076</v>
      </c>
      <c r="J132" s="62">
        <f>SUM(E132:I132)</f>
        <v>127577.15583446328</v>
      </c>
      <c r="K132" s="62"/>
      <c r="L132" s="62"/>
      <c r="M132" s="544"/>
      <c r="Z132" s="273"/>
      <c r="AB132" s="73"/>
      <c r="AC132" s="539"/>
      <c r="AD132" s="273"/>
    </row>
    <row r="133" spans="1:30" x14ac:dyDescent="0.6">
      <c r="A133" s="7"/>
      <c r="C133" s="66"/>
      <c r="D133" s="66"/>
      <c r="E133" s="66"/>
      <c r="F133" s="66"/>
      <c r="G133" s="66"/>
      <c r="H133" s="66"/>
      <c r="I133" s="66"/>
      <c r="J133" s="62"/>
      <c r="K133" s="66"/>
      <c r="L133" s="66"/>
      <c r="M133" s="538"/>
      <c r="S133" s="534"/>
    </row>
    <row r="134" spans="1:30" x14ac:dyDescent="0.6">
      <c r="A134" s="7"/>
      <c r="B134" s="23" t="s">
        <v>18</v>
      </c>
      <c r="C134" s="66"/>
      <c r="D134" s="66"/>
      <c r="E134" s="66">
        <f>SUM(E60:E64,E69:E71)*E116/1000</f>
        <v>6573.1968176071832</v>
      </c>
      <c r="F134" s="66">
        <f>SUM(F60:F64,F69:F71)*F116/1000</f>
        <v>296982.55507668509</v>
      </c>
      <c r="G134" s="66">
        <f>SUM(G60:G64,G69:G71)*G116/1000</f>
        <v>205617.8429327682</v>
      </c>
      <c r="H134" s="66">
        <f>SUM(H60:H64,H69:H71)*H116/1000</f>
        <v>5165.4379620114451</v>
      </c>
      <c r="I134" s="66">
        <f>SUM(I60:I64,I69:I71)*I116/1000</f>
        <v>4587.8358602029866</v>
      </c>
      <c r="J134" s="62">
        <f>SUM(E134:I134)</f>
        <v>518926.86864927487</v>
      </c>
      <c r="K134" s="66"/>
      <c r="L134" s="66"/>
      <c r="M134" s="2"/>
      <c r="N134" s="12"/>
      <c r="P134" s="5"/>
      <c r="W134" s="538"/>
      <c r="AC134" s="534"/>
    </row>
    <row r="135" spans="1:30" x14ac:dyDescent="0.6">
      <c r="A135" s="7"/>
      <c r="B135" s="63" t="s">
        <v>41</v>
      </c>
      <c r="C135" s="62"/>
      <c r="D135" s="62"/>
      <c r="E135" s="62">
        <f>(SUMPRODUCT(E60:E64,E15:E19)+SUMPRODUCT(E69:E71,E24:E26))*E117/1000</f>
        <v>3407.5515220649932</v>
      </c>
      <c r="F135" s="62">
        <f>(SUMPRODUCT(F60:F64,F15:F19)+SUMPRODUCT(F69:F71,F24:F26))*F117/1000</f>
        <v>160915.09296763671</v>
      </c>
      <c r="G135" s="62">
        <f>(SUMPRODUCT(G60:G64,G15:G19)+SUMPRODUCT(G69:G71,G24:G26))*G117/1000</f>
        <v>123292.83997134943</v>
      </c>
      <c r="H135" s="62">
        <f>(SUMPRODUCT(H60:H64,H15:H19)+SUMPRODUCT(H69:H71,H24:H26))*H117/1000</f>
        <v>2992.8341027482365</v>
      </c>
      <c r="I135" s="62">
        <f>(SUMPRODUCT(I60:I64,I15:I19)+SUMPRODUCT(I69:I71,I24:I26))*I117/1000</f>
        <v>1616.6622792522451</v>
      </c>
      <c r="J135" s="62">
        <f>SUM(E135:I135)</f>
        <v>292224.98084305163</v>
      </c>
      <c r="K135" s="62"/>
      <c r="L135" s="62"/>
      <c r="P135" s="273"/>
      <c r="R135" s="73"/>
      <c r="S135" s="539"/>
      <c r="W135" s="2"/>
      <c r="X135" s="12"/>
      <c r="Z135" s="5"/>
    </row>
    <row r="136" spans="1:30" x14ac:dyDescent="0.6">
      <c r="A136" s="7"/>
      <c r="B136" s="63" t="s">
        <v>42</v>
      </c>
      <c r="C136" s="62"/>
      <c r="D136" s="62"/>
      <c r="E136" s="62">
        <f>+(SUMPRODUCT(E60:E64,Q15:Q19)+SUMPRODUCT(E69:E71,Q24:Q26))*E118/1000</f>
        <v>3165.6452955421892</v>
      </c>
      <c r="F136" s="62">
        <f>+(SUMPRODUCT(F60:F64,R15:R19)+SUMPRODUCT(F69:F71,R24:R26))*F118/1000</f>
        <v>136067.46210904836</v>
      </c>
      <c r="G136" s="62">
        <f>+(SUMPRODUCT(G60:G64,S15:S19)+SUMPRODUCT(G69:G71,S24:S26))*G118/1000</f>
        <v>82325.002961418781</v>
      </c>
      <c r="H136" s="62">
        <f>+(SUMPRODUCT(H60:H64,T15:T19)+SUMPRODUCT(H69:H71,T24:T26))*H118/1000</f>
        <v>2172.603859263209</v>
      </c>
      <c r="I136" s="62">
        <f>+(SUMPRODUCT(I60:I64,U15:U19)+SUMPRODUCT(I69:I71,U24:U26))*I118/1000</f>
        <v>2971.1735809507418</v>
      </c>
      <c r="J136" s="62">
        <f>SUM(E136:I136)</f>
        <v>226701.8878062233</v>
      </c>
      <c r="K136" s="62"/>
      <c r="L136" s="62"/>
      <c r="M136" s="544"/>
      <c r="Z136" s="273"/>
      <c r="AB136" s="73"/>
      <c r="AC136" s="539"/>
      <c r="AD136" s="273"/>
    </row>
    <row r="137" spans="1:30" x14ac:dyDescent="0.6">
      <c r="A137" s="7"/>
      <c r="C137" s="120"/>
      <c r="D137" s="120"/>
      <c r="E137" s="120"/>
      <c r="F137" s="120"/>
      <c r="G137" s="120"/>
      <c r="H137" s="120"/>
      <c r="I137" s="120"/>
      <c r="J137" s="62"/>
      <c r="K137" s="120"/>
      <c r="L137" s="120"/>
      <c r="M137" s="538"/>
      <c r="S137" s="534"/>
    </row>
    <row r="138" spans="1:30" x14ac:dyDescent="0.6">
      <c r="A138" s="7"/>
      <c r="B138" t="s">
        <v>16</v>
      </c>
      <c r="C138" s="66"/>
      <c r="D138" s="66"/>
      <c r="E138" s="66">
        <f>+E130+E134</f>
        <v>10045.00101509361</v>
      </c>
      <c r="F138" s="66">
        <f>+F130+F134</f>
        <v>522318.25126195926</v>
      </c>
      <c r="G138" s="66">
        <f>+G130+G134</f>
        <v>327031.25278585037</v>
      </c>
      <c r="H138" s="66">
        <f>+H130+H134</f>
        <v>8210.5156886062214</v>
      </c>
      <c r="I138" s="66">
        <f>+I130+I134</f>
        <v>6821.3866339233937</v>
      </c>
      <c r="J138" s="62">
        <f>SUM(E138:I138)</f>
        <v>874426.40738543286</v>
      </c>
      <c r="K138" s="66"/>
      <c r="L138" s="66"/>
      <c r="M138" s="2"/>
      <c r="N138" s="12"/>
      <c r="P138" s="5"/>
    </row>
    <row r="139" spans="1:30" x14ac:dyDescent="0.6">
      <c r="A139" s="7"/>
      <c r="P139" s="273"/>
      <c r="R139" s="73"/>
      <c r="S139" s="539"/>
    </row>
    <row r="140" spans="1:30" x14ac:dyDescent="0.6">
      <c r="A140" s="7"/>
      <c r="B140" t="s">
        <v>44</v>
      </c>
      <c r="C140" s="62">
        <f>SUM(C138:I138)</f>
        <v>874426.40738543286</v>
      </c>
      <c r="E140" s="67"/>
      <c r="F140" s="60"/>
    </row>
    <row r="141" spans="1:30" x14ac:dyDescent="0.6">
      <c r="A141" s="7"/>
      <c r="M141" s="538"/>
      <c r="S141" s="534"/>
    </row>
    <row r="142" spans="1:30" x14ac:dyDescent="0.6">
      <c r="A142" s="7"/>
      <c r="M142" s="2"/>
      <c r="N142" s="12"/>
      <c r="P142" s="5"/>
    </row>
    <row r="143" spans="1:30" ht="15.5" x14ac:dyDescent="0.7">
      <c r="A143" s="7"/>
      <c r="B143" s="570" t="str">
        <f>$B$1</f>
        <v xml:space="preserve">Jersey Central Power &amp; Light </v>
      </c>
      <c r="C143" s="570"/>
      <c r="D143" s="570"/>
      <c r="E143" s="570"/>
      <c r="F143" s="570"/>
      <c r="G143" s="570"/>
      <c r="H143" s="570"/>
      <c r="I143" s="570"/>
      <c r="J143" s="570"/>
      <c r="K143" s="570"/>
      <c r="L143" s="570"/>
      <c r="P143" s="273"/>
      <c r="R143" s="73"/>
      <c r="S143" s="539"/>
    </row>
    <row r="144" spans="1:30" ht="15.5" x14ac:dyDescent="0.7">
      <c r="A144" s="7"/>
      <c r="B144" s="570" t="str">
        <f>$B$2</f>
        <v>Attachment 2</v>
      </c>
      <c r="C144" s="570"/>
      <c r="D144" s="570"/>
      <c r="E144" s="570"/>
      <c r="F144" s="570"/>
      <c r="G144" s="570"/>
      <c r="H144" s="570"/>
      <c r="I144" s="570"/>
      <c r="J144" s="570"/>
      <c r="K144" s="570"/>
      <c r="L144" s="570"/>
    </row>
    <row r="145" spans="1:51" x14ac:dyDescent="0.6">
      <c r="A145" s="7"/>
    </row>
    <row r="146" spans="1:51" x14ac:dyDescent="0.6">
      <c r="A146" s="6" t="s">
        <v>70</v>
      </c>
      <c r="B146" s="1" t="s">
        <v>71</v>
      </c>
      <c r="C146" s="64"/>
    </row>
    <row r="147" spans="1:51" x14ac:dyDescent="0.6">
      <c r="A147" s="7"/>
      <c r="B147" s="15" t="s">
        <v>173</v>
      </c>
      <c r="C147" s="64"/>
      <c r="Q147" t="s">
        <v>126</v>
      </c>
      <c r="T147" t="s">
        <v>122</v>
      </c>
      <c r="W147" t="s">
        <v>123</v>
      </c>
      <c r="Z147" t="s">
        <v>124</v>
      </c>
    </row>
    <row r="148" spans="1:51" x14ac:dyDescent="0.6">
      <c r="A148" s="7"/>
      <c r="B148" s="15" t="s">
        <v>21</v>
      </c>
      <c r="C148" s="64"/>
      <c r="W148" t="s">
        <v>127</v>
      </c>
      <c r="Z148" t="s">
        <v>128</v>
      </c>
      <c r="AC148" t="s">
        <v>125</v>
      </c>
    </row>
    <row r="149" spans="1:51" x14ac:dyDescent="0.6">
      <c r="A149" s="7"/>
      <c r="B149" s="1"/>
      <c r="C149" s="2"/>
      <c r="D149" s="2"/>
      <c r="E149" s="2" t="str">
        <f>+E$13</f>
        <v>RT{1}</v>
      </c>
      <c r="F149" s="2" t="str">
        <f>+F$13</f>
        <v>RS{2}</v>
      </c>
      <c r="G149" s="2" t="str">
        <f>+G$13</f>
        <v>GS{3}</v>
      </c>
      <c r="H149" s="2" t="str">
        <f>+H$58</f>
        <v>GST {4}</v>
      </c>
      <c r="I149" s="2" t="str">
        <f>+I$13</f>
        <v>OL/SL</v>
      </c>
      <c r="J149" s="2"/>
      <c r="K149" s="2"/>
      <c r="L149" s="2"/>
    </row>
    <row r="150" spans="1:51" x14ac:dyDescent="0.6">
      <c r="A150" s="7"/>
      <c r="C150" s="3"/>
      <c r="M150" s="2"/>
      <c r="Q150" s="2" t="str">
        <f>+$H149</f>
        <v>GST {4}</v>
      </c>
      <c r="R150" s="2"/>
      <c r="S150" s="2"/>
      <c r="T150" s="2" t="str">
        <f>+$H149</f>
        <v>GST {4}</v>
      </c>
      <c r="U150" s="2"/>
      <c r="V150" s="2"/>
      <c r="W150" s="2" t="str">
        <f>+$H149</f>
        <v>GST {4}</v>
      </c>
      <c r="X150" s="2"/>
      <c r="Z150" s="2" t="str">
        <f>+$H149</f>
        <v>GST {4}</v>
      </c>
      <c r="AA150" s="2"/>
      <c r="AC150" s="2" t="str">
        <f>+$H149</f>
        <v>GST {4}</v>
      </c>
      <c r="AD150" s="2"/>
      <c r="AU150" s="2"/>
      <c r="AV150" s="2"/>
      <c r="AW150" s="2"/>
      <c r="AX150" s="2"/>
      <c r="AY150" s="2"/>
    </row>
    <row r="151" spans="1:51" x14ac:dyDescent="0.6">
      <c r="A151" s="7"/>
      <c r="B151" s="23" t="s">
        <v>17</v>
      </c>
      <c r="C151" s="60"/>
      <c r="D151" s="60"/>
      <c r="E151" s="61">
        <f>+E130/SUM(E65:E68)*1000</f>
        <v>54.818249530046394</v>
      </c>
      <c r="F151" s="61">
        <f>+F130/SUM(F65:F68)*1000</f>
        <v>55.039612518337321</v>
      </c>
      <c r="G151" s="61">
        <f>+G130/SUM(G65:G68)*1000</f>
        <v>55.774842376794247</v>
      </c>
      <c r="H151" s="61">
        <f>+H130/SUM(H65:H68)*1000</f>
        <v>54.889012141874581</v>
      </c>
      <c r="I151" s="61">
        <f>+I130/SUM(I65:I68)*1000</f>
        <v>49.267691049308631</v>
      </c>
      <c r="J151" s="60"/>
      <c r="K151" s="60"/>
      <c r="L151" s="60"/>
    </row>
    <row r="152" spans="1:51" x14ac:dyDescent="0.6">
      <c r="A152" s="7"/>
      <c r="B152" s="63" t="s">
        <v>72</v>
      </c>
      <c r="C152" s="62"/>
      <c r="D152" s="62"/>
      <c r="E152" s="61">
        <f>+(E131*1000-X165*AVERAGE(E$113,E$114))/R165</f>
        <v>68.444063707693971</v>
      </c>
      <c r="F152" s="61"/>
      <c r="G152" s="61"/>
      <c r="H152" s="61">
        <f>+(H131*1000-W153*AVERAGE(H$113,H$114))/Q153</f>
        <v>67.295077013404963</v>
      </c>
      <c r="I152" s="61"/>
      <c r="J152" s="62"/>
      <c r="K152" s="62"/>
      <c r="L152" s="60"/>
      <c r="M152" s="60"/>
      <c r="P152" s="10" t="s">
        <v>25</v>
      </c>
      <c r="AU152" s="4"/>
      <c r="AV152" s="4"/>
      <c r="AW152" s="4"/>
      <c r="AX152" s="4"/>
      <c r="AY152" s="4"/>
    </row>
    <row r="153" spans="1:51" x14ac:dyDescent="0.6">
      <c r="A153" s="7"/>
      <c r="B153" s="63" t="s">
        <v>73</v>
      </c>
      <c r="C153" s="62"/>
      <c r="D153" s="62"/>
      <c r="E153" s="61">
        <f>+(E132*1000-X166*AVERAGE(E$113,E$114))/R166</f>
        <v>44.921865769491205</v>
      </c>
      <c r="F153" s="61"/>
      <c r="G153" s="61"/>
      <c r="H153" s="61">
        <f>+(H132*1000-W154*AVERAGE(H$113,H$114))/Q154</f>
        <v>44.942856282111066</v>
      </c>
      <c r="I153" s="61"/>
      <c r="J153" s="62"/>
      <c r="K153" s="62"/>
      <c r="L153" s="60"/>
      <c r="M153" s="60"/>
      <c r="P153" t="s">
        <v>14</v>
      </c>
      <c r="Q153" s="4">
        <f>T65</f>
        <v>24685.819600000003</v>
      </c>
      <c r="R153" s="4"/>
      <c r="T153" s="4">
        <f>T76</f>
        <v>31103.506000000001</v>
      </c>
      <c r="U153" s="4"/>
      <c r="W153" s="4">
        <f>+T153-Q153</f>
        <v>6417.6863999999987</v>
      </c>
      <c r="X153" s="4"/>
      <c r="Z153" s="122">
        <f>+H152*Q153/1000</f>
        <v>1661.2341311210218</v>
      </c>
      <c r="AA153" s="122"/>
      <c r="AX153" s="4"/>
    </row>
    <row r="154" spans="1:51" ht="15.25" x14ac:dyDescent="1.05">
      <c r="A154" s="7"/>
      <c r="C154" s="66"/>
      <c r="D154" s="66"/>
      <c r="E154" s="65"/>
      <c r="F154" s="65"/>
      <c r="G154" s="65"/>
      <c r="H154" s="65"/>
      <c r="I154" s="65"/>
      <c r="J154" s="66"/>
      <c r="K154" s="66"/>
      <c r="L154" s="66"/>
      <c r="M154" s="60"/>
      <c r="P154" t="s">
        <v>15</v>
      </c>
      <c r="Q154" s="4">
        <f>T66</f>
        <v>30791.180399999997</v>
      </c>
      <c r="R154" s="4"/>
      <c r="T154" s="4">
        <f>T77</f>
        <v>24373.493999999999</v>
      </c>
      <c r="U154" s="4"/>
      <c r="W154" s="4">
        <f>+T154-Q154</f>
        <v>-6417.6863999999987</v>
      </c>
      <c r="X154" s="4"/>
      <c r="Z154" s="69">
        <f>+H153*Q154/1000</f>
        <v>1383.8435954737549</v>
      </c>
      <c r="AA154" s="69"/>
      <c r="AX154" s="4"/>
    </row>
    <row r="155" spans="1:51" x14ac:dyDescent="0.6">
      <c r="A155" s="7"/>
      <c r="B155" s="23" t="s">
        <v>18</v>
      </c>
      <c r="C155" s="64"/>
      <c r="D155" s="64"/>
      <c r="E155" s="65">
        <f>+E134/SUM(E60:E64,E69:E71)*1000</f>
        <v>53.694253486854024</v>
      </c>
      <c r="F155" s="65">
        <f>+F134/SUM(F60:F64,F69:F71)*1000</f>
        <v>53.334807473684386</v>
      </c>
      <c r="G155" s="65">
        <f>+G134/SUM(G60:G64,G69:G71)*1000</f>
        <v>53.29721816623406</v>
      </c>
      <c r="H155" s="65">
        <f>+H134/SUM(H60:H64,H69:H71)*1000</f>
        <v>53.734439784159257</v>
      </c>
      <c r="I155" s="65">
        <f>+I134/SUM(I60:I64,I69:I71)*1000</f>
        <v>50.608759337285989</v>
      </c>
      <c r="J155" s="64"/>
      <c r="K155" s="64"/>
      <c r="L155" s="64"/>
      <c r="M155" s="66"/>
      <c r="Q155" s="4"/>
      <c r="R155" s="4"/>
      <c r="T155" s="4"/>
      <c r="U155" s="4"/>
      <c r="W155" s="4"/>
      <c r="X155" s="4"/>
      <c r="Z155" s="122">
        <f>+Z154+Z153</f>
        <v>3045.0777265947768</v>
      </c>
      <c r="AA155" s="122"/>
      <c r="AC155" s="3">
        <f>+H130</f>
        <v>3045.0777265947763</v>
      </c>
      <c r="AD155" s="3"/>
    </row>
    <row r="156" spans="1:51" x14ac:dyDescent="0.6">
      <c r="A156" s="7"/>
      <c r="B156" s="63" t="s">
        <v>72</v>
      </c>
      <c r="C156" s="62"/>
      <c r="D156" s="62"/>
      <c r="E156" s="61">
        <f>+(E135*1000-X170*AVERAGE(E$113,E$114))/R170</f>
        <v>59.772401690674847</v>
      </c>
      <c r="F156" s="61"/>
      <c r="G156" s="61"/>
      <c r="H156" s="61">
        <f>+(H135*1000-W157*AVERAGE(H$117,H$118))/Q157</f>
        <v>59.21728384120015</v>
      </c>
      <c r="I156" s="61"/>
      <c r="J156" s="62"/>
      <c r="K156" s="62"/>
      <c r="L156" s="60"/>
      <c r="M156" s="64"/>
      <c r="P156" s="10" t="s">
        <v>26</v>
      </c>
      <c r="Q156" s="4"/>
      <c r="R156" s="4"/>
      <c r="T156" s="4"/>
      <c r="U156" s="4"/>
      <c r="W156" s="4"/>
      <c r="X156" s="4"/>
      <c r="Z156" s="122"/>
      <c r="AA156" s="122"/>
      <c r="AC156" s="3"/>
      <c r="AU156" s="4"/>
      <c r="AV156" s="4"/>
      <c r="AW156" s="4"/>
      <c r="AX156" s="4"/>
      <c r="AY156" s="4"/>
    </row>
    <row r="157" spans="1:51" x14ac:dyDescent="0.6">
      <c r="A157" s="7"/>
      <c r="B157" s="63" t="s">
        <v>73</v>
      </c>
      <c r="C157" s="62"/>
      <c r="D157" s="62"/>
      <c r="E157" s="61">
        <f>+(E136*1000-X171*AVERAGE(E$113,E$114))/R171</f>
        <v>50.287850270591512</v>
      </c>
      <c r="F157" s="61"/>
      <c r="G157" s="61"/>
      <c r="H157" s="61">
        <f>+(H136*1000-W158*AVERAGE(H$117,H$118))/Q158</f>
        <v>49.719863173229669</v>
      </c>
      <c r="I157" s="61"/>
      <c r="J157" s="62"/>
      <c r="K157" s="62"/>
      <c r="L157" s="60"/>
      <c r="M157" s="60"/>
      <c r="P157" t="s">
        <v>14</v>
      </c>
      <c r="Q157" s="4">
        <f>T61</f>
        <v>40633.899299999997</v>
      </c>
      <c r="R157" s="4"/>
      <c r="T157" s="4">
        <f>T72</f>
        <v>51619.949299999993</v>
      </c>
      <c r="U157" s="4"/>
      <c r="W157" s="4">
        <f>+T157-Q157</f>
        <v>10986.049999999996</v>
      </c>
      <c r="X157" s="4"/>
      <c r="Z157" s="122">
        <f>+H156*Q157/1000</f>
        <v>2406.229148422844</v>
      </c>
      <c r="AA157" s="122"/>
      <c r="AC157" s="3"/>
      <c r="AX157" s="4"/>
    </row>
    <row r="158" spans="1:51" ht="15.25" x14ac:dyDescent="1.05">
      <c r="A158" s="7"/>
      <c r="C158" s="120"/>
      <c r="D158" s="120"/>
      <c r="E158" s="121"/>
      <c r="F158" s="121"/>
      <c r="G158" s="121"/>
      <c r="H158" s="121"/>
      <c r="I158" s="121"/>
      <c r="J158" s="120"/>
      <c r="K158" s="120"/>
      <c r="L158" s="120"/>
      <c r="M158" s="60"/>
      <c r="P158" t="s">
        <v>15</v>
      </c>
      <c r="Q158" s="4">
        <f>T62</f>
        <v>55495.100700000003</v>
      </c>
      <c r="R158" s="4"/>
      <c r="T158" s="4">
        <f>T73</f>
        <v>44509.050700000007</v>
      </c>
      <c r="U158" s="4"/>
      <c r="W158" s="4">
        <f>+T158-Q158</f>
        <v>-10986.049999999996</v>
      </c>
      <c r="X158" s="4"/>
      <c r="Z158" s="69">
        <f>+H157*Q158/1000</f>
        <v>2759.208813588602</v>
      </c>
      <c r="AA158" s="69"/>
      <c r="AC158" s="3"/>
      <c r="AX158" s="4"/>
    </row>
    <row r="159" spans="1:51" x14ac:dyDescent="0.6">
      <c r="A159" s="7"/>
      <c r="B159" t="s">
        <v>74</v>
      </c>
      <c r="C159" s="60"/>
      <c r="D159" s="60"/>
      <c r="E159" s="61">
        <f>(E151*SUM(E65:E68)+E155*SUM(E60:E64,E69:E71))/E72</f>
        <v>54.077485115065308</v>
      </c>
      <c r="F159" s="61">
        <f>(F151*SUM(F65:F68)+F155*SUM(F60:F64,F69:F71))/F72</f>
        <v>54.05715692700295</v>
      </c>
      <c r="G159" s="61">
        <f>(G151*SUM(G65:G68)+G155*SUM(G60:G64,G69:G71))/G72</f>
        <v>54.190937487505856</v>
      </c>
      <c r="H159" s="61">
        <f>(H151*SUM(H65:H68)+H155*SUM(H60:H64,H69:H71))/H72</f>
        <v>54.156931048944116</v>
      </c>
      <c r="I159" s="61">
        <f>(I151*SUM(I65:I68)+I155*SUM(I60:I64,I69:I71))/I72</f>
        <v>50.161680691850705</v>
      </c>
      <c r="J159" s="60"/>
      <c r="K159" s="60"/>
      <c r="L159" s="60"/>
      <c r="M159" s="120"/>
      <c r="Z159" s="122">
        <f>+Z158+Z157</f>
        <v>5165.437962011446</v>
      </c>
      <c r="AA159" s="122"/>
      <c r="AC159" s="3">
        <f>+H134</f>
        <v>5165.4379620114451</v>
      </c>
      <c r="AD159" s="3"/>
    </row>
    <row r="160" spans="1:51" x14ac:dyDescent="0.6">
      <c r="A160" s="7"/>
      <c r="B160" t="s">
        <v>75</v>
      </c>
      <c r="C160" s="60">
        <f>+C140/SUM(C72:I72)*1000</f>
        <v>54.075492982453071</v>
      </c>
      <c r="M160" s="60"/>
      <c r="AU160" s="4"/>
      <c r="AV160" s="4"/>
      <c r="AW160" s="4"/>
      <c r="AX160" s="4"/>
      <c r="AY160" s="4"/>
    </row>
    <row r="161" spans="1:51" x14ac:dyDescent="0.6">
      <c r="A161" s="7"/>
    </row>
    <row r="162" spans="1:51" x14ac:dyDescent="0.6">
      <c r="A162" s="6" t="s">
        <v>76</v>
      </c>
      <c r="B162" s="1" t="s">
        <v>139</v>
      </c>
      <c r="Q162" s="2" t="str">
        <f>+$E149</f>
        <v>RT{1}</v>
      </c>
      <c r="R162" s="2"/>
      <c r="S162" s="2"/>
      <c r="T162" s="2" t="str">
        <f>+$E149</f>
        <v>RT{1}</v>
      </c>
      <c r="U162" s="2"/>
      <c r="V162" s="2"/>
      <c r="W162" s="2" t="str">
        <f>+$E149</f>
        <v>RT{1}</v>
      </c>
      <c r="X162" s="2"/>
      <c r="Z162" s="2" t="str">
        <f>+$E149</f>
        <v>RT{1}</v>
      </c>
      <c r="AA162" s="2"/>
      <c r="AC162" s="2" t="str">
        <f>+$E149</f>
        <v>RT{1}</v>
      </c>
    </row>
    <row r="163" spans="1:51" x14ac:dyDescent="0.6">
      <c r="A163" s="7"/>
      <c r="B163" s="15" t="str">
        <f>'BGS PTY23 Cost Alloc'!$B$161</f>
        <v>obligations - annual average forecasted for 2024; costs are market estimates</v>
      </c>
      <c r="J163" s="2" t="s">
        <v>306</v>
      </c>
    </row>
    <row r="164" spans="1:51" x14ac:dyDescent="0.6">
      <c r="A164" s="7"/>
      <c r="B164" s="15" t="s">
        <v>77</v>
      </c>
      <c r="C164" s="2"/>
      <c r="D164" s="2"/>
      <c r="E164" s="2" t="str">
        <f>+E$13</f>
        <v>RT{1}</v>
      </c>
      <c r="F164" s="2" t="str">
        <f>+F$13</f>
        <v>RS{2}</v>
      </c>
      <c r="G164" s="2" t="str">
        <f>+G$13</f>
        <v>GS{3}</v>
      </c>
      <c r="H164" s="2" t="str">
        <f>+H$58</f>
        <v>GST {4}</v>
      </c>
      <c r="I164" s="2" t="str">
        <f>+I$13</f>
        <v>OL/SL</v>
      </c>
      <c r="J164" s="2" t="s">
        <v>165</v>
      </c>
      <c r="K164" s="2"/>
      <c r="L164" s="2"/>
      <c r="P164" s="10" t="s">
        <v>25</v>
      </c>
      <c r="Q164" s="8" t="s">
        <v>196</v>
      </c>
      <c r="R164" s="8" t="s">
        <v>192</v>
      </c>
      <c r="T164" s="8" t="s">
        <v>196</v>
      </c>
      <c r="U164" s="8" t="s">
        <v>192</v>
      </c>
      <c r="W164" s="8" t="s">
        <v>196</v>
      </c>
      <c r="X164" s="8" t="s">
        <v>192</v>
      </c>
      <c r="Z164" s="8" t="s">
        <v>197</v>
      </c>
      <c r="AC164" s="8" t="s">
        <v>197</v>
      </c>
    </row>
    <row r="165" spans="1:51" x14ac:dyDescent="0.6">
      <c r="A165" s="7"/>
      <c r="P165" t="s">
        <v>14</v>
      </c>
      <c r="Q165" s="4">
        <f>SUMPRODUCT(E38:E41,M65:M68)</f>
        <v>25811.838199999998</v>
      </c>
      <c r="R165" s="4">
        <f>SUMPRODUCT(E38:E41,E65:E68)</f>
        <v>26644.739099999999</v>
      </c>
      <c r="T165" s="4">
        <f>Q76</f>
        <v>32944.4827</v>
      </c>
      <c r="U165" s="4">
        <f>T165-($Q$167*$Q165/($Q$165+$Q$166))</f>
        <v>32108.628288060161</v>
      </c>
      <c r="W165" s="4">
        <f>+T165-Q165</f>
        <v>7132.6445000000022</v>
      </c>
      <c r="X165" s="4">
        <f>-Q165+U165</f>
        <v>6296.7900880601628</v>
      </c>
      <c r="Z165" s="122">
        <f>+E152*Q165/1000</f>
        <v>1766.667098173489</v>
      </c>
      <c r="AA165" s="122"/>
      <c r="AU165" s="66"/>
      <c r="AV165" s="66"/>
      <c r="AW165" s="66"/>
      <c r="AX165" s="66"/>
      <c r="AY165" s="66"/>
    </row>
    <row r="166" spans="1:51" ht="15.25" x14ac:dyDescent="1.05">
      <c r="A166" s="7"/>
      <c r="B166" t="s">
        <v>78</v>
      </c>
      <c r="C166" s="71"/>
      <c r="D166" s="71"/>
      <c r="E166" s="71">
        <f>'BGS PTY23 Cost Alloc'!E164</f>
        <v>49.370786100000004</v>
      </c>
      <c r="F166" s="71">
        <f>'BGS PTY23 Cost Alloc'!F164</f>
        <v>3511.7774561799997</v>
      </c>
      <c r="G166" s="71">
        <f>'BGS PTY23 Cost Alloc'!G164</f>
        <v>1213.2031368</v>
      </c>
      <c r="H166" s="71">
        <f>'BGS PTY23 Cost Alloc'!H164</f>
        <v>23.119142200000002</v>
      </c>
      <c r="I166" s="71">
        <f>'BGS PTY23 Cost Alloc'!I164</f>
        <v>5.2202399999999996E-2</v>
      </c>
      <c r="J166" s="71">
        <f>SUM(E166:I166)</f>
        <v>4797.5227236800001</v>
      </c>
      <c r="K166" s="71"/>
      <c r="L166" s="71"/>
      <c r="M166" s="2"/>
      <c r="P166" t="s">
        <v>15</v>
      </c>
      <c r="Q166" s="4">
        <f>SUMPRODUCT(Q38:Q41,M65:M68)</f>
        <v>35534.161799999994</v>
      </c>
      <c r="R166" s="4">
        <f>SUMPRODUCT(Q38:Q41,E65:E68)</f>
        <v>36688.260900000001</v>
      </c>
      <c r="T166" s="4">
        <f>Q77</f>
        <v>30388.5173</v>
      </c>
      <c r="U166" s="4">
        <f>T166-($Q$167*$Q166/($Q$165+$Q$166))</f>
        <v>29237.828779291925</v>
      </c>
      <c r="W166" s="4">
        <f>+T166-Q166</f>
        <v>-5145.6444999999949</v>
      </c>
      <c r="X166" s="4">
        <f>-Q166+U166</f>
        <v>-6296.3330207080689</v>
      </c>
      <c r="Z166" s="122">
        <f>+E153*Q166/1000</f>
        <v>1596.2608466109818</v>
      </c>
      <c r="AA166" s="69"/>
      <c r="AU166" s="66"/>
      <c r="AV166" s="66"/>
      <c r="AW166" s="66"/>
      <c r="AX166" s="66"/>
      <c r="AY166" s="66"/>
    </row>
    <row r="167" spans="1:51" ht="15.25" x14ac:dyDescent="1.05">
      <c r="A167" s="7"/>
      <c r="P167" t="s">
        <v>191</v>
      </c>
      <c r="Q167" s="4">
        <f>SUM(W65:W68)/1000</f>
        <v>1986.5429326479127</v>
      </c>
      <c r="R167" s="4"/>
      <c r="T167" s="4">
        <v>0</v>
      </c>
      <c r="U167" s="4">
        <v>0</v>
      </c>
      <c r="W167" s="4">
        <f>+T167-Q167</f>
        <v>-1986.5429326479127</v>
      </c>
      <c r="X167" s="4"/>
      <c r="Z167" s="69">
        <f>+E151*Q167/1000</f>
        <v>108.89880618404342</v>
      </c>
      <c r="AU167" s="66"/>
      <c r="AV167" s="66"/>
      <c r="AW167" s="66"/>
      <c r="AX167" s="66"/>
      <c r="AY167" s="66"/>
    </row>
    <row r="168" spans="1:51" x14ac:dyDescent="0.6">
      <c r="A168" s="7"/>
      <c r="B168" t="s">
        <v>79</v>
      </c>
      <c r="C168" s="72" t="s">
        <v>80</v>
      </c>
      <c r="D168" s="70"/>
      <c r="E168" s="56"/>
      <c r="F168" s="56"/>
      <c r="G168" s="56"/>
      <c r="H168" s="56"/>
      <c r="I168" s="56"/>
      <c r="J168" s="70"/>
      <c r="K168" s="70"/>
      <c r="L168" s="70"/>
      <c r="M168" s="71"/>
      <c r="Z168" s="122">
        <f>SUM(Z165:Z167)</f>
        <v>3471.8267509685143</v>
      </c>
      <c r="AA168" s="122"/>
      <c r="AC168" s="3">
        <f>+E130</f>
        <v>3471.8041974864282</v>
      </c>
      <c r="AU168" s="66"/>
      <c r="AV168" s="66"/>
      <c r="AW168" s="66"/>
      <c r="AX168" s="66"/>
      <c r="AY168" s="66"/>
    </row>
    <row r="169" spans="1:51" x14ac:dyDescent="0.6">
      <c r="A169" s="7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P169" s="10" t="s">
        <v>26</v>
      </c>
      <c r="Q169" s="4"/>
      <c r="R169" s="4"/>
      <c r="T169" s="4"/>
      <c r="U169" s="4"/>
      <c r="W169" s="4"/>
      <c r="X169" s="4"/>
      <c r="AU169" s="66"/>
      <c r="AV169" s="66"/>
      <c r="AW169" s="66"/>
      <c r="AX169" s="66"/>
      <c r="AY169" s="66"/>
    </row>
    <row r="170" spans="1:51" x14ac:dyDescent="0.6">
      <c r="A170" s="7"/>
      <c r="B170" t="s">
        <v>81</v>
      </c>
      <c r="I170" s="70"/>
      <c r="J170" s="70"/>
      <c r="K170" s="70"/>
      <c r="L170" s="70"/>
      <c r="M170" s="70"/>
      <c r="P170" t="s">
        <v>14</v>
      </c>
      <c r="Q170" s="4">
        <f>SUMPRODUCT(E33:E37,M60:M64)+SUMPRODUCT(E42:E44,M69:M71)</f>
        <v>42194.068100000004</v>
      </c>
      <c r="R170" s="4">
        <f>SUMPRODUCT(E33:E37,E60:E64)+SUMPRODUCT(E42:E44,E69:E71)</f>
        <v>43971.953699999998</v>
      </c>
      <c r="T170" s="4">
        <f>Q72</f>
        <v>58300.455999999998</v>
      </c>
      <c r="U170" s="4">
        <f>T170-($Q$172*$Q170/($Q$170+$Q$171))</f>
        <v>56529.25821469642</v>
      </c>
      <c r="W170" s="4">
        <f>+T170-Q170</f>
        <v>16106.387899999994</v>
      </c>
      <c r="X170" s="4">
        <f>-Q170+U170</f>
        <v>14335.190114696416</v>
      </c>
      <c r="Z170" s="122">
        <f>+E156*Q170/1000</f>
        <v>2522.0407874368898</v>
      </c>
      <c r="AA170" s="122"/>
      <c r="AC170" s="3"/>
      <c r="AU170" s="66"/>
      <c r="AV170" s="66"/>
      <c r="AW170" s="66"/>
      <c r="AX170" s="66"/>
      <c r="AY170" s="66"/>
    </row>
    <row r="171" spans="1:51" ht="15.25" x14ac:dyDescent="1.05">
      <c r="A171" s="7"/>
      <c r="D171" s="73" t="s">
        <v>82</v>
      </c>
      <c r="E171" s="114">
        <v>122</v>
      </c>
      <c r="G171" s="73" t="s">
        <v>83</v>
      </c>
      <c r="H171" s="74">
        <v>4</v>
      </c>
      <c r="I171" s="70"/>
      <c r="J171" s="70"/>
      <c r="K171" s="70"/>
      <c r="L171" s="70"/>
      <c r="M171" s="70"/>
      <c r="P171" t="s">
        <v>15</v>
      </c>
      <c r="Q171" s="4">
        <f>SUMPRODUCT(Q33:Q37,M60:M64)+SUMPRODUCT(Q42:Q44,M69:M71)</f>
        <v>75293.931899999996</v>
      </c>
      <c r="R171" s="4">
        <f>SUMPRODUCT(Q33:Q37,E60:E64)+SUMPRODUCT(Q42:Q44,E69:E71)</f>
        <v>78447.046300000002</v>
      </c>
      <c r="T171" s="4">
        <f>Q73</f>
        <v>64118.544000000002</v>
      </c>
      <c r="U171" s="4">
        <f>T171-($Q$172*$Q171/($Q$170+$Q$171))</f>
        <v>60957.899591122099</v>
      </c>
      <c r="W171" s="4">
        <f>+T171-Q171</f>
        <v>-11175.387899999994</v>
      </c>
      <c r="X171" s="4">
        <f>-Q171+U171</f>
        <v>-14336.032308877897</v>
      </c>
      <c r="Z171" s="122">
        <f>+E157*Q171/1000</f>
        <v>3786.3699736713138</v>
      </c>
      <c r="AA171" s="69"/>
      <c r="AC171" s="3"/>
      <c r="AU171" s="66"/>
      <c r="AV171" s="66"/>
      <c r="AW171" s="66"/>
      <c r="AX171" s="66"/>
      <c r="AY171" s="66"/>
    </row>
    <row r="172" spans="1:51" ht="15.25" x14ac:dyDescent="1.05">
      <c r="A172" s="7"/>
      <c r="D172" s="75" t="s">
        <v>84</v>
      </c>
      <c r="E172" s="74">
        <v>243</v>
      </c>
      <c r="G172" s="75" t="s">
        <v>85</v>
      </c>
      <c r="H172" s="74">
        <v>8</v>
      </c>
      <c r="I172" s="70"/>
      <c r="J172" s="70"/>
      <c r="K172" s="70"/>
      <c r="L172" s="70"/>
      <c r="M172" s="70"/>
      <c r="P172" t="s">
        <v>191</v>
      </c>
      <c r="Q172" s="4">
        <f>SUM(W60:W64,W69:W71)/1000</f>
        <v>4931.8421941814795</v>
      </c>
      <c r="T172">
        <v>0</v>
      </c>
      <c r="U172" s="4">
        <v>0</v>
      </c>
      <c r="W172" s="4">
        <f>+T172-Q172</f>
        <v>-4931.8421941814795</v>
      </c>
      <c r="X172" s="4"/>
      <c r="Z172" s="69">
        <f>+E155*Q172/1000</f>
        <v>264.81158493154271</v>
      </c>
      <c r="AU172" s="66"/>
      <c r="AV172" s="66"/>
      <c r="AW172" s="66"/>
      <c r="AX172" s="66"/>
      <c r="AY172" s="66"/>
    </row>
    <row r="173" spans="1:51" x14ac:dyDescent="0.6">
      <c r="A173" s="7"/>
      <c r="G173" s="73" t="s">
        <v>86</v>
      </c>
      <c r="H173">
        <f>+H171+H172</f>
        <v>12</v>
      </c>
      <c r="I173" s="70"/>
      <c r="J173" s="70"/>
      <c r="K173" s="70"/>
      <c r="L173" s="70"/>
      <c r="M173" s="70"/>
      <c r="Q173" s="2"/>
      <c r="R173" s="2"/>
      <c r="S173" s="2"/>
      <c r="T173" s="2"/>
      <c r="U173" s="2"/>
      <c r="V173" s="2"/>
      <c r="W173" s="2"/>
      <c r="X173" s="2"/>
      <c r="Z173" s="122">
        <f>SUM(Z170:Z172)</f>
        <v>6573.2223460397463</v>
      </c>
      <c r="AA173" s="122"/>
      <c r="AC173" s="3">
        <f>+E134</f>
        <v>6573.1968176071832</v>
      </c>
      <c r="AU173" s="3"/>
      <c r="AV173" s="3"/>
      <c r="AW173" s="3"/>
      <c r="AX173" s="3"/>
      <c r="AY173" s="3"/>
    </row>
    <row r="174" spans="1:51" ht="15.25" x14ac:dyDescent="1.05">
      <c r="A174" s="7"/>
      <c r="B174" s="18" t="s">
        <v>158</v>
      </c>
      <c r="C174" s="76"/>
      <c r="D174" s="77"/>
      <c r="K174" s="78"/>
      <c r="M174" s="70"/>
      <c r="Q174" s="4"/>
      <c r="R174" s="4"/>
      <c r="T174" s="4"/>
      <c r="U174" s="4"/>
      <c r="W174" s="4"/>
      <c r="X174" s="4"/>
      <c r="Z174" s="69"/>
      <c r="AA174" s="69"/>
      <c r="AX174" s="3"/>
    </row>
    <row r="175" spans="1:51" x14ac:dyDescent="0.6">
      <c r="A175" s="7"/>
      <c r="B175" s="273"/>
      <c r="C175" s="76"/>
      <c r="D175" s="340"/>
      <c r="E175" s="77"/>
      <c r="G175" s="306"/>
      <c r="H175" s="68"/>
      <c r="K175" s="78"/>
      <c r="M175" s="70"/>
      <c r="Q175" s="4"/>
      <c r="R175" s="4"/>
      <c r="T175" s="4"/>
      <c r="U175" s="4"/>
      <c r="W175" s="4"/>
      <c r="X175" s="4"/>
      <c r="Z175" s="122"/>
      <c r="AA175" s="122"/>
      <c r="AC175" s="3">
        <f>SUM(AC168:AC173)</f>
        <v>10045.00101509361</v>
      </c>
    </row>
    <row r="176" spans="1:51" x14ac:dyDescent="0.6">
      <c r="A176" s="7"/>
      <c r="D176" s="8" t="s">
        <v>221</v>
      </c>
      <c r="E176" s="8" t="s">
        <v>218</v>
      </c>
      <c r="Q176" s="4"/>
      <c r="R176" s="4"/>
      <c r="T176" s="4"/>
      <c r="U176" s="4"/>
      <c r="W176" s="4"/>
      <c r="X176" s="4"/>
      <c r="Z176" s="122"/>
      <c r="AA176" s="122"/>
      <c r="AC176" s="3"/>
    </row>
    <row r="177" spans="1:50" x14ac:dyDescent="0.6">
      <c r="A177" s="7"/>
      <c r="B177" s="18" t="s">
        <v>87</v>
      </c>
      <c r="C177" t="s">
        <v>25</v>
      </c>
      <c r="D177" s="11">
        <v>54.5</v>
      </c>
      <c r="E177" s="139">
        <f>ROUND(D177*$H$307,3)</f>
        <v>67.415000000000006</v>
      </c>
      <c r="F177" s="77" t="s">
        <v>88</v>
      </c>
      <c r="G177" s="73" t="s">
        <v>162</v>
      </c>
      <c r="H177" s="3">
        <f>ROUND(E177*E171*J$166,0)</f>
        <v>39457849</v>
      </c>
      <c r="I177" s="73"/>
      <c r="J177" s="73"/>
      <c r="K177" s="120"/>
      <c r="Q177" s="4"/>
      <c r="R177" s="4"/>
      <c r="T177" s="4"/>
      <c r="U177" s="4"/>
      <c r="W177" s="4"/>
      <c r="X177" s="4"/>
      <c r="Z177" s="122"/>
      <c r="AA177" s="122"/>
      <c r="AC177" s="3"/>
    </row>
    <row r="178" spans="1:50" ht="15.25" x14ac:dyDescent="1.05">
      <c r="A178" s="7"/>
      <c r="B178" s="18"/>
      <c r="C178" t="s">
        <v>26</v>
      </c>
      <c r="D178" s="11">
        <v>54.5</v>
      </c>
      <c r="E178" s="139">
        <f>ROUND(D178*$H$307,3)</f>
        <v>67.415000000000006</v>
      </c>
      <c r="F178" s="77" t="s">
        <v>88</v>
      </c>
      <c r="G178" s="103" t="s">
        <v>163</v>
      </c>
      <c r="H178" s="104">
        <f>ROUND(E178*E172*J$166,0)</f>
        <v>78592274</v>
      </c>
      <c r="I178" s="73"/>
      <c r="J178" s="73"/>
      <c r="K178" s="120"/>
      <c r="Q178" s="4"/>
      <c r="R178" s="4"/>
      <c r="T178" s="4"/>
      <c r="U178" s="4"/>
      <c r="W178" s="4"/>
      <c r="X178" s="4"/>
      <c r="Z178" s="122"/>
      <c r="AA178" s="122"/>
      <c r="AC178" s="3"/>
    </row>
    <row r="179" spans="1:50" ht="15.25" x14ac:dyDescent="1.05">
      <c r="A179" s="7"/>
      <c r="B179" s="359"/>
      <c r="C179" s="359"/>
      <c r="D179" s="359"/>
      <c r="E179" s="359"/>
      <c r="F179" s="359"/>
      <c r="G179" s="73" t="s">
        <v>164</v>
      </c>
      <c r="H179" s="3">
        <f>SUM(H177:H178)</f>
        <v>118050123</v>
      </c>
      <c r="I179" s="73"/>
      <c r="J179" s="402"/>
      <c r="K179" s="120"/>
      <c r="Q179" s="4"/>
      <c r="R179" s="4"/>
      <c r="T179" s="4"/>
      <c r="U179" s="4"/>
      <c r="W179" s="4"/>
      <c r="X179" s="4"/>
      <c r="Z179" s="69"/>
      <c r="AA179" s="69"/>
      <c r="AC179" s="3"/>
    </row>
    <row r="180" spans="1:50" x14ac:dyDescent="0.6">
      <c r="A180" s="7"/>
      <c r="B180" s="359"/>
      <c r="C180" s="359"/>
      <c r="D180" s="359"/>
      <c r="E180" s="359"/>
      <c r="F180" s="359"/>
      <c r="G180" s="73"/>
      <c r="H180" s="3"/>
      <c r="I180" s="73"/>
      <c r="J180" s="73"/>
      <c r="K180" s="120"/>
      <c r="Z180" s="122"/>
      <c r="AA180" s="122"/>
      <c r="AC180" s="3"/>
    </row>
    <row r="181" spans="1:50" x14ac:dyDescent="0.6">
      <c r="A181" s="7"/>
      <c r="B181" t="s">
        <v>153</v>
      </c>
      <c r="I181" s="73"/>
      <c r="J181" s="73"/>
      <c r="K181" s="120"/>
    </row>
    <row r="182" spans="1:50" x14ac:dyDescent="0.6">
      <c r="A182" s="7"/>
      <c r="B182" s="15" t="s">
        <v>154</v>
      </c>
      <c r="I182" s="73"/>
      <c r="J182" s="73"/>
      <c r="K182" s="120"/>
    </row>
    <row r="183" spans="1:50" x14ac:dyDescent="0.6">
      <c r="A183" s="7"/>
      <c r="B183" s="15"/>
      <c r="C183" s="88" t="str">
        <f>" ---------- Rate "&amp;C30&amp;" ----------"</f>
        <v xml:space="preserve"> ---------- Rate  ----------</v>
      </c>
      <c r="D183" s="89"/>
      <c r="E183" s="89"/>
      <c r="I183" s="73"/>
      <c r="J183" s="73"/>
      <c r="K183" s="120"/>
    </row>
    <row r="184" spans="1:50" x14ac:dyDescent="0.6">
      <c r="A184" s="7"/>
      <c r="C184" s="8" t="s">
        <v>140</v>
      </c>
      <c r="E184" s="8" t="s">
        <v>141</v>
      </c>
      <c r="I184" s="73"/>
      <c r="J184" s="73"/>
      <c r="K184" s="120"/>
    </row>
    <row r="185" spans="1:50" x14ac:dyDescent="0.6">
      <c r="A185" s="7"/>
      <c r="B185" s="73" t="s">
        <v>142</v>
      </c>
      <c r="C185" s="90"/>
      <c r="E185" s="99">
        <f>SUM(R65/(R65+R66))</f>
        <v>0.48185536299523257</v>
      </c>
      <c r="F185" s="95"/>
      <c r="I185" s="73"/>
      <c r="J185" s="73"/>
      <c r="K185" s="120"/>
    </row>
    <row r="186" spans="1:50" x14ac:dyDescent="0.6">
      <c r="A186" s="7"/>
      <c r="B186" s="73" t="s">
        <v>144</v>
      </c>
      <c r="C186" s="91"/>
      <c r="E186" s="92">
        <f>1-E185</f>
        <v>0.51814463700476743</v>
      </c>
      <c r="G186" s="4"/>
      <c r="I186" s="73"/>
      <c r="J186" s="73"/>
      <c r="K186" s="120"/>
    </row>
    <row r="187" spans="1:50" x14ac:dyDescent="0.6">
      <c r="A187" s="7"/>
      <c r="B187" s="93" t="s">
        <v>155</v>
      </c>
      <c r="C187" s="94">
        <v>0.86519999999999997</v>
      </c>
      <c r="D187" t="s">
        <v>143</v>
      </c>
      <c r="J187" s="73"/>
      <c r="K187" s="120"/>
      <c r="AX187" s="99"/>
    </row>
    <row r="188" spans="1:50" x14ac:dyDescent="0.6">
      <c r="A188"/>
      <c r="J188" s="73"/>
      <c r="K188" s="120"/>
    </row>
    <row r="189" spans="1:50" x14ac:dyDescent="0.6">
      <c r="A189" s="6" t="s">
        <v>89</v>
      </c>
      <c r="B189" s="1" t="s">
        <v>90</v>
      </c>
      <c r="D189" s="8" t="s">
        <v>221</v>
      </c>
      <c r="E189" s="8" t="s">
        <v>218</v>
      </c>
    </row>
    <row r="190" spans="1:50" x14ac:dyDescent="0.6">
      <c r="A190" s="7"/>
      <c r="B190" s="15" t="s">
        <v>314</v>
      </c>
      <c r="D190" s="343">
        <v>2</v>
      </c>
    </row>
    <row r="191" spans="1:50" x14ac:dyDescent="0.6">
      <c r="A191" s="7"/>
      <c r="B191" s="15" t="s">
        <v>317</v>
      </c>
      <c r="D191" s="344">
        <v>20.88</v>
      </c>
      <c r="F191" s="77"/>
    </row>
    <row r="192" spans="1:50" x14ac:dyDescent="0.6">
      <c r="A192" s="7"/>
      <c r="B192" s="15" t="s">
        <v>91</v>
      </c>
      <c r="D192" s="341">
        <f>D190+D191</f>
        <v>22.88</v>
      </c>
      <c r="E192" s="139">
        <f>ROUND(D192*$H$307,3)</f>
        <v>28.302</v>
      </c>
      <c r="F192" t="s">
        <v>92</v>
      </c>
    </row>
    <row r="193" spans="1:13" x14ac:dyDescent="0.6">
      <c r="A193" s="7"/>
      <c r="B193" s="15"/>
      <c r="E193" s="76"/>
      <c r="F193" s="77"/>
    </row>
    <row r="194" spans="1:13" x14ac:dyDescent="0.6">
      <c r="A194" s="6" t="s">
        <v>93</v>
      </c>
      <c r="B194" s="1" t="s">
        <v>167</v>
      </c>
    </row>
    <row r="195" spans="1:13" x14ac:dyDescent="0.6">
      <c r="A195" s="6"/>
      <c r="B195" s="1"/>
    </row>
    <row r="196" spans="1:13" x14ac:dyDescent="0.6">
      <c r="A196" s="6"/>
      <c r="B196" s="1"/>
      <c r="C196" s="2"/>
      <c r="D196" s="2"/>
      <c r="E196" s="2" t="str">
        <f>+E$13</f>
        <v>RT{1}</v>
      </c>
      <c r="F196" s="2" t="str">
        <f>+F$13</f>
        <v>RS{2}</v>
      </c>
      <c r="G196" s="2" t="str">
        <f>+G$13</f>
        <v>GS{3}</v>
      </c>
      <c r="H196" s="133" t="str">
        <f>+H$58</f>
        <v>GST {4}</v>
      </c>
      <c r="I196" s="2" t="str">
        <f>+I$13</f>
        <v>OL/SL</v>
      </c>
      <c r="J196" s="2"/>
    </row>
    <row r="197" spans="1:13" x14ac:dyDescent="0.6">
      <c r="A197" s="6"/>
      <c r="B197" s="1"/>
    </row>
    <row r="198" spans="1:13" x14ac:dyDescent="0.6">
      <c r="A198" s="7"/>
      <c r="B198" s="73" t="s">
        <v>94</v>
      </c>
      <c r="C198" s="123"/>
      <c r="D198" s="123"/>
      <c r="E198" s="124">
        <v>0</v>
      </c>
      <c r="F198" s="124">
        <v>0</v>
      </c>
      <c r="G198" s="124">
        <v>0</v>
      </c>
      <c r="H198" s="124">
        <v>0</v>
      </c>
      <c r="I198" s="124">
        <v>0</v>
      </c>
      <c r="J198" s="123"/>
      <c r="K198" s="123" t="s">
        <v>251</v>
      </c>
      <c r="L198" s="123"/>
    </row>
    <row r="199" spans="1:13" x14ac:dyDescent="0.6">
      <c r="A199" s="7"/>
      <c r="B199" s="7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</row>
    <row r="200" spans="1:13" x14ac:dyDescent="0.6">
      <c r="A200" s="7"/>
      <c r="B200" s="73" t="s">
        <v>131</v>
      </c>
      <c r="C200" s="123"/>
      <c r="D200" s="123"/>
      <c r="E200" s="124">
        <f>$H$179*(E$166/$J$166)/E$72</f>
        <v>6.5401234672540021</v>
      </c>
      <c r="F200" s="124">
        <f>$H$179*(F$166/$J$166)/F$72</f>
        <v>8.9432297778137801</v>
      </c>
      <c r="G200" s="124">
        <f>$H$179*(G$166/$J$166)/G$72</f>
        <v>4.9467542341379618</v>
      </c>
      <c r="H200" s="124">
        <f>$H$179*(H$166/$J$166)/H$72</f>
        <v>3.7523620090766636</v>
      </c>
      <c r="I200" s="124">
        <f>$H$179*(I$166/$J$166)/I$72</f>
        <v>9.4458117698010078E-3</v>
      </c>
      <c r="J200" s="123"/>
      <c r="K200" s="123"/>
      <c r="L200" s="123"/>
      <c r="M200" s="275"/>
    </row>
    <row r="201" spans="1:13" x14ac:dyDescent="0.6">
      <c r="A201" s="7"/>
      <c r="B201" s="73" t="s">
        <v>198</v>
      </c>
      <c r="C201" s="123"/>
      <c r="D201" s="123"/>
      <c r="E201" s="124">
        <f>$H$177*(E$166/$J$166)/SUM(E65:E68)</f>
        <v>6.411451300274531</v>
      </c>
      <c r="F201" s="124">
        <f>$H$177*(F$166/$J$166)/SUM(F65:F68)</f>
        <v>7.054865284474455</v>
      </c>
      <c r="G201" s="124">
        <f>$H$177*(G$166/$J$166)/SUM(G65:G68)</f>
        <v>4.583756996643146</v>
      </c>
      <c r="H201" s="124"/>
      <c r="I201" s="124">
        <f>$H$177*(I$166/$J$166)/SUM(I65:I68)</f>
        <v>9.4705067087778698E-3</v>
      </c>
      <c r="J201" s="123"/>
      <c r="K201" s="123"/>
      <c r="L201" s="123"/>
      <c r="M201" s="275"/>
    </row>
    <row r="202" spans="1:13" x14ac:dyDescent="0.6">
      <c r="A202" s="7"/>
      <c r="B202" s="73" t="s">
        <v>199</v>
      </c>
      <c r="C202" s="123"/>
      <c r="D202" s="123"/>
      <c r="E202" s="124">
        <f>$H$177*(E$166/$J$166)/R165</f>
        <v>15.239648009925039</v>
      </c>
      <c r="F202" s="124"/>
      <c r="G202" s="124"/>
      <c r="H202" s="124">
        <f>$H$177*(H$166/$J$166)/Q153</f>
        <v>7.7026565071311826</v>
      </c>
      <c r="I202" s="124"/>
      <c r="J202" s="123"/>
      <c r="K202" s="123"/>
      <c r="L202" s="123"/>
      <c r="M202" s="123"/>
    </row>
    <row r="203" spans="1:13" x14ac:dyDescent="0.6">
      <c r="A203" s="7"/>
      <c r="B203" s="73" t="s">
        <v>201</v>
      </c>
      <c r="C203" s="123"/>
      <c r="D203" s="123"/>
      <c r="E203" s="124">
        <f>$H$178*(E$166/$J$166)/(E72-SUM(E65:E68))</f>
        <v>6.6066915192010924</v>
      </c>
      <c r="F203" s="124">
        <f>$H$178*(F$166/$J$166)/(F72-SUM(F65:F68))</f>
        <v>10.331647810609748</v>
      </c>
      <c r="G203" s="124">
        <f>$H$178*(G$166/$J$166)/(G72-SUM(G65:G68))</f>
        <v>5.1515756517062563</v>
      </c>
      <c r="H203" s="124"/>
      <c r="I203" s="124">
        <f>$H$178*(I$166/$J$166)/(I72-SUM(I65:I68))</f>
        <v>9.43346198481302E-3</v>
      </c>
      <c r="J203" s="123"/>
      <c r="K203" s="123"/>
      <c r="L203" s="123"/>
      <c r="M203" s="123"/>
    </row>
    <row r="204" spans="1:13" x14ac:dyDescent="0.6">
      <c r="A204" s="7"/>
      <c r="B204" s="73" t="s">
        <v>200</v>
      </c>
      <c r="C204" s="123"/>
      <c r="D204" s="123"/>
      <c r="E204" s="124">
        <f>$H$178*(E$166/$J$166)/R170</f>
        <v>18.393191592237091</v>
      </c>
      <c r="F204" s="125"/>
      <c r="G204" s="125"/>
      <c r="H204" s="124">
        <f>$H$178*(H$166/$J$166)/Q157</f>
        <v>9.320646364162009</v>
      </c>
      <c r="I204" s="124"/>
      <c r="J204" s="123"/>
      <c r="K204" s="123"/>
      <c r="L204" s="123"/>
      <c r="M204" s="123"/>
    </row>
    <row r="205" spans="1:13" x14ac:dyDescent="0.6">
      <c r="A205" s="7"/>
      <c r="B205" s="73"/>
      <c r="C205" s="123"/>
      <c r="D205" s="123"/>
      <c r="E205" s="124"/>
      <c r="F205" s="124"/>
      <c r="G205" s="124"/>
      <c r="H205" s="124"/>
      <c r="I205" s="124"/>
      <c r="J205" s="123"/>
      <c r="K205" s="123"/>
      <c r="L205" s="123"/>
      <c r="M205" s="123"/>
    </row>
    <row r="206" spans="1:13" ht="15.5" x14ac:dyDescent="0.7">
      <c r="A206" s="7"/>
      <c r="B206" s="570" t="str">
        <f>$B$1</f>
        <v xml:space="preserve">Jersey Central Power &amp; Light </v>
      </c>
      <c r="C206" s="570"/>
      <c r="D206" s="570"/>
      <c r="E206" s="570"/>
      <c r="F206" s="570"/>
      <c r="G206" s="570"/>
      <c r="H206" s="570"/>
      <c r="I206" s="570"/>
      <c r="J206" s="570"/>
      <c r="K206" s="570"/>
      <c r="L206" s="570"/>
      <c r="M206" s="123"/>
    </row>
    <row r="207" spans="1:13" ht="15.5" x14ac:dyDescent="0.7">
      <c r="A207" s="7"/>
      <c r="B207" s="570" t="str">
        <f>$B$2</f>
        <v>Attachment 2</v>
      </c>
      <c r="C207" s="570"/>
      <c r="D207" s="570"/>
      <c r="E207" s="570"/>
      <c r="F207" s="570"/>
      <c r="G207" s="570"/>
      <c r="H207" s="570"/>
      <c r="I207" s="570"/>
      <c r="J207" s="570"/>
      <c r="K207" s="570"/>
      <c r="L207" s="570"/>
      <c r="M207" s="123"/>
    </row>
    <row r="208" spans="1:13" x14ac:dyDescent="0.6">
      <c r="A208" s="7"/>
      <c r="E208" s="123"/>
      <c r="F208" s="123"/>
      <c r="G208" s="123"/>
      <c r="H208" s="123"/>
      <c r="K208" s="123"/>
      <c r="L208" s="123"/>
      <c r="M208" s="123"/>
    </row>
    <row r="209" spans="1:18" x14ac:dyDescent="0.6">
      <c r="A209" s="7"/>
      <c r="M209" s="123"/>
      <c r="N209" s="123"/>
      <c r="O209" s="123"/>
      <c r="P209" s="123"/>
      <c r="Q209" s="123"/>
      <c r="R209" s="123"/>
    </row>
    <row r="210" spans="1:18" x14ac:dyDescent="0.6">
      <c r="A210" s="6" t="s">
        <v>95</v>
      </c>
      <c r="B210" s="1" t="s">
        <v>96</v>
      </c>
      <c r="M210" s="123"/>
      <c r="N210" s="123"/>
      <c r="O210" s="123"/>
      <c r="P210" s="123"/>
      <c r="Q210" s="123"/>
      <c r="R210" s="123"/>
    </row>
    <row r="211" spans="1:18" x14ac:dyDescent="0.6">
      <c r="A211" s="7"/>
      <c r="B211" s="1"/>
      <c r="M211" s="123"/>
      <c r="N211" s="123"/>
      <c r="O211" s="123"/>
      <c r="P211" s="123"/>
      <c r="Q211" s="123"/>
      <c r="R211" s="123"/>
    </row>
    <row r="212" spans="1:18" x14ac:dyDescent="0.6">
      <c r="A212" s="7"/>
      <c r="B212" s="1" t="s">
        <v>97</v>
      </c>
      <c r="M212" s="123"/>
      <c r="N212" s="123"/>
      <c r="O212" s="123"/>
      <c r="P212" s="123"/>
      <c r="Q212" s="123"/>
      <c r="R212" s="123"/>
    </row>
    <row r="213" spans="1:18" x14ac:dyDescent="0.6">
      <c r="A213" s="7"/>
      <c r="B213" s="15" t="s">
        <v>411</v>
      </c>
      <c r="M213" s="123"/>
      <c r="N213" s="123"/>
      <c r="O213" s="123"/>
      <c r="P213" s="123"/>
      <c r="Q213" s="123"/>
      <c r="R213" s="123"/>
    </row>
    <row r="214" spans="1:18" x14ac:dyDescent="0.6">
      <c r="A214" s="7"/>
      <c r="B214" s="15" t="s">
        <v>21</v>
      </c>
      <c r="M214" s="123"/>
      <c r="N214" s="123"/>
      <c r="O214" s="123"/>
      <c r="P214" s="123"/>
      <c r="Q214" s="123"/>
      <c r="R214" s="123"/>
    </row>
    <row r="215" spans="1:18" x14ac:dyDescent="0.6">
      <c r="A215" s="7"/>
      <c r="C215" s="2"/>
      <c r="D215" s="2"/>
      <c r="E215" s="2" t="str">
        <f>+E$13</f>
        <v>RT{1}</v>
      </c>
      <c r="F215" s="2" t="str">
        <f>+F$13</f>
        <v>RS{2}</v>
      </c>
      <c r="G215" s="2" t="str">
        <f>+G$13</f>
        <v>GS{3}</v>
      </c>
      <c r="H215" s="133" t="str">
        <f>+H$58</f>
        <v>GST {4}</v>
      </c>
      <c r="I215" s="2" t="str">
        <f>+I$13</f>
        <v>OL/SL</v>
      </c>
      <c r="J215" s="2"/>
      <c r="M215" s="123"/>
      <c r="N215" s="123"/>
      <c r="O215" s="123"/>
      <c r="P215" s="123"/>
      <c r="Q215" s="123"/>
      <c r="R215" s="123"/>
    </row>
    <row r="216" spans="1:18" x14ac:dyDescent="0.6">
      <c r="A216" s="7"/>
      <c r="C216" s="2"/>
      <c r="D216" s="2"/>
      <c r="E216" s="60"/>
      <c r="F216" s="2"/>
      <c r="G216" s="2"/>
      <c r="M216" s="123"/>
      <c r="N216" s="123"/>
      <c r="O216" s="123"/>
      <c r="P216" s="123"/>
      <c r="Q216" s="123"/>
      <c r="R216" s="123"/>
    </row>
    <row r="217" spans="1:18" x14ac:dyDescent="0.6">
      <c r="A217" s="7"/>
      <c r="B217" s="23" t="s">
        <v>17</v>
      </c>
      <c r="C217" s="60"/>
      <c r="D217" s="60"/>
      <c r="E217" s="60">
        <f>+E151+(E$95*$E$192)+E$198+E201</f>
        <v>92.871314997607158</v>
      </c>
      <c r="F217" s="60">
        <f>+F151+(F$95*$E$192)+F$198+F201</f>
        <v>93.736091970098002</v>
      </c>
      <c r="G217" s="60">
        <f>+G151+(G$95*$E$192)+G$198+G201</f>
        <v>92.000213540723621</v>
      </c>
      <c r="H217" s="60"/>
      <c r="I217" s="60">
        <f>+I151+(I$95*$E$192)+I$198+I201</f>
        <v>80.918775723303639</v>
      </c>
      <c r="J217" s="60"/>
      <c r="K217" s="60"/>
      <c r="M217" s="123"/>
      <c r="N217" s="123"/>
      <c r="O217" s="123"/>
      <c r="P217" s="123"/>
      <c r="Q217" s="123"/>
      <c r="R217" s="123"/>
    </row>
    <row r="218" spans="1:18" x14ac:dyDescent="0.6">
      <c r="A218" s="7"/>
      <c r="B218" s="63" t="s">
        <v>72</v>
      </c>
      <c r="C218" s="60"/>
      <c r="D218" s="60"/>
      <c r="E218" s="60">
        <f>+E152+(E$95*$E$192)+E$198+E$202</f>
        <v>115.32532588490523</v>
      </c>
      <c r="F218" s="60"/>
      <c r="G218" s="60"/>
      <c r="H218" s="60">
        <f>+H152+(H$95*$E$192)+H$198+H$202</f>
        <v>106.63934768782237</v>
      </c>
      <c r="I218" s="60"/>
      <c r="J218" s="60"/>
      <c r="M218" s="123"/>
      <c r="N218" s="123"/>
      <c r="O218" s="123"/>
      <c r="P218" s="123"/>
      <c r="Q218" s="123"/>
      <c r="R218" s="123"/>
    </row>
    <row r="219" spans="1:18" x14ac:dyDescent="0.6">
      <c r="A219" s="7"/>
      <c r="B219" s="63" t="s">
        <v>73</v>
      </c>
      <c r="C219" s="60"/>
      <c r="D219" s="60"/>
      <c r="E219" s="60">
        <f>+E153+(E$95*$E$192)+E$198</f>
        <v>76.563479936777426</v>
      </c>
      <c r="F219" s="60"/>
      <c r="G219" s="60"/>
      <c r="H219" s="60">
        <f>+H153+(H$95*$E$192)+H$198</f>
        <v>76.584470449397287</v>
      </c>
      <c r="I219" s="60"/>
      <c r="J219" s="60"/>
      <c r="M219" s="123"/>
      <c r="N219" s="123"/>
      <c r="O219" s="123"/>
      <c r="P219" s="123"/>
      <c r="Q219" s="123"/>
      <c r="R219" s="123"/>
    </row>
    <row r="220" spans="1:18" x14ac:dyDescent="0.6">
      <c r="A220" s="7"/>
      <c r="B220" s="73" t="s">
        <v>142</v>
      </c>
      <c r="C220" s="60"/>
      <c r="D220" s="60"/>
      <c r="E220" s="60"/>
      <c r="F220" s="60">
        <f>(F217*SUM(F65:F68)-C187*10*E186*SUM(F65:F68))/SUM(F65:F68)</f>
        <v>89.253104570732745</v>
      </c>
      <c r="G220" s="60"/>
      <c r="H220" s="60"/>
      <c r="I220" s="60"/>
      <c r="J220" s="60"/>
      <c r="M220" s="123"/>
      <c r="N220" s="123"/>
      <c r="O220" s="123"/>
      <c r="P220" s="123"/>
      <c r="Q220" s="123"/>
      <c r="R220" s="123"/>
    </row>
    <row r="221" spans="1:18" x14ac:dyDescent="0.6">
      <c r="A221" s="7"/>
      <c r="B221" s="73" t="s">
        <v>144</v>
      </c>
      <c r="C221" s="60"/>
      <c r="D221" s="60"/>
      <c r="E221" s="60"/>
      <c r="F221" s="60">
        <f>+F220+C187*10</f>
        <v>97.905104570732746</v>
      </c>
      <c r="G221" s="101"/>
      <c r="H221" s="60"/>
      <c r="I221" s="60"/>
      <c r="J221" s="60"/>
      <c r="M221" s="123"/>
      <c r="N221" s="123"/>
      <c r="O221" s="123"/>
      <c r="P221" s="123"/>
      <c r="Q221" s="123"/>
      <c r="R221" s="123"/>
    </row>
    <row r="222" spans="1:18" x14ac:dyDescent="0.6">
      <c r="A222" s="7"/>
      <c r="C222" s="60"/>
      <c r="D222" s="60"/>
      <c r="E222" s="60"/>
      <c r="F222" s="60"/>
      <c r="G222" s="60"/>
      <c r="H222" s="60"/>
      <c r="I222" s="60"/>
      <c r="J222" s="60"/>
      <c r="M222" s="123"/>
      <c r="N222" s="123"/>
      <c r="O222" s="123"/>
      <c r="P222" s="123"/>
      <c r="Q222" s="123"/>
      <c r="R222" s="123"/>
    </row>
    <row r="223" spans="1:18" x14ac:dyDescent="0.6">
      <c r="A223" s="7"/>
      <c r="B223" s="23" t="s">
        <v>18</v>
      </c>
      <c r="C223" s="60"/>
      <c r="D223" s="60"/>
      <c r="E223" s="60">
        <f>+E155+(E$95*$E$192)+E$198+E203</f>
        <v>91.942559173341337</v>
      </c>
      <c r="F223" s="60">
        <f>+F155+(F$95*$E$192)+F$198+F203</f>
        <v>95.308069451580366</v>
      </c>
      <c r="G223" s="60">
        <f>+G155+(G$95*$E$192)+G$198+G203</f>
        <v>90.090407985226534</v>
      </c>
      <c r="H223" s="60"/>
      <c r="I223" s="60">
        <f>+I155+(I$95*$E$192)+I$198+I203</f>
        <v>82.259806966557022</v>
      </c>
      <c r="J223" s="60"/>
      <c r="K223" s="60"/>
      <c r="M223" s="123"/>
      <c r="N223" s="123"/>
      <c r="O223" s="123"/>
      <c r="P223" s="123"/>
      <c r="Q223" s="123"/>
      <c r="R223" s="123"/>
    </row>
    <row r="224" spans="1:18" x14ac:dyDescent="0.6">
      <c r="A224" s="7"/>
      <c r="B224" s="63" t="s">
        <v>72</v>
      </c>
      <c r="C224" s="60"/>
      <c r="D224" s="60"/>
      <c r="E224" s="60">
        <f>+E156+(E$95*$E$192)+E$198+E$204</f>
        <v>109.80720745019816</v>
      </c>
      <c r="F224" s="60"/>
      <c r="G224" s="60"/>
      <c r="H224" s="60">
        <f>+H156+(H$95*$E$192)+H$198+H$204</f>
        <v>100.17954437264839</v>
      </c>
      <c r="I224" s="60"/>
      <c r="J224" s="60"/>
      <c r="M224" s="123"/>
      <c r="N224" s="123"/>
      <c r="O224" s="123"/>
      <c r="P224" s="123"/>
      <c r="Q224" s="123"/>
      <c r="R224" s="123"/>
    </row>
    <row r="225" spans="1:18" x14ac:dyDescent="0.6">
      <c r="A225" s="7"/>
      <c r="B225" s="63" t="s">
        <v>73</v>
      </c>
      <c r="C225" s="60"/>
      <c r="D225" s="60"/>
      <c r="E225" s="60">
        <f>+E157+(E$95*$E$192)+E$198</f>
        <v>81.929464437877741</v>
      </c>
      <c r="F225" s="60"/>
      <c r="G225" s="60"/>
      <c r="H225" s="60">
        <f>+H157+(H$95*$E$192)+H$198</f>
        <v>81.36147734051589</v>
      </c>
      <c r="I225" s="60"/>
      <c r="J225" s="60"/>
      <c r="M225" s="123"/>
      <c r="N225" s="123"/>
      <c r="O225" s="123"/>
      <c r="P225" s="123"/>
      <c r="Q225" s="123"/>
      <c r="R225" s="123"/>
    </row>
    <row r="226" spans="1:18" x14ac:dyDescent="0.6">
      <c r="A226" s="7"/>
      <c r="C226" s="60"/>
      <c r="D226" s="60"/>
      <c r="E226" s="60"/>
      <c r="F226" s="60"/>
      <c r="G226" s="60"/>
      <c r="H226" s="60"/>
      <c r="I226" s="60"/>
      <c r="J226" s="60"/>
      <c r="M226" s="123"/>
      <c r="N226" s="123"/>
      <c r="O226" s="123"/>
      <c r="P226" s="123"/>
      <c r="Q226" s="123"/>
      <c r="R226" s="123"/>
    </row>
    <row r="227" spans="1:18" x14ac:dyDescent="0.6">
      <c r="A227" s="7"/>
      <c r="B227" t="s">
        <v>98</v>
      </c>
      <c r="C227" s="60"/>
      <c r="D227" s="60"/>
      <c r="E227" s="60">
        <f>+E159+(E$95*$E$192)+E$198+E200</f>
        <v>92.259222749605541</v>
      </c>
      <c r="F227" s="60">
        <f>+F159+(F$95*$E$192)+F$198+F200</f>
        <v>94.642000872102955</v>
      </c>
      <c r="G227" s="60">
        <f>+G159+(G$95*$E$192)+G$198+G200</f>
        <v>90.77930588893004</v>
      </c>
      <c r="H227" s="60">
        <f>((H218*SUMPRODUCT(H38:H41,H65:H68)+H219*SUMPRODUCT(T38:T41,H65:H68))+(H224*(SUMPRODUCT(H33:H37,H60:H64)+SUMPRODUCT(H42:H44,H69:H71))+H225*(SUMPRODUCT(T33:T37,H60:H64)+SUMPRODUCT(T42:T44,H69:H71))))/H72</f>
        <v>89.550907225307014</v>
      </c>
      <c r="I227" s="60">
        <f>+I159+(I$95*$E$192)+I$198+I200</f>
        <v>81.81274067090672</v>
      </c>
      <c r="J227" s="60"/>
      <c r="K227" s="60"/>
      <c r="M227" s="123"/>
      <c r="N227" s="123"/>
      <c r="O227" s="123"/>
      <c r="P227" s="123"/>
      <c r="Q227" s="123"/>
      <c r="R227" s="123"/>
    </row>
    <row r="228" spans="1:18" x14ac:dyDescent="0.6">
      <c r="A228" s="7"/>
      <c r="C228" s="60"/>
      <c r="D228" s="60"/>
      <c r="E228" s="60"/>
      <c r="F228" s="60"/>
      <c r="G228" s="60"/>
      <c r="H228" s="60"/>
      <c r="I228" s="60"/>
      <c r="J228" s="60"/>
      <c r="K228" s="60"/>
      <c r="M228" s="123"/>
      <c r="N228" s="123"/>
      <c r="O228" s="123"/>
      <c r="P228" s="123"/>
      <c r="Q228" s="123"/>
      <c r="R228" s="123"/>
    </row>
    <row r="229" spans="1:18" x14ac:dyDescent="0.6">
      <c r="A229" s="7"/>
      <c r="B229" s="1" t="s">
        <v>99</v>
      </c>
      <c r="M229" s="123"/>
      <c r="N229" s="123"/>
      <c r="O229" s="123"/>
      <c r="P229" s="123"/>
      <c r="Q229" s="123"/>
      <c r="R229" s="123"/>
    </row>
    <row r="230" spans="1:18" x14ac:dyDescent="0.6">
      <c r="A230" s="7"/>
      <c r="B230" s="15" t="s">
        <v>100</v>
      </c>
      <c r="M230" s="123"/>
      <c r="N230" s="123"/>
      <c r="O230" s="123"/>
      <c r="P230" s="123"/>
      <c r="Q230" s="123"/>
      <c r="R230" s="123"/>
    </row>
    <row r="231" spans="1:18" x14ac:dyDescent="0.6">
      <c r="A231" s="7"/>
      <c r="B231" s="15" t="s">
        <v>21</v>
      </c>
      <c r="M231" s="123"/>
      <c r="N231" s="123"/>
      <c r="O231" s="123"/>
      <c r="P231" s="123"/>
      <c r="Q231" s="123"/>
      <c r="R231" s="123"/>
    </row>
    <row r="232" spans="1:18" x14ac:dyDescent="0.6">
      <c r="A232" s="7"/>
      <c r="B232" s="63"/>
      <c r="C232" s="60"/>
      <c r="D232" s="60"/>
      <c r="I232" s="73"/>
      <c r="J232" s="60"/>
      <c r="K232" s="77"/>
      <c r="M232" s="123"/>
      <c r="N232" s="123"/>
      <c r="O232" s="123"/>
      <c r="P232" s="123"/>
      <c r="Q232" s="123"/>
      <c r="R232" s="123"/>
    </row>
    <row r="233" spans="1:18" x14ac:dyDescent="0.6">
      <c r="A233" s="7"/>
      <c r="C233" s="60"/>
      <c r="D233" s="60"/>
      <c r="M233" s="123"/>
      <c r="N233" s="123"/>
      <c r="O233" s="123"/>
      <c r="P233" s="123"/>
      <c r="Q233" s="123"/>
      <c r="R233" s="123"/>
    </row>
    <row r="234" spans="1:18" x14ac:dyDescent="0.6">
      <c r="A234" s="7"/>
      <c r="B234" s="32" t="s">
        <v>101</v>
      </c>
      <c r="C234" s="60"/>
      <c r="D234" s="60"/>
      <c r="I234" s="80"/>
      <c r="K234" s="77"/>
    </row>
    <row r="235" spans="1:18" x14ac:dyDescent="0.6">
      <c r="A235" s="7"/>
      <c r="B235" s="63"/>
      <c r="C235" s="60"/>
      <c r="D235" s="60"/>
      <c r="I235" s="73"/>
      <c r="J235" s="64"/>
      <c r="K235" s="77"/>
    </row>
    <row r="236" spans="1:18" ht="15.5" x14ac:dyDescent="0.7">
      <c r="A236" s="7"/>
      <c r="B236" s="570" t="str">
        <f>$B$1</f>
        <v xml:space="preserve">Jersey Central Power &amp; Light </v>
      </c>
      <c r="C236" s="570"/>
      <c r="D236" s="570"/>
      <c r="E236" s="570"/>
      <c r="F236" s="570"/>
      <c r="G236" s="570"/>
      <c r="H236" s="570"/>
      <c r="I236" s="570"/>
      <c r="J236" s="570"/>
      <c r="K236" s="570"/>
      <c r="L236" s="570"/>
    </row>
    <row r="237" spans="1:18" ht="15.5" x14ac:dyDescent="0.7">
      <c r="A237" s="7"/>
      <c r="B237" s="570" t="str">
        <f>$B$2</f>
        <v>Attachment 2</v>
      </c>
      <c r="C237" s="570"/>
      <c r="D237" s="570"/>
      <c r="E237" s="570"/>
      <c r="F237" s="570"/>
      <c r="G237" s="570"/>
      <c r="H237" s="570"/>
      <c r="I237" s="570"/>
      <c r="J237" s="570"/>
      <c r="K237" s="570"/>
      <c r="L237" s="570"/>
    </row>
    <row r="238" spans="1:18" ht="15.5" x14ac:dyDescent="0.7">
      <c r="A238" s="7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</row>
    <row r="239" spans="1:18" ht="15.5" x14ac:dyDescent="0.7">
      <c r="A239" s="6" t="s">
        <v>106</v>
      </c>
      <c r="B239" s="1" t="s">
        <v>238</v>
      </c>
      <c r="C239" s="17"/>
      <c r="E239" s="141"/>
      <c r="F239" s="8"/>
      <c r="K239" s="142"/>
      <c r="L239" s="142"/>
    </row>
    <row r="240" spans="1:18" ht="15.5" x14ac:dyDescent="0.7">
      <c r="B240" t="s">
        <v>239</v>
      </c>
      <c r="K240" s="142"/>
      <c r="L240" s="142"/>
    </row>
    <row r="241" spans="1:12" ht="15.5" x14ac:dyDescent="0.7">
      <c r="E241" s="2" t="s">
        <v>61</v>
      </c>
      <c r="F241" s="2" t="s">
        <v>62</v>
      </c>
      <c r="G241" s="2" t="s">
        <v>65</v>
      </c>
      <c r="H241" s="2" t="s">
        <v>203</v>
      </c>
      <c r="I241" s="2" t="s">
        <v>55</v>
      </c>
      <c r="K241" s="142"/>
      <c r="L241" s="142"/>
    </row>
    <row r="242" spans="1:12" ht="15.5" x14ac:dyDescent="0.7">
      <c r="K242" s="142"/>
      <c r="L242" s="142"/>
    </row>
    <row r="243" spans="1:12" ht="15.5" x14ac:dyDescent="0.7">
      <c r="B243" s="23" t="s">
        <v>17</v>
      </c>
      <c r="E243" s="4">
        <f>'Composite Cost Allocation'!E110</f>
        <v>1986542.9326479128</v>
      </c>
      <c r="G243" s="4">
        <f>'Composite Cost Allocation'!G110</f>
        <v>2176849000</v>
      </c>
      <c r="I243" s="4">
        <f>'Composite Cost Allocation'!I110</f>
        <v>45335000</v>
      </c>
      <c r="K243" s="142"/>
      <c r="L243" s="142"/>
    </row>
    <row r="244" spans="1:12" ht="15.5" x14ac:dyDescent="0.7">
      <c r="B244" s="63" t="s">
        <v>72</v>
      </c>
      <c r="E244" s="4">
        <f>'Composite Cost Allocation'!E111</f>
        <v>25810490</v>
      </c>
      <c r="H244" s="4">
        <f>'Composite Cost Allocation'!H111</f>
        <v>24685819.600000001</v>
      </c>
      <c r="K244" s="142"/>
      <c r="L244" s="142"/>
    </row>
    <row r="245" spans="1:12" ht="15.5" x14ac:dyDescent="0.7">
      <c r="B245" s="63" t="s">
        <v>73</v>
      </c>
      <c r="E245" s="4">
        <f>'Composite Cost Allocation'!E112</f>
        <v>35535967.067352086</v>
      </c>
      <c r="H245" s="4">
        <f>'Composite Cost Allocation'!H112</f>
        <v>30791180.399999999</v>
      </c>
      <c r="K245" s="142"/>
      <c r="L245" s="142"/>
    </row>
    <row r="246" spans="1:12" ht="15.5" x14ac:dyDescent="0.7">
      <c r="B246" s="73" t="s">
        <v>142</v>
      </c>
      <c r="F246" s="4">
        <f>'Composite Cost Allocation'!F113</f>
        <v>1972747000</v>
      </c>
      <c r="K246" s="142"/>
      <c r="L246" s="142"/>
    </row>
    <row r="247" spans="1:12" ht="15.5" x14ac:dyDescent="0.7">
      <c r="B247" s="73" t="s">
        <v>144</v>
      </c>
      <c r="F247" s="4">
        <f>'Composite Cost Allocation'!F114</f>
        <v>2121317000</v>
      </c>
      <c r="K247" s="142"/>
      <c r="L247" s="142"/>
    </row>
    <row r="248" spans="1:12" ht="15.5" x14ac:dyDescent="0.7">
      <c r="K248" s="142"/>
      <c r="L248" s="142"/>
    </row>
    <row r="249" spans="1:12" ht="15.5" x14ac:dyDescent="0.7">
      <c r="B249" s="23" t="s">
        <v>18</v>
      </c>
      <c r="E249" s="4">
        <f>'Composite Cost Allocation'!E116</f>
        <v>4931842.1941814804</v>
      </c>
      <c r="F249" s="4">
        <f>'Composite Cost Allocation'!F116</f>
        <v>5568269000</v>
      </c>
      <c r="G249" s="4">
        <f>'Composite Cost Allocation'!G116</f>
        <v>3857947000</v>
      </c>
      <c r="I249" s="4">
        <f>'Composite Cost Allocation'!I116</f>
        <v>90653000</v>
      </c>
      <c r="K249" s="142"/>
      <c r="L249" s="142"/>
    </row>
    <row r="250" spans="1:12" ht="15.5" x14ac:dyDescent="0.7">
      <c r="B250" s="63" t="s">
        <v>72</v>
      </c>
      <c r="E250" s="4">
        <f>'Composite Cost Allocation'!E117</f>
        <v>42195281.281316541</v>
      </c>
      <c r="H250" s="4">
        <f>'Composite Cost Allocation'!H117</f>
        <v>40633899.29999999</v>
      </c>
      <c r="K250" s="142"/>
      <c r="L250" s="142"/>
    </row>
    <row r="251" spans="1:12" ht="15.5" x14ac:dyDescent="0.7">
      <c r="B251" s="63" t="s">
        <v>73</v>
      </c>
      <c r="E251" s="4">
        <f>'Composite Cost Allocation'!E118</f>
        <v>75291876.524501979</v>
      </c>
      <c r="H251" s="4">
        <f>'Composite Cost Allocation'!H118</f>
        <v>55495100.70000001</v>
      </c>
      <c r="K251" s="142"/>
      <c r="L251" s="142"/>
    </row>
    <row r="252" spans="1:12" ht="15.5" x14ac:dyDescent="0.7">
      <c r="J252" s="2" t="s">
        <v>13</v>
      </c>
      <c r="K252" s="142"/>
      <c r="L252" s="142"/>
    </row>
    <row r="253" spans="1:12" ht="15.5" x14ac:dyDescent="0.7">
      <c r="B253" s="73" t="s">
        <v>162</v>
      </c>
      <c r="E253" s="4">
        <f>SUM(E243:E247)</f>
        <v>63333000</v>
      </c>
      <c r="F253" s="4">
        <f>SUM(F243:F247)</f>
        <v>4094064000</v>
      </c>
      <c r="G253" s="4">
        <f>SUM(G243:G247)</f>
        <v>2176849000</v>
      </c>
      <c r="H253" s="4">
        <f>SUM(H243:H247)</f>
        <v>55477000</v>
      </c>
      <c r="I253" s="4">
        <f>SUM(I243:I247)</f>
        <v>45335000</v>
      </c>
      <c r="J253" s="4">
        <f>SUM(E253:I253)</f>
        <v>6435058000</v>
      </c>
      <c r="K253" s="142"/>
      <c r="L253" s="142"/>
    </row>
    <row r="254" spans="1:12" ht="15.5" x14ac:dyDescent="0.7">
      <c r="B254" s="73" t="s">
        <v>163</v>
      </c>
      <c r="E254" s="116">
        <f>SUM(E249:E251)</f>
        <v>122419000</v>
      </c>
      <c r="F254" s="116">
        <f>SUM(F249:F251)</f>
        <v>5568269000</v>
      </c>
      <c r="G254" s="10">
        <f>SUM(G249:G251)</f>
        <v>3857947000</v>
      </c>
      <c r="H254" s="10">
        <f>SUM(H249:H251)</f>
        <v>96129000</v>
      </c>
      <c r="I254" s="10">
        <f>SUM(I249:I251)</f>
        <v>90653000</v>
      </c>
      <c r="J254" s="116">
        <f>SUM(E254:I254)</f>
        <v>9735417000</v>
      </c>
      <c r="K254" s="142"/>
      <c r="L254" s="142"/>
    </row>
    <row r="255" spans="1:12" ht="15.5" x14ac:dyDescent="0.7">
      <c r="B255" s="73" t="s">
        <v>164</v>
      </c>
      <c r="E255" s="4">
        <f>SUM(E253:E254)</f>
        <v>185752000</v>
      </c>
      <c r="F255" s="4">
        <f>SUM(F253:F254)</f>
        <v>9662333000</v>
      </c>
      <c r="G255" s="4">
        <f>SUM(G253:G254)</f>
        <v>6034796000</v>
      </c>
      <c r="H255" s="4">
        <f>SUM(H253:H254)</f>
        <v>151606000</v>
      </c>
      <c r="I255" s="4">
        <f>SUM(I253:I254)</f>
        <v>135988000</v>
      </c>
      <c r="J255" s="4">
        <f>SUM(E255:I255)</f>
        <v>16170475000</v>
      </c>
      <c r="K255" s="142"/>
      <c r="L255" s="142"/>
    </row>
    <row r="256" spans="1:12" ht="15.5" x14ac:dyDescent="0.7">
      <c r="A256" s="7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</row>
    <row r="257" spans="1:15" ht="15.5" x14ac:dyDescent="0.7">
      <c r="A257" s="7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</row>
    <row r="261" spans="1:15" x14ac:dyDescent="0.6">
      <c r="A261" s="6" t="s">
        <v>133</v>
      </c>
      <c r="B261" s="1" t="s">
        <v>168</v>
      </c>
    </row>
    <row r="262" spans="1:15" x14ac:dyDescent="0.6">
      <c r="A262" s="7"/>
      <c r="B262" s="1"/>
    </row>
    <row r="263" spans="1:15" x14ac:dyDescent="0.6">
      <c r="A263" s="7"/>
      <c r="C263" s="2"/>
      <c r="D263" s="2"/>
      <c r="E263" s="2" t="str">
        <f>+E$13</f>
        <v>RT{1}</v>
      </c>
      <c r="F263" s="2" t="str">
        <f>+F$13</f>
        <v>RS{2}</v>
      </c>
      <c r="G263" s="2" t="str">
        <f>+G$13</f>
        <v>GS{3}</v>
      </c>
      <c r="H263" s="133" t="str">
        <f>+H$58</f>
        <v>GST {4}</v>
      </c>
      <c r="I263" s="2" t="str">
        <f>+I$13</f>
        <v>OL/SL</v>
      </c>
      <c r="J263" s="2" t="s">
        <v>13</v>
      </c>
      <c r="K263" s="2"/>
      <c r="L263" s="2"/>
    </row>
    <row r="264" spans="1:15" x14ac:dyDescent="0.6">
      <c r="A264" s="7"/>
      <c r="B264" t="s">
        <v>134</v>
      </c>
    </row>
    <row r="265" spans="1:15" x14ac:dyDescent="0.6">
      <c r="A265" s="7"/>
      <c r="B265" s="23" t="s">
        <v>17</v>
      </c>
      <c r="C265" s="127"/>
      <c r="D265" s="127"/>
      <c r="E265" s="127">
        <f>+E217*E243/1000000</f>
        <v>184.49285445421461</v>
      </c>
      <c r="F265" s="127"/>
      <c r="G265" s="127">
        <f>+G217*G243/1000000</f>
        <v>200270.57284591068</v>
      </c>
      <c r="H265" s="122"/>
      <c r="I265" s="127">
        <f>+I217*I243/1000000</f>
        <v>3668.4526974159703</v>
      </c>
      <c r="J265" s="127"/>
      <c r="K265" s="127"/>
      <c r="L265" s="127"/>
    </row>
    <row r="266" spans="1:15" x14ac:dyDescent="0.6">
      <c r="A266" s="7"/>
      <c r="B266" s="63" t="s">
        <v>72</v>
      </c>
      <c r="C266" s="127"/>
      <c r="D266" s="127"/>
      <c r="E266" s="127">
        <f>+E218*E244/1000000</f>
        <v>2976.6031704990874</v>
      </c>
      <c r="F266" s="127"/>
      <c r="G266" s="127"/>
      <c r="H266" s="127">
        <f>+H218*H244/1000000</f>
        <v>2632.4796992832603</v>
      </c>
      <c r="I266" s="127"/>
      <c r="J266" s="127"/>
      <c r="K266" s="127"/>
      <c r="L266" s="127"/>
    </row>
    <row r="267" spans="1:15" x14ac:dyDescent="0.6">
      <c r="A267" s="7"/>
      <c r="B267" s="63" t="s">
        <v>73</v>
      </c>
      <c r="C267" s="127"/>
      <c r="D267" s="127"/>
      <c r="E267" s="127">
        <f>+E219*E245/1000000</f>
        <v>2720.7573015951948</v>
      </c>
      <c r="F267" s="127"/>
      <c r="G267" s="127"/>
      <c r="H267" s="127">
        <f>+H219*H245/1000000</f>
        <v>2358.1262454458611</v>
      </c>
      <c r="I267" s="127"/>
      <c r="J267" s="127"/>
      <c r="K267" s="3"/>
      <c r="L267" s="3"/>
    </row>
    <row r="268" spans="1:15" x14ac:dyDescent="0.6">
      <c r="A268" s="7"/>
      <c r="B268" s="73" t="s">
        <v>142</v>
      </c>
      <c r="C268" s="127"/>
      <c r="D268" s="127"/>
      <c r="E268" s="127"/>
      <c r="F268" s="127">
        <f>+F220*F246/1000000</f>
        <v>176073.79428259929</v>
      </c>
      <c r="G268" s="127"/>
      <c r="H268" s="122"/>
      <c r="I268" s="127"/>
      <c r="J268" s="127"/>
      <c r="K268" s="127"/>
      <c r="L268" s="127"/>
    </row>
    <row r="269" spans="1:15" x14ac:dyDescent="0.6">
      <c r="A269" s="7"/>
      <c r="B269" s="73" t="s">
        <v>144</v>
      </c>
      <c r="C269" s="127"/>
      <c r="D269" s="127"/>
      <c r="E269" s="127"/>
      <c r="F269" s="127">
        <f>+F221*F247/1000000</f>
        <v>207687.76271267305</v>
      </c>
      <c r="G269" s="127"/>
      <c r="H269" s="122"/>
      <c r="I269" s="127"/>
      <c r="J269" s="127"/>
      <c r="K269" s="127"/>
      <c r="L269" s="127"/>
      <c r="M269" s="3"/>
      <c r="N269" s="3"/>
      <c r="O269" s="3"/>
    </row>
    <row r="270" spans="1:15" x14ac:dyDescent="0.6">
      <c r="A270" s="7"/>
      <c r="C270" s="127"/>
      <c r="D270" s="127"/>
      <c r="E270" s="127"/>
      <c r="F270" s="127"/>
      <c r="G270" s="127"/>
      <c r="H270" s="122"/>
      <c r="I270" s="127"/>
      <c r="J270" s="127"/>
      <c r="K270" s="127"/>
      <c r="L270" s="127"/>
    </row>
    <row r="271" spans="1:15" x14ac:dyDescent="0.6">
      <c r="A271" s="7"/>
      <c r="B271" s="23" t="s">
        <v>18</v>
      </c>
      <c r="C271" s="127"/>
      <c r="D271" s="127"/>
      <c r="E271" s="127">
        <f>+E223*E249/1000000</f>
        <v>453.4461927721124</v>
      </c>
      <c r="F271" s="127">
        <f>+F223*F249/1000000</f>
        <v>530700.96857708192</v>
      </c>
      <c r="G271" s="127">
        <f>+G223*G249/1000000</f>
        <v>347564.01921538071</v>
      </c>
      <c r="I271" s="127">
        <f>+I223*I249/1000000</f>
        <v>7457.0982809392935</v>
      </c>
      <c r="J271" s="127"/>
      <c r="K271" s="127"/>
      <c r="L271" s="127"/>
    </row>
    <row r="272" spans="1:15" x14ac:dyDescent="0.6">
      <c r="A272" s="7"/>
      <c r="B272" s="63" t="s">
        <v>72</v>
      </c>
      <c r="C272" s="127"/>
      <c r="D272" s="127"/>
      <c r="E272" s="127">
        <f>+E224*E250/1000000</f>
        <v>4633.3460050769891</v>
      </c>
      <c r="F272" s="3"/>
      <c r="G272" s="3"/>
      <c r="H272" s="127">
        <f>+H224*H250/1000000</f>
        <v>4070.6855179580757</v>
      </c>
      <c r="I272" s="3"/>
      <c r="J272" s="127"/>
      <c r="K272" s="127"/>
      <c r="L272" s="127"/>
    </row>
    <row r="273" spans="1:12" x14ac:dyDescent="0.6">
      <c r="A273" s="7"/>
      <c r="B273" s="63" t="s">
        <v>73</v>
      </c>
      <c r="C273" s="3"/>
      <c r="D273" s="3"/>
      <c r="E273" s="127">
        <f>+E225*E251/1000000</f>
        <v>6168.6231201752671</v>
      </c>
      <c r="H273" s="127">
        <f>+H225*H251/1000000</f>
        <v>4515.1633781126984</v>
      </c>
      <c r="J273" s="127"/>
      <c r="K273" s="127"/>
      <c r="L273" s="127"/>
    </row>
    <row r="274" spans="1:12" x14ac:dyDescent="0.6">
      <c r="A274" s="7"/>
      <c r="B274" s="5"/>
    </row>
    <row r="275" spans="1:12" x14ac:dyDescent="0.6">
      <c r="A275" s="7"/>
      <c r="B275" t="s">
        <v>135</v>
      </c>
    </row>
    <row r="276" spans="1:12" x14ac:dyDescent="0.6">
      <c r="A276" s="7"/>
      <c r="B276" s="5" t="s">
        <v>25</v>
      </c>
      <c r="E276" s="3">
        <f>SUM(E265:E269)</f>
        <v>5881.8533265484966</v>
      </c>
      <c r="F276" s="3">
        <f>SUM(F265:F269)</f>
        <v>383761.55699527235</v>
      </c>
      <c r="G276" s="3">
        <f>SUM(G265:G269)</f>
        <v>200270.57284591068</v>
      </c>
      <c r="H276" s="3">
        <f>SUM(H265:H269)</f>
        <v>4990.6059447291209</v>
      </c>
      <c r="I276" s="3">
        <f>SUM(I265:I269)</f>
        <v>3668.4526974159703</v>
      </c>
      <c r="J276" s="129">
        <f>SUM(E276:I276)</f>
        <v>598573.04180987657</v>
      </c>
    </row>
    <row r="277" spans="1:12" x14ac:dyDescent="0.6">
      <c r="A277" s="7"/>
      <c r="B277" s="5" t="s">
        <v>26</v>
      </c>
      <c r="E277" s="3">
        <f>SUM(E271:E273)</f>
        <v>11255.415318024368</v>
      </c>
      <c r="F277" s="3">
        <f>SUM(F271:F273)</f>
        <v>530700.96857708192</v>
      </c>
      <c r="G277" s="3">
        <f>SUM(G271:G273)</f>
        <v>347564.01921538071</v>
      </c>
      <c r="H277" s="3">
        <f>SUM(H271:H273)</f>
        <v>8585.8488960707746</v>
      </c>
      <c r="I277" s="3">
        <f>SUM(I271:I273)</f>
        <v>7457.0982809392935</v>
      </c>
      <c r="J277" s="129">
        <f>SUM(E277:I277)</f>
        <v>905563.35028749693</v>
      </c>
    </row>
    <row r="278" spans="1:12" x14ac:dyDescent="0.6">
      <c r="A278" s="7"/>
      <c r="B278" s="5" t="s">
        <v>13</v>
      </c>
      <c r="E278" s="3">
        <f>SUM(E276:E277)</f>
        <v>17137.268644572865</v>
      </c>
      <c r="F278" s="3">
        <f>SUM(F276:F277)</f>
        <v>914462.52557235421</v>
      </c>
      <c r="G278" s="3">
        <f>SUM(G276:G277)</f>
        <v>547834.59206129145</v>
      </c>
      <c r="H278" s="3">
        <f>SUM(H276:H277)</f>
        <v>13576.454840799895</v>
      </c>
      <c r="I278" s="3">
        <f>SUM(I276:I277)</f>
        <v>11125.550978355264</v>
      </c>
      <c r="J278" s="3">
        <f>SUM(E278:I278)</f>
        <v>1504136.3920973737</v>
      </c>
    </row>
    <row r="279" spans="1:12" x14ac:dyDescent="0.6">
      <c r="A279" s="7"/>
    </row>
    <row r="280" spans="1:12" x14ac:dyDescent="0.6">
      <c r="A280" s="7"/>
      <c r="B280" t="s">
        <v>136</v>
      </c>
    </row>
    <row r="281" spans="1:12" x14ac:dyDescent="0.6">
      <c r="A281" s="7"/>
      <c r="B281" s="5" t="s">
        <v>25</v>
      </c>
      <c r="E281" s="128">
        <f t="shared" ref="E281:J281" si="16">+E276/E278</f>
        <v>0.34321999897055927</v>
      </c>
      <c r="F281" s="128">
        <f t="shared" si="16"/>
        <v>0.41965804640827603</v>
      </c>
      <c r="G281" s="128">
        <f t="shared" si="16"/>
        <v>0.36556759238654374</v>
      </c>
      <c r="H281" s="128">
        <f t="shared" si="16"/>
        <v>0.36759271866256105</v>
      </c>
      <c r="I281" s="128">
        <f t="shared" si="16"/>
        <v>0.32973222670526048</v>
      </c>
      <c r="J281" s="128">
        <f t="shared" si="16"/>
        <v>0.39795130611474933</v>
      </c>
    </row>
    <row r="282" spans="1:12" x14ac:dyDescent="0.6">
      <c r="A282" s="7"/>
      <c r="B282" s="5" t="s">
        <v>26</v>
      </c>
      <c r="E282" s="128">
        <f t="shared" ref="E282:J282" si="17">+E277/E278</f>
        <v>0.65678000102944067</v>
      </c>
      <c r="F282" s="128">
        <f t="shared" si="17"/>
        <v>0.58034195359172402</v>
      </c>
      <c r="G282" s="128">
        <f t="shared" si="17"/>
        <v>0.6344324076134561</v>
      </c>
      <c r="H282" s="128">
        <f t="shared" si="17"/>
        <v>0.63240728133743895</v>
      </c>
      <c r="I282" s="128">
        <f t="shared" si="17"/>
        <v>0.67026777329473952</v>
      </c>
      <c r="J282" s="128">
        <f t="shared" si="17"/>
        <v>0.60204869388525051</v>
      </c>
    </row>
    <row r="283" spans="1:12" x14ac:dyDescent="0.6">
      <c r="A283" s="7"/>
      <c r="B283" s="5"/>
      <c r="E283" s="128"/>
      <c r="F283" s="128"/>
      <c r="G283" s="128"/>
      <c r="H283" s="128"/>
      <c r="I283" s="128"/>
      <c r="J283" s="128"/>
    </row>
    <row r="284" spans="1:12" x14ac:dyDescent="0.6">
      <c r="A284" s="7"/>
      <c r="B284" s="5"/>
      <c r="E284" s="128"/>
      <c r="F284" s="128"/>
      <c r="G284" s="128"/>
      <c r="H284" s="128"/>
      <c r="I284" s="128"/>
      <c r="J284" s="128"/>
    </row>
    <row r="285" spans="1:12" ht="15.5" x14ac:dyDescent="0.7">
      <c r="A285" s="7"/>
      <c r="B285" s="570" t="str">
        <f>$B$1</f>
        <v xml:space="preserve">Jersey Central Power &amp; Light </v>
      </c>
      <c r="C285" s="570"/>
      <c r="D285" s="570"/>
      <c r="E285" s="570"/>
      <c r="F285" s="570"/>
      <c r="G285" s="570"/>
      <c r="H285" s="570"/>
      <c r="I285" s="570"/>
      <c r="J285" s="570"/>
      <c r="K285" s="570"/>
      <c r="L285" s="570"/>
    </row>
    <row r="286" spans="1:12" ht="15.5" x14ac:dyDescent="0.7">
      <c r="A286" s="7"/>
      <c r="B286" s="570" t="str">
        <f>$B$2</f>
        <v>Attachment 2</v>
      </c>
      <c r="C286" s="570"/>
      <c r="D286" s="570"/>
      <c r="E286" s="570"/>
      <c r="F286" s="570"/>
      <c r="G286" s="570"/>
      <c r="H286" s="570"/>
      <c r="I286" s="570"/>
      <c r="J286" s="570"/>
      <c r="K286" s="570"/>
      <c r="L286" s="570"/>
    </row>
    <row r="287" spans="1:12" x14ac:dyDescent="0.6">
      <c r="A287" s="7"/>
      <c r="B287" s="5"/>
      <c r="E287" s="128"/>
      <c r="F287" s="128"/>
      <c r="G287" s="128"/>
      <c r="H287" s="128"/>
      <c r="I287" s="128"/>
      <c r="J287" s="128"/>
    </row>
    <row r="288" spans="1:12" x14ac:dyDescent="0.6">
      <c r="A288" s="6" t="s">
        <v>138</v>
      </c>
      <c r="B288" s="1" t="s">
        <v>245</v>
      </c>
      <c r="G288" s="3"/>
    </row>
    <row r="289" spans="1:10" x14ac:dyDescent="0.6">
      <c r="A289" s="7"/>
      <c r="C289" s="60"/>
      <c r="D289" s="60"/>
    </row>
    <row r="290" spans="1:10" x14ac:dyDescent="0.6">
      <c r="A290" s="7"/>
      <c r="B290" s="1" t="s">
        <v>231</v>
      </c>
      <c r="C290" s="60"/>
      <c r="D290" s="60"/>
    </row>
    <row r="291" spans="1:10" x14ac:dyDescent="0.6">
      <c r="A291" s="7"/>
      <c r="B291" s="73" t="s">
        <v>103</v>
      </c>
      <c r="C291" s="122">
        <f>J278</f>
        <v>1504136.3920973737</v>
      </c>
    </row>
    <row r="292" spans="1:10" x14ac:dyDescent="0.6">
      <c r="A292" s="7"/>
      <c r="B292" s="1"/>
      <c r="C292" s="122"/>
    </row>
    <row r="293" spans="1:10" x14ac:dyDescent="0.6">
      <c r="A293" s="7"/>
      <c r="B293" s="1" t="s">
        <v>229</v>
      </c>
      <c r="C293" s="122"/>
      <c r="E293" s="2" t="str">
        <f>+E$13</f>
        <v>RT{1}</v>
      </c>
      <c r="F293" s="2" t="str">
        <f>+F$13</f>
        <v>RS{2}</v>
      </c>
      <c r="G293" s="2" t="str">
        <f>+G$13</f>
        <v>GS{3}</v>
      </c>
      <c r="H293" s="133" t="str">
        <f>+H$58</f>
        <v>GST {4}</v>
      </c>
      <c r="I293" s="2" t="str">
        <f>+I$13</f>
        <v>OL/SL</v>
      </c>
      <c r="J293" s="2" t="s">
        <v>13</v>
      </c>
    </row>
    <row r="294" spans="1:10" x14ac:dyDescent="0.6">
      <c r="A294" s="7"/>
      <c r="B294" s="18" t="s">
        <v>25</v>
      </c>
      <c r="C294" s="122"/>
      <c r="E294" s="138">
        <f>ROUND(SUM(E65:E68)*E95,0)</f>
        <v>70806</v>
      </c>
      <c r="F294" s="138">
        <f>ROUND(SUM(F65:F68)*F95,0)</f>
        <v>4577160</v>
      </c>
      <c r="G294" s="138">
        <f>ROUND(SUM(G65:G68)*G95,0)</f>
        <v>2433716</v>
      </c>
      <c r="H294" s="138">
        <f>ROUND(SUM(H65:H68)*H95,0)</f>
        <v>62023</v>
      </c>
      <c r="I294" s="138">
        <f>ROUND(SUM(I65:I68)*I95,0)</f>
        <v>50684</v>
      </c>
      <c r="J294" s="138">
        <f>SUM(E294:I294)</f>
        <v>7194389</v>
      </c>
    </row>
    <row r="295" spans="1:10" x14ac:dyDescent="0.6">
      <c r="A295" s="7"/>
      <c r="B295" s="12" t="s">
        <v>26</v>
      </c>
      <c r="C295" s="122"/>
      <c r="E295" s="138">
        <f>ROUND((E72-SUM(E65:E68))*E95,0)</f>
        <v>136864</v>
      </c>
      <c r="F295" s="138">
        <f>ROUND((F72-SUM(F65:F68))*F95,0)</f>
        <v>6225320</v>
      </c>
      <c r="G295" s="138">
        <f>ROUND((G72-SUM(G65:G68))*G95,0)</f>
        <v>4313182</v>
      </c>
      <c r="H295" s="138">
        <f>ROUND((H72-SUM(H65:H68))*H95,0)</f>
        <v>107472</v>
      </c>
      <c r="I295" s="138">
        <f>ROUND((I72-SUM(I65:I68))*I95,0)</f>
        <v>101350</v>
      </c>
      <c r="J295" s="138">
        <f>SUM(E295:I295)</f>
        <v>10884188</v>
      </c>
    </row>
    <row r="296" spans="1:10" x14ac:dyDescent="0.6">
      <c r="A296" s="7"/>
      <c r="C296" s="73"/>
      <c r="D296" s="123"/>
      <c r="J296" s="4"/>
    </row>
    <row r="297" spans="1:10" x14ac:dyDescent="0.6">
      <c r="A297" s="7"/>
      <c r="B297" s="1" t="s">
        <v>232</v>
      </c>
      <c r="C297" s="73"/>
      <c r="D297" s="137" t="s">
        <v>220</v>
      </c>
      <c r="E297" s="10" t="s">
        <v>226</v>
      </c>
    </row>
    <row r="298" spans="1:10" x14ac:dyDescent="0.6">
      <c r="A298" s="7"/>
      <c r="B298" s="239" t="s">
        <v>460</v>
      </c>
      <c r="D298" s="8" t="s">
        <v>223</v>
      </c>
      <c r="E298" s="532">
        <v>83.2</v>
      </c>
      <c r="F298" s="8" t="s">
        <v>228</v>
      </c>
      <c r="G298" s="8" t="s">
        <v>230</v>
      </c>
    </row>
    <row r="299" spans="1:10" x14ac:dyDescent="0.6">
      <c r="A299" s="7"/>
      <c r="B299" t="s">
        <v>225</v>
      </c>
      <c r="C299" s="73"/>
      <c r="D299" s="143">
        <v>1</v>
      </c>
      <c r="E299" s="258">
        <f>ROUND($E$298*D299,3)</f>
        <v>83.2</v>
      </c>
      <c r="F299" s="4">
        <f>J294</f>
        <v>7194389</v>
      </c>
      <c r="G299" s="122">
        <f>ROUND(F299*E299/1000,0)</f>
        <v>598573</v>
      </c>
    </row>
    <row r="300" spans="1:10" ht="15.25" x14ac:dyDescent="1.05">
      <c r="A300" s="7"/>
      <c r="B300" t="s">
        <v>227</v>
      </c>
      <c r="C300" s="73"/>
      <c r="D300" s="143">
        <v>1</v>
      </c>
      <c r="E300" s="258">
        <f>ROUND($E$298*D300,3)</f>
        <v>83.2</v>
      </c>
      <c r="F300" s="4">
        <f>J295</f>
        <v>10884188</v>
      </c>
      <c r="G300" s="69">
        <f>ROUND(F300*E300/1000,0)</f>
        <v>905564</v>
      </c>
    </row>
    <row r="301" spans="1:10" x14ac:dyDescent="0.6">
      <c r="A301" s="7"/>
      <c r="B301" t="s">
        <v>233</v>
      </c>
      <c r="C301" s="73"/>
      <c r="D301" s="123"/>
      <c r="G301" s="3">
        <f>SUM(G299:G300)</f>
        <v>1504137</v>
      </c>
    </row>
    <row r="302" spans="1:10" x14ac:dyDescent="0.6">
      <c r="A302" s="7"/>
      <c r="C302" s="73"/>
      <c r="D302" s="123"/>
    </row>
    <row r="303" spans="1:10" x14ac:dyDescent="0.6">
      <c r="A303" s="6" t="s">
        <v>240</v>
      </c>
      <c r="B303" s="1" t="s">
        <v>234</v>
      </c>
      <c r="C303" s="73"/>
      <c r="D303" s="123"/>
      <c r="F303" s="5" t="s">
        <v>220</v>
      </c>
      <c r="G303" s="5" t="s">
        <v>222</v>
      </c>
      <c r="H303" s="5"/>
    </row>
    <row r="304" spans="1:10" x14ac:dyDescent="0.6">
      <c r="A304" s="7"/>
      <c r="F304" s="5" t="s">
        <v>236</v>
      </c>
      <c r="G304" s="5" t="s">
        <v>223</v>
      </c>
      <c r="H304" s="5" t="s">
        <v>222</v>
      </c>
    </row>
    <row r="305" spans="1:15" x14ac:dyDescent="0.6">
      <c r="A305" s="7"/>
      <c r="B305" t="s">
        <v>235</v>
      </c>
      <c r="F305" s="8" t="s">
        <v>230</v>
      </c>
      <c r="G305" s="8" t="s">
        <v>224</v>
      </c>
      <c r="H305" s="8" t="s">
        <v>223</v>
      </c>
      <c r="I305" s="10"/>
    </row>
    <row r="306" spans="1:15" x14ac:dyDescent="0.6">
      <c r="A306" s="7"/>
      <c r="B306" s="5" t="s">
        <v>25</v>
      </c>
      <c r="C306" s="130">
        <f>J276*1000/J294</f>
        <v>83.199982904715966</v>
      </c>
      <c r="D306" t="s">
        <v>137</v>
      </c>
      <c r="F306" s="235">
        <f>E299</f>
        <v>83.2</v>
      </c>
      <c r="G306" s="136">
        <f>E299/C306</f>
        <v>1.0000002054722061</v>
      </c>
      <c r="H306" s="508">
        <v>1.3560099999999999</v>
      </c>
    </row>
    <row r="307" spans="1:15" x14ac:dyDescent="0.6">
      <c r="A307" s="7"/>
      <c r="B307" s="5" t="s">
        <v>26</v>
      </c>
      <c r="C307" s="130">
        <f>J277*1000/J295</f>
        <v>83.199899734136977</v>
      </c>
      <c r="D307" t="s">
        <v>137</v>
      </c>
      <c r="F307" s="235">
        <f>E300</f>
        <v>83.2</v>
      </c>
      <c r="G307" s="136">
        <f>E300/C307</f>
        <v>1.0000012051199982</v>
      </c>
      <c r="H307" s="508">
        <v>1.23698</v>
      </c>
    </row>
    <row r="308" spans="1:15" x14ac:dyDescent="0.6">
      <c r="A308" s="7"/>
      <c r="B308" s="5"/>
      <c r="C308" s="130"/>
      <c r="H308" s="2"/>
      <c r="I308" s="87"/>
    </row>
    <row r="309" spans="1:15" x14ac:dyDescent="0.6">
      <c r="A309" s="1" t="s">
        <v>108</v>
      </c>
      <c r="E309" s="81"/>
      <c r="F309" s="84"/>
    </row>
    <row r="310" spans="1:15" x14ac:dyDescent="0.6">
      <c r="A310" s="7"/>
      <c r="B310" s="73" t="s">
        <v>132</v>
      </c>
      <c r="C310" s="85">
        <f>E177</f>
        <v>67.415000000000006</v>
      </c>
      <c r="D310" s="77" t="s">
        <v>160</v>
      </c>
      <c r="E310" s="81"/>
      <c r="F310" s="84"/>
      <c r="M310" s="1"/>
      <c r="N310" s="87"/>
      <c r="O310" s="87"/>
    </row>
    <row r="311" spans="1:15" x14ac:dyDescent="0.6">
      <c r="A311" s="7"/>
      <c r="B311" s="73"/>
      <c r="C311" s="85">
        <f>E178</f>
        <v>67.415000000000006</v>
      </c>
      <c r="D311" s="77" t="s">
        <v>161</v>
      </c>
      <c r="E311" s="81"/>
      <c r="F311" s="84"/>
    </row>
    <row r="312" spans="1:15" x14ac:dyDescent="0.6">
      <c r="A312" s="7"/>
      <c r="B312" s="73" t="s">
        <v>159</v>
      </c>
      <c r="C312" s="440" t="s">
        <v>357</v>
      </c>
      <c r="D312" s="77"/>
      <c r="E312" s="81"/>
      <c r="F312" s="84"/>
    </row>
    <row r="313" spans="1:15" x14ac:dyDescent="0.6">
      <c r="A313" s="7"/>
      <c r="B313" s="73" t="s">
        <v>109</v>
      </c>
      <c r="C313" s="126">
        <f>+H171</f>
        <v>4</v>
      </c>
      <c r="D313" t="s">
        <v>110</v>
      </c>
      <c r="E313" s="81"/>
      <c r="F313" s="84"/>
    </row>
    <row r="314" spans="1:15" x14ac:dyDescent="0.6">
      <c r="A314" s="7"/>
      <c r="B314" s="73"/>
      <c r="C314" s="126">
        <f>+H172</f>
        <v>8</v>
      </c>
      <c r="D314" t="s">
        <v>111</v>
      </c>
      <c r="E314" s="81"/>
      <c r="F314" s="84"/>
    </row>
    <row r="315" spans="1:15" x14ac:dyDescent="0.6">
      <c r="A315" s="7"/>
      <c r="B315" s="73" t="s">
        <v>112</v>
      </c>
      <c r="C315" s="85">
        <f>+E192</f>
        <v>28.302</v>
      </c>
      <c r="D315" t="s">
        <v>113</v>
      </c>
      <c r="E315" s="81"/>
      <c r="F315" s="84"/>
    </row>
    <row r="316" spans="1:15" x14ac:dyDescent="0.6">
      <c r="A316" s="7"/>
      <c r="B316" s="73" t="s">
        <v>114</v>
      </c>
      <c r="C316" s="18" t="s">
        <v>246</v>
      </c>
      <c r="E316" s="81"/>
      <c r="F316" s="84"/>
    </row>
    <row r="317" spans="1:15" x14ac:dyDescent="0.6">
      <c r="A317" s="7"/>
      <c r="B317" s="73"/>
      <c r="C317" s="273" t="s">
        <v>461</v>
      </c>
      <c r="E317" s="81"/>
      <c r="F317" s="84"/>
    </row>
    <row r="318" spans="1:15" x14ac:dyDescent="0.6">
      <c r="A318" s="7"/>
      <c r="B318" s="73" t="s">
        <v>115</v>
      </c>
      <c r="C318" s="12" t="str">
        <f>'BGS PTY23 Cost Alloc'!C$307</f>
        <v xml:space="preserve"> forecasted 2024 energy use by class based upon PJM on/off % from 2021 through 2023 class load profiles</v>
      </c>
      <c r="E318" s="81"/>
      <c r="F318" s="84"/>
    </row>
    <row r="319" spans="1:15" x14ac:dyDescent="0.6">
      <c r="A319" s="7"/>
      <c r="B319" s="73"/>
      <c r="C319" s="12" t="str">
        <f>'BGS PTY23 Cost Alloc'!C$308</f>
        <v xml:space="preserve">   JCP&amp;L billing on/off % from 2024 forecasted billing determinants</v>
      </c>
      <c r="E319" s="81"/>
      <c r="F319" s="84"/>
    </row>
    <row r="320" spans="1:15" x14ac:dyDescent="0.6">
      <c r="A320" s="7"/>
      <c r="B320" s="73" t="s">
        <v>116</v>
      </c>
      <c r="C320" s="12" t="str">
        <f>'BGS PTY23 Cost Alloc'!C$309</f>
        <v xml:space="preserve"> class totals for 2024 excluding accounts required to take service under BGS-CIEP as of June 1, 2025</v>
      </c>
      <c r="E320" s="81"/>
      <c r="F320" s="84"/>
    </row>
    <row r="321" spans="1:12" x14ac:dyDescent="0.6">
      <c r="A321" s="7"/>
      <c r="B321" s="73" t="s">
        <v>117</v>
      </c>
      <c r="C321" t="s">
        <v>166</v>
      </c>
      <c r="E321" s="81"/>
      <c r="F321" s="84"/>
    </row>
    <row r="322" spans="1:12" x14ac:dyDescent="0.6">
      <c r="A322" s="7"/>
      <c r="B322" s="73" t="s">
        <v>118</v>
      </c>
      <c r="C322" t="s">
        <v>214</v>
      </c>
      <c r="E322" s="83"/>
      <c r="F322" s="84"/>
    </row>
    <row r="323" spans="1:12" x14ac:dyDescent="0.6">
      <c r="C323" t="s">
        <v>119</v>
      </c>
      <c r="E323" s="81"/>
      <c r="F323" s="84"/>
    </row>
    <row r="324" spans="1:12" x14ac:dyDescent="0.6">
      <c r="B324" s="73" t="s">
        <v>120</v>
      </c>
      <c r="C324" s="86" t="s">
        <v>189</v>
      </c>
      <c r="E324" s="81"/>
      <c r="F324" s="84"/>
    </row>
    <row r="325" spans="1:12" x14ac:dyDescent="0.6">
      <c r="A325" s="7"/>
      <c r="C325" s="86" t="s">
        <v>121</v>
      </c>
      <c r="E325" s="82"/>
    </row>
    <row r="326" spans="1:12" x14ac:dyDescent="0.6">
      <c r="C326" s="86" t="s">
        <v>188</v>
      </c>
    </row>
    <row r="327" spans="1:12" x14ac:dyDescent="0.6">
      <c r="A327" s="7"/>
      <c r="B327" s="306" t="s">
        <v>318</v>
      </c>
      <c r="C327" s="362" t="s">
        <v>319</v>
      </c>
      <c r="E327" s="115"/>
      <c r="F327" s="4"/>
    </row>
    <row r="328" spans="1:12" x14ac:dyDescent="0.6">
      <c r="A328" s="7"/>
      <c r="B328" t="str">
        <f>'BGS PTY23 Cost Alloc'!B318</f>
        <v xml:space="preserve"> </v>
      </c>
      <c r="C328" s="9"/>
      <c r="E328" s="115"/>
      <c r="F328" s="115"/>
    </row>
    <row r="333" spans="1:12" x14ac:dyDescent="0.6">
      <c r="L333" s="122"/>
    </row>
    <row r="342" spans="12:12" x14ac:dyDescent="0.6">
      <c r="L342" s="122"/>
    </row>
    <row r="343" spans="12:12" x14ac:dyDescent="0.6">
      <c r="L343" s="122"/>
    </row>
    <row r="344" spans="12:12" x14ac:dyDescent="0.6">
      <c r="L344" s="122"/>
    </row>
    <row r="345" spans="12:12" x14ac:dyDescent="0.6">
      <c r="L345" s="117"/>
    </row>
    <row r="346" spans="12:12" x14ac:dyDescent="0.6">
      <c r="L346" s="117"/>
    </row>
    <row r="347" spans="12:12" x14ac:dyDescent="0.6">
      <c r="L347" s="117"/>
    </row>
  </sheetData>
  <mergeCells count="16">
    <mergeCell ref="B144:L144"/>
    <mergeCell ref="B285:L285"/>
    <mergeCell ref="B286:L286"/>
    <mergeCell ref="B236:L236"/>
    <mergeCell ref="B237:L237"/>
    <mergeCell ref="B206:L206"/>
    <mergeCell ref="B207:L207"/>
    <mergeCell ref="B103:L103"/>
    <mergeCell ref="B104:L104"/>
    <mergeCell ref="B143:L143"/>
    <mergeCell ref="B1:L1"/>
    <mergeCell ref="B2:L2"/>
    <mergeCell ref="B52:L52"/>
    <mergeCell ref="B53:L53"/>
    <mergeCell ref="B5:L5"/>
    <mergeCell ref="B3:L3"/>
  </mergeCells>
  <phoneticPr fontId="34" type="noConversion"/>
  <pageMargins left="0.97" right="0.79" top="0.69" bottom="0.67" header="0.33" footer="0.5"/>
  <pageSetup scale="6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5" max="9" man="1"/>
    <brk id="235" max="9" man="1"/>
    <brk id="284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Y318"/>
  <sheetViews>
    <sheetView view="pageBreakPreview" zoomScaleNormal="84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4.54296875" customWidth="1"/>
    <col min="4" max="4" width="16.08984375" customWidth="1"/>
    <col min="5" max="5" width="14.453125" customWidth="1"/>
    <col min="6" max="7" width="16.08984375" customWidth="1"/>
    <col min="8" max="8" width="15.08984375" customWidth="1"/>
    <col min="9" max="9" width="14.54296875" customWidth="1"/>
    <col min="10" max="10" width="15.453125" customWidth="1"/>
    <col min="11" max="11" width="4.90625" customWidth="1"/>
    <col min="12" max="12" width="6.54296875" customWidth="1"/>
    <col min="13" max="13" width="15.90625" hidden="1" customWidth="1"/>
    <col min="14" max="14" width="18" hidden="1" customWidth="1"/>
    <col min="15" max="16" width="12.453125" hidden="1" customWidth="1"/>
    <col min="17" max="17" width="15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2.90625" hidden="1" customWidth="1"/>
    <col min="26" max="26" width="11.54296875" hidden="1" customWidth="1"/>
    <col min="27" max="27" width="12.54296875" hidden="1" customWidth="1"/>
    <col min="28" max="28" width="13.81640625" hidden="1" customWidth="1"/>
    <col min="29" max="29" width="15.6328125" hidden="1" customWidth="1"/>
    <col min="30" max="30" width="14.08984375" hidden="1" customWidth="1"/>
    <col min="31" max="31" width="2.6328125" hidden="1" customWidth="1"/>
    <col min="32" max="32" width="12.6328125" hidden="1" customWidth="1"/>
    <col min="33" max="33" width="12" hidden="1" customWidth="1"/>
    <col min="34" max="34" width="13.453125" hidden="1" customWidth="1"/>
    <col min="35" max="35" width="2" hidden="1" customWidth="1"/>
    <col min="36" max="36" width="11" hidden="1" customWidth="1"/>
    <col min="37" max="37" width="14.54296875" hidden="1" customWidth="1"/>
    <col min="38" max="38" width="12.453125" hidden="1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570" t="s">
        <v>69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</row>
    <row r="2" spans="1:26" ht="15.5" x14ac:dyDescent="0.7">
      <c r="B2" s="570" t="s">
        <v>187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</row>
    <row r="3" spans="1:26" ht="15.5" x14ac:dyDescent="0.7">
      <c r="B3" s="571" t="s">
        <v>446</v>
      </c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26" ht="15.5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6" ht="15.5" x14ac:dyDescent="0.7">
      <c r="B5" s="571" t="s">
        <v>447</v>
      </c>
      <c r="C5" s="571"/>
      <c r="D5" s="571"/>
      <c r="E5" s="571"/>
      <c r="F5" s="571"/>
      <c r="G5" s="571"/>
      <c r="H5" s="571"/>
      <c r="I5" s="571"/>
      <c r="J5" s="571"/>
      <c r="K5" s="571"/>
      <c r="L5" s="571"/>
    </row>
    <row r="8" spans="1:26" ht="15.5" x14ac:dyDescent="0.7">
      <c r="B8" s="13" t="s">
        <v>50</v>
      </c>
    </row>
    <row r="9" spans="1:26" x14ac:dyDescent="0.6">
      <c r="A9" s="14"/>
      <c r="B9" s="1" t="s">
        <v>45</v>
      </c>
    </row>
    <row r="10" spans="1:26" x14ac:dyDescent="0.6">
      <c r="E10" s="15" t="s">
        <v>483</v>
      </c>
      <c r="F10" s="74"/>
      <c r="G10" s="74"/>
      <c r="H10" s="74"/>
    </row>
    <row r="11" spans="1:26" x14ac:dyDescent="0.6">
      <c r="A11" s="6" t="s">
        <v>30</v>
      </c>
      <c r="B11" s="16" t="s">
        <v>47</v>
      </c>
      <c r="C11" s="17"/>
      <c r="E11" s="15" t="s">
        <v>27</v>
      </c>
      <c r="N11" s="16"/>
      <c r="P11" s="18"/>
      <c r="Q11" s="16" t="s">
        <v>212</v>
      </c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" x14ac:dyDescent="0.6">
      <c r="A12" s="7"/>
      <c r="B12" s="501"/>
      <c r="C12" s="19"/>
      <c r="D12" s="19"/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56</v>
      </c>
      <c r="L12" s="19"/>
      <c r="M12" s="19"/>
      <c r="N12" s="15"/>
      <c r="O12" s="19"/>
      <c r="P12" s="19"/>
      <c r="Q12" s="19" t="s">
        <v>24</v>
      </c>
      <c r="R12" s="19" t="s">
        <v>24</v>
      </c>
      <c r="S12" s="19" t="s">
        <v>24</v>
      </c>
      <c r="T12" s="19" t="s">
        <v>24</v>
      </c>
      <c r="U12" s="19" t="s">
        <v>56</v>
      </c>
      <c r="W12" s="19"/>
      <c r="X12" s="19"/>
      <c r="Y12" s="19"/>
      <c r="Z12" s="19"/>
    </row>
    <row r="13" spans="1:26" x14ac:dyDescent="0.6">
      <c r="A13" s="7"/>
      <c r="B13" s="20" t="s">
        <v>190</v>
      </c>
      <c r="C13" s="21"/>
      <c r="D13" s="21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1"/>
      <c r="K13" s="21"/>
      <c r="L13" s="21"/>
      <c r="M13" s="21"/>
      <c r="N13" s="22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6">
      <c r="A15" s="7"/>
      <c r="B15" s="23" t="s">
        <v>1</v>
      </c>
      <c r="C15" s="24"/>
      <c r="D15" s="24"/>
      <c r="E15" s="516">
        <v>0.44990000000000002</v>
      </c>
      <c r="F15" s="516">
        <v>0.4743</v>
      </c>
      <c r="G15" s="516">
        <v>0.52459999999999996</v>
      </c>
      <c r="H15" s="516">
        <v>0.50700000000000001</v>
      </c>
      <c r="I15" s="516">
        <v>0.31559999999999999</v>
      </c>
      <c r="J15" s="24"/>
      <c r="K15" s="24"/>
      <c r="L15" s="25"/>
      <c r="M15" s="25"/>
      <c r="N15" s="26"/>
      <c r="O15" s="27"/>
      <c r="P15" s="27"/>
      <c r="Q15" s="27">
        <f t="shared" ref="Q15:Q26" si="0">1-E15</f>
        <v>0.55010000000000003</v>
      </c>
      <c r="R15" s="27">
        <f t="shared" ref="R15:R26" si="1">1-F15</f>
        <v>0.52570000000000006</v>
      </c>
      <c r="S15" s="27">
        <f t="shared" ref="S15:S26" si="2">1-G15</f>
        <v>0.47540000000000004</v>
      </c>
      <c r="T15" s="27">
        <f t="shared" ref="T15:T26" si="3">1-H15</f>
        <v>0.49299999999999999</v>
      </c>
      <c r="U15" s="27">
        <f t="shared" ref="U15:U26" si="4">1-I15</f>
        <v>0.68440000000000001</v>
      </c>
      <c r="V15" s="27"/>
      <c r="W15" s="27"/>
      <c r="X15" s="27"/>
      <c r="Y15" s="27"/>
      <c r="Z15" s="27"/>
    </row>
    <row r="16" spans="1:26" x14ac:dyDescent="0.6">
      <c r="A16" s="7"/>
      <c r="B16" s="23" t="s">
        <v>2</v>
      </c>
      <c r="C16" s="24"/>
      <c r="D16" s="24"/>
      <c r="E16" s="516">
        <v>0.47739999999999999</v>
      </c>
      <c r="F16" s="516">
        <v>0.50419999999999998</v>
      </c>
      <c r="G16" s="516">
        <v>0.55489999999999995</v>
      </c>
      <c r="H16" s="516">
        <v>0.54020000000000001</v>
      </c>
      <c r="I16" s="516">
        <v>0.30590000000000001</v>
      </c>
      <c r="J16" s="24"/>
      <c r="K16" s="24"/>
      <c r="L16" s="25"/>
      <c r="M16" s="25"/>
      <c r="N16" s="26"/>
      <c r="O16" s="27"/>
      <c r="P16" s="27"/>
      <c r="Q16" s="27">
        <f t="shared" si="0"/>
        <v>0.52259999999999995</v>
      </c>
      <c r="R16" s="27">
        <f t="shared" si="1"/>
        <v>0.49580000000000002</v>
      </c>
      <c r="S16" s="27">
        <f t="shared" si="2"/>
        <v>0.44510000000000005</v>
      </c>
      <c r="T16" s="27">
        <f t="shared" si="3"/>
        <v>0.45979999999999999</v>
      </c>
      <c r="U16" s="27">
        <f t="shared" si="4"/>
        <v>0.69409999999999994</v>
      </c>
      <c r="V16" s="27"/>
      <c r="W16" s="27"/>
      <c r="X16" s="27"/>
      <c r="Y16" s="27"/>
      <c r="Z16" s="27"/>
    </row>
    <row r="17" spans="1:26" x14ac:dyDescent="0.6">
      <c r="A17" s="7"/>
      <c r="B17" s="23" t="s">
        <v>3</v>
      </c>
      <c r="C17" s="24"/>
      <c r="D17" s="24"/>
      <c r="E17" s="516">
        <v>0.50470000000000004</v>
      </c>
      <c r="F17" s="516">
        <v>0.5323</v>
      </c>
      <c r="G17" s="516">
        <v>0.58879999999999999</v>
      </c>
      <c r="H17" s="516">
        <v>0.55969999999999998</v>
      </c>
      <c r="I17" s="516">
        <v>0.3175</v>
      </c>
      <c r="J17" s="24"/>
      <c r="K17" s="24"/>
      <c r="L17" s="25"/>
      <c r="M17" s="25"/>
      <c r="N17" s="26"/>
      <c r="O17" s="27"/>
      <c r="P17" s="27"/>
      <c r="Q17" s="27">
        <f t="shared" si="0"/>
        <v>0.49529999999999996</v>
      </c>
      <c r="R17" s="27">
        <f t="shared" si="1"/>
        <v>0.4677</v>
      </c>
      <c r="S17" s="27">
        <f t="shared" si="2"/>
        <v>0.41120000000000001</v>
      </c>
      <c r="T17" s="27">
        <f t="shared" si="3"/>
        <v>0.44030000000000002</v>
      </c>
      <c r="U17" s="27">
        <f t="shared" si="4"/>
        <v>0.6825</v>
      </c>
      <c r="V17" s="27"/>
      <c r="W17" s="27"/>
      <c r="X17" s="27"/>
      <c r="Y17" s="27"/>
      <c r="Z17" s="27"/>
    </row>
    <row r="18" spans="1:26" x14ac:dyDescent="0.6">
      <c r="A18" s="7"/>
      <c r="B18" s="23" t="s">
        <v>4</v>
      </c>
      <c r="C18" s="24"/>
      <c r="D18" s="24"/>
      <c r="E18" s="516">
        <v>0.48959999999999998</v>
      </c>
      <c r="F18" s="516">
        <v>0.51</v>
      </c>
      <c r="G18" s="516">
        <v>0.56459999999999999</v>
      </c>
      <c r="H18" s="516">
        <v>0.54920000000000002</v>
      </c>
      <c r="I18" s="516">
        <v>0.30209999999999998</v>
      </c>
      <c r="J18" s="24"/>
      <c r="K18" s="24"/>
      <c r="L18" s="25"/>
      <c r="M18" s="25"/>
      <c r="N18" s="26"/>
      <c r="O18" s="27"/>
      <c r="P18" s="27"/>
      <c r="Q18" s="27">
        <f t="shared" si="0"/>
        <v>0.51039999999999996</v>
      </c>
      <c r="R18" s="27">
        <f t="shared" si="1"/>
        <v>0.49</v>
      </c>
      <c r="S18" s="27">
        <f t="shared" si="2"/>
        <v>0.43540000000000001</v>
      </c>
      <c r="T18" s="27">
        <f t="shared" si="3"/>
        <v>0.45079999999999998</v>
      </c>
      <c r="U18" s="27">
        <f t="shared" si="4"/>
        <v>0.69789999999999996</v>
      </c>
      <c r="V18" s="27"/>
      <c r="W18" s="27"/>
      <c r="X18" s="27"/>
      <c r="Y18" s="27"/>
      <c r="Z18" s="27"/>
    </row>
    <row r="19" spans="1:26" x14ac:dyDescent="0.6">
      <c r="A19" s="7"/>
      <c r="B19" s="23" t="s">
        <v>5</v>
      </c>
      <c r="C19" s="24"/>
      <c r="D19" s="24"/>
      <c r="E19" s="516">
        <v>0.45219999999999999</v>
      </c>
      <c r="F19" s="516">
        <v>0.47449999999999998</v>
      </c>
      <c r="G19" s="516">
        <v>0.54669999999999996</v>
      </c>
      <c r="H19" s="516">
        <v>0.52849999999999997</v>
      </c>
      <c r="I19" s="516">
        <v>0.28599999999999998</v>
      </c>
      <c r="J19" s="24"/>
      <c r="K19" s="24"/>
      <c r="L19" s="25"/>
      <c r="M19" s="25"/>
      <c r="N19" s="26"/>
      <c r="O19" s="27"/>
      <c r="P19" s="27"/>
      <c r="Q19" s="27">
        <f t="shared" si="0"/>
        <v>0.54780000000000006</v>
      </c>
      <c r="R19" s="27">
        <f t="shared" si="1"/>
        <v>0.52550000000000008</v>
      </c>
      <c r="S19" s="27">
        <f t="shared" si="2"/>
        <v>0.45330000000000004</v>
      </c>
      <c r="T19" s="27">
        <f t="shared" si="3"/>
        <v>0.47150000000000003</v>
      </c>
      <c r="U19" s="27">
        <f t="shared" si="4"/>
        <v>0.71399999999999997</v>
      </c>
      <c r="V19" s="27"/>
      <c r="W19" s="27"/>
      <c r="X19" s="27"/>
      <c r="Y19" s="27"/>
      <c r="Z19" s="27"/>
    </row>
    <row r="20" spans="1:26" x14ac:dyDescent="0.6">
      <c r="A20" s="7"/>
      <c r="B20" s="155" t="s">
        <v>6</v>
      </c>
      <c r="C20" s="175"/>
      <c r="D20" s="175"/>
      <c r="E20" s="517">
        <v>0.53900000000000003</v>
      </c>
      <c r="F20" s="517">
        <v>0.54600000000000004</v>
      </c>
      <c r="G20" s="517">
        <v>0.58720000000000006</v>
      </c>
      <c r="H20" s="517">
        <v>0.57999999999999996</v>
      </c>
      <c r="I20" s="518">
        <v>0.30249999999999999</v>
      </c>
      <c r="J20" s="24"/>
      <c r="K20" s="24"/>
      <c r="L20" s="25"/>
      <c r="M20" s="25"/>
      <c r="N20" s="26"/>
      <c r="O20" s="27"/>
      <c r="P20" s="27"/>
      <c r="Q20" s="27">
        <f t="shared" si="0"/>
        <v>0.46099999999999997</v>
      </c>
      <c r="R20" s="27">
        <f t="shared" si="1"/>
        <v>0.45399999999999996</v>
      </c>
      <c r="S20" s="27">
        <f t="shared" si="2"/>
        <v>0.41279999999999994</v>
      </c>
      <c r="T20" s="27">
        <f t="shared" si="3"/>
        <v>0.42000000000000004</v>
      </c>
      <c r="U20" s="27">
        <f t="shared" si="4"/>
        <v>0.69750000000000001</v>
      </c>
      <c r="V20" s="27"/>
      <c r="W20" s="27"/>
      <c r="X20" s="27"/>
      <c r="Y20" s="27"/>
      <c r="Z20" s="27"/>
    </row>
    <row r="21" spans="1:26" x14ac:dyDescent="0.6">
      <c r="A21" s="7"/>
      <c r="B21" s="159" t="s">
        <v>7</v>
      </c>
      <c r="C21" s="153"/>
      <c r="D21" s="153"/>
      <c r="E21" s="519">
        <v>0.50470000000000004</v>
      </c>
      <c r="F21" s="519">
        <v>0.50349999999999995</v>
      </c>
      <c r="G21" s="519">
        <v>0.54390000000000005</v>
      </c>
      <c r="H21" s="519">
        <v>0.52839999999999998</v>
      </c>
      <c r="I21" s="520">
        <v>0.26240000000000002</v>
      </c>
      <c r="J21" s="24"/>
      <c r="K21" s="24"/>
      <c r="L21" s="25"/>
      <c r="M21" s="25"/>
      <c r="N21" s="26"/>
      <c r="O21" s="27"/>
      <c r="P21" s="27"/>
      <c r="Q21" s="27">
        <f t="shared" si="0"/>
        <v>0.49529999999999996</v>
      </c>
      <c r="R21" s="27">
        <f t="shared" si="1"/>
        <v>0.49650000000000005</v>
      </c>
      <c r="S21" s="27">
        <f t="shared" si="2"/>
        <v>0.45609999999999995</v>
      </c>
      <c r="T21" s="27">
        <f t="shared" si="3"/>
        <v>0.47160000000000002</v>
      </c>
      <c r="U21" s="27">
        <f t="shared" si="4"/>
        <v>0.73760000000000003</v>
      </c>
      <c r="V21" s="27"/>
      <c r="W21" s="27"/>
      <c r="X21" s="27"/>
      <c r="Y21" s="27"/>
      <c r="Z21" s="27"/>
    </row>
    <row r="22" spans="1:26" x14ac:dyDescent="0.6">
      <c r="A22" s="7"/>
      <c r="B22" s="159" t="s">
        <v>8</v>
      </c>
      <c r="C22" s="153"/>
      <c r="D22" s="153"/>
      <c r="E22" s="519">
        <v>0.54759999999999998</v>
      </c>
      <c r="F22" s="519">
        <v>0.55159999999999998</v>
      </c>
      <c r="G22" s="519">
        <v>0.59250000000000003</v>
      </c>
      <c r="H22" s="519">
        <v>0.57050000000000001</v>
      </c>
      <c r="I22" s="520">
        <v>0.30059999999999998</v>
      </c>
      <c r="J22" s="24"/>
      <c r="K22" s="24"/>
      <c r="L22" s="25"/>
      <c r="M22" s="25"/>
      <c r="N22" s="26"/>
      <c r="O22" s="27"/>
      <c r="P22" s="27"/>
      <c r="Q22" s="27">
        <f t="shared" si="0"/>
        <v>0.45240000000000002</v>
      </c>
      <c r="R22" s="27">
        <f t="shared" si="1"/>
        <v>0.44840000000000002</v>
      </c>
      <c r="S22" s="27">
        <f t="shared" si="2"/>
        <v>0.40749999999999997</v>
      </c>
      <c r="T22" s="27">
        <f t="shared" si="3"/>
        <v>0.42949999999999999</v>
      </c>
      <c r="U22" s="27">
        <f t="shared" si="4"/>
        <v>0.69940000000000002</v>
      </c>
      <c r="V22" s="27"/>
      <c r="W22" s="27"/>
      <c r="X22" s="27"/>
      <c r="Y22" s="27"/>
      <c r="Z22" s="27"/>
    </row>
    <row r="23" spans="1:26" x14ac:dyDescent="0.6">
      <c r="A23" s="7"/>
      <c r="B23" s="161" t="s">
        <v>9</v>
      </c>
      <c r="C23" s="176"/>
      <c r="D23" s="176"/>
      <c r="E23" s="521">
        <v>0.48970000000000002</v>
      </c>
      <c r="F23" s="521">
        <v>0.4965</v>
      </c>
      <c r="G23" s="521">
        <v>0.56679999999999997</v>
      </c>
      <c r="H23" s="521">
        <v>0.55359999999999998</v>
      </c>
      <c r="I23" s="522">
        <v>0.29980000000000001</v>
      </c>
      <c r="J23" s="24"/>
      <c r="K23" s="24"/>
      <c r="L23" s="25"/>
      <c r="M23" s="25"/>
      <c r="N23" s="26"/>
      <c r="O23" s="27"/>
      <c r="P23" s="27"/>
      <c r="Q23" s="27">
        <f t="shared" si="0"/>
        <v>0.51029999999999998</v>
      </c>
      <c r="R23" s="27">
        <f t="shared" si="1"/>
        <v>0.50350000000000006</v>
      </c>
      <c r="S23" s="27">
        <f t="shared" si="2"/>
        <v>0.43320000000000003</v>
      </c>
      <c r="T23" s="27">
        <f t="shared" si="3"/>
        <v>0.44640000000000002</v>
      </c>
      <c r="U23" s="27">
        <f t="shared" si="4"/>
        <v>0.70019999999999993</v>
      </c>
      <c r="V23" s="27"/>
      <c r="W23" s="27"/>
      <c r="X23" s="27"/>
      <c r="Y23" s="27"/>
      <c r="Z23" s="27"/>
    </row>
    <row r="24" spans="1:26" x14ac:dyDescent="0.6">
      <c r="A24" s="7"/>
      <c r="B24" s="23" t="s">
        <v>10</v>
      </c>
      <c r="C24" s="24"/>
      <c r="D24" s="24"/>
      <c r="E24" s="516">
        <v>0.47660000000000002</v>
      </c>
      <c r="F24" s="516">
        <v>0.49880000000000002</v>
      </c>
      <c r="G24" s="516">
        <v>0.55959999999999999</v>
      </c>
      <c r="H24" s="516">
        <v>0.5383</v>
      </c>
      <c r="I24" s="516">
        <v>0.31240000000000001</v>
      </c>
      <c r="J24" s="24"/>
      <c r="K24" s="24"/>
      <c r="L24" s="25"/>
      <c r="M24" s="25"/>
      <c r="N24" s="26"/>
      <c r="O24" s="27"/>
      <c r="P24" s="27"/>
      <c r="Q24" s="27">
        <f t="shared" si="0"/>
        <v>0.52339999999999998</v>
      </c>
      <c r="R24" s="27">
        <f t="shared" si="1"/>
        <v>0.50119999999999998</v>
      </c>
      <c r="S24" s="27">
        <f t="shared" si="2"/>
        <v>0.44040000000000001</v>
      </c>
      <c r="T24" s="27">
        <f t="shared" si="3"/>
        <v>0.4617</v>
      </c>
      <c r="U24" s="27">
        <f t="shared" si="4"/>
        <v>0.68759999999999999</v>
      </c>
      <c r="V24" s="27"/>
      <c r="W24" s="27"/>
      <c r="X24" s="27"/>
      <c r="Y24" s="27"/>
      <c r="Z24" s="27"/>
    </row>
    <row r="25" spans="1:26" x14ac:dyDescent="0.6">
      <c r="A25" s="7"/>
      <c r="B25" s="23" t="s">
        <v>11</v>
      </c>
      <c r="C25" s="24"/>
      <c r="D25" s="24"/>
      <c r="E25" s="516">
        <v>0.47149999999999997</v>
      </c>
      <c r="F25" s="516">
        <v>0.50149999999999995</v>
      </c>
      <c r="G25" s="516">
        <v>0.56210000000000004</v>
      </c>
      <c r="H25" s="516">
        <v>0.5413</v>
      </c>
      <c r="I25" s="516">
        <v>0.32179999999999997</v>
      </c>
      <c r="J25" s="24"/>
      <c r="K25" s="24"/>
      <c r="L25" s="25"/>
      <c r="M25" s="25"/>
      <c r="N25" s="26"/>
      <c r="O25" s="27"/>
      <c r="P25" s="27"/>
      <c r="Q25" s="27">
        <f t="shared" si="0"/>
        <v>0.52849999999999997</v>
      </c>
      <c r="R25" s="27">
        <f t="shared" si="1"/>
        <v>0.49850000000000005</v>
      </c>
      <c r="S25" s="27">
        <f t="shared" si="2"/>
        <v>0.43789999999999996</v>
      </c>
      <c r="T25" s="27">
        <f t="shared" si="3"/>
        <v>0.4587</v>
      </c>
      <c r="U25" s="27">
        <f t="shared" si="4"/>
        <v>0.67820000000000003</v>
      </c>
      <c r="V25" s="27"/>
      <c r="W25" s="27"/>
      <c r="X25" s="27"/>
      <c r="Y25" s="27"/>
      <c r="Z25" s="27"/>
    </row>
    <row r="26" spans="1:26" x14ac:dyDescent="0.6">
      <c r="A26" s="7"/>
      <c r="B26" s="23" t="s">
        <v>12</v>
      </c>
      <c r="C26" s="24"/>
      <c r="D26" s="24"/>
      <c r="E26" s="516">
        <v>0.48380000000000001</v>
      </c>
      <c r="F26" s="516">
        <v>0.49409999999999998</v>
      </c>
      <c r="G26" s="516">
        <v>0.54910000000000003</v>
      </c>
      <c r="H26" s="516">
        <v>0.53990000000000005</v>
      </c>
      <c r="I26" s="516">
        <v>0.3246</v>
      </c>
      <c r="J26" s="24"/>
      <c r="K26" s="24"/>
      <c r="L26" s="25"/>
      <c r="M26" s="25"/>
      <c r="N26" s="26"/>
      <c r="O26" s="27"/>
      <c r="P26" s="27"/>
      <c r="Q26" s="27">
        <f t="shared" si="0"/>
        <v>0.51619999999999999</v>
      </c>
      <c r="R26" s="27">
        <f t="shared" si="1"/>
        <v>0.50590000000000002</v>
      </c>
      <c r="S26" s="27">
        <f t="shared" si="2"/>
        <v>0.45089999999999997</v>
      </c>
      <c r="T26" s="27">
        <f t="shared" si="3"/>
        <v>0.46009999999999995</v>
      </c>
      <c r="U26" s="27">
        <f t="shared" si="4"/>
        <v>0.6754</v>
      </c>
      <c r="V26" s="27"/>
      <c r="W26" s="27"/>
      <c r="X26" s="27"/>
      <c r="Y26" s="27"/>
      <c r="Z26" s="27"/>
    </row>
    <row r="27" spans="1:26" x14ac:dyDescent="0.6">
      <c r="A27" s="7"/>
      <c r="B27" s="23"/>
      <c r="C27" s="26"/>
      <c r="D27" s="26"/>
      <c r="E27" s="26"/>
      <c r="F27" s="26"/>
      <c r="G27" s="26"/>
      <c r="H27" s="26"/>
      <c r="I27" s="28"/>
      <c r="J27" s="28"/>
      <c r="K27" s="28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6">
      <c r="A28" s="7"/>
      <c r="B28" s="23"/>
      <c r="C28" s="26"/>
      <c r="D28" s="26"/>
      <c r="E28" s="26"/>
      <c r="F28" s="26"/>
      <c r="G28" s="26"/>
      <c r="H28" s="26"/>
      <c r="I28" s="26"/>
      <c r="J28" s="28"/>
      <c r="K28" s="28"/>
      <c r="L28" s="26"/>
      <c r="M28" s="26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6">
      <c r="A29" s="6" t="s">
        <v>31</v>
      </c>
      <c r="B29" s="16" t="s">
        <v>57</v>
      </c>
      <c r="C29" s="26"/>
      <c r="D29" s="26"/>
      <c r="E29" s="26"/>
      <c r="F29" s="29" t="s">
        <v>46</v>
      </c>
      <c r="G29" s="26"/>
      <c r="H29" s="26"/>
      <c r="I29" s="28"/>
      <c r="J29" s="28"/>
      <c r="K29" s="28"/>
      <c r="L29" s="26"/>
      <c r="M29" s="26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53.25" customHeight="1" x14ac:dyDescent="0.6">
      <c r="A30" s="7"/>
      <c r="C30" s="19"/>
      <c r="D30" s="19"/>
      <c r="E30" s="154" t="s">
        <v>448</v>
      </c>
      <c r="F30" s="19" t="s">
        <v>39</v>
      </c>
      <c r="G30" s="19" t="s">
        <v>39</v>
      </c>
      <c r="H30" s="154" t="s">
        <v>448</v>
      </c>
      <c r="I30" s="19" t="s">
        <v>39</v>
      </c>
      <c r="J30" s="19"/>
      <c r="K30" s="19"/>
      <c r="L30" s="19"/>
      <c r="M30" s="572"/>
      <c r="N30" s="572"/>
      <c r="O30" s="19"/>
      <c r="P30" s="19"/>
      <c r="Q30" s="154" t="str">
        <f>E30</f>
        <v>2024 Forecasted Calendar Month Sales</v>
      </c>
      <c r="R30" s="19" t="s">
        <v>39</v>
      </c>
      <c r="S30" s="19" t="s">
        <v>39</v>
      </c>
      <c r="T30" s="154" t="str">
        <f>H30</f>
        <v>2024 Forecasted Calendar Month Sales</v>
      </c>
      <c r="U30" s="19" t="s">
        <v>39</v>
      </c>
      <c r="V30" s="19"/>
      <c r="W30" s="19"/>
      <c r="X30" s="19"/>
      <c r="Y30" s="19"/>
      <c r="Z30" s="19"/>
    </row>
    <row r="31" spans="1:26" x14ac:dyDescent="0.6">
      <c r="A31" s="7"/>
      <c r="B31" s="20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22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6">
      <c r="A33" s="7"/>
      <c r="B33" s="23" t="s">
        <v>1</v>
      </c>
      <c r="C33" s="30"/>
      <c r="D33" s="113"/>
      <c r="E33" s="409">
        <v>0.35580000000000001</v>
      </c>
      <c r="F33" s="134" t="s">
        <v>40</v>
      </c>
      <c r="G33" s="134" t="s">
        <v>40</v>
      </c>
      <c r="H33" s="410">
        <v>0.41980000000000001</v>
      </c>
      <c r="I33" s="134" t="s">
        <v>40</v>
      </c>
      <c r="J33" s="30"/>
      <c r="K33" s="30"/>
      <c r="L33" s="30"/>
      <c r="M33" s="25"/>
      <c r="N33" s="26"/>
      <c r="O33" s="27"/>
      <c r="P33" s="27"/>
      <c r="Q33" s="27">
        <f t="shared" ref="Q33:Q44" si="5">1-E33</f>
        <v>0.64419999999999999</v>
      </c>
      <c r="R33" s="27"/>
      <c r="S33" s="27"/>
      <c r="T33" s="27">
        <f t="shared" ref="T33:T44" si="6">1-H33</f>
        <v>0.58020000000000005</v>
      </c>
      <c r="U33" s="27"/>
      <c r="V33" s="27"/>
      <c r="W33" s="27"/>
      <c r="X33" s="27"/>
      <c r="Y33" s="27"/>
      <c r="Z33" s="27"/>
    </row>
    <row r="34" spans="1:26" x14ac:dyDescent="0.6">
      <c r="A34" s="7"/>
      <c r="B34" s="23" t="s">
        <v>2</v>
      </c>
      <c r="C34" s="30"/>
      <c r="D34" s="113"/>
      <c r="E34" s="409">
        <v>0.34810000000000002</v>
      </c>
      <c r="F34" s="134" t="s">
        <v>40</v>
      </c>
      <c r="G34" s="134" t="s">
        <v>40</v>
      </c>
      <c r="H34" s="410">
        <v>0.41289999999999999</v>
      </c>
      <c r="I34" s="134" t="s">
        <v>40</v>
      </c>
      <c r="J34" s="30"/>
      <c r="K34" s="30"/>
      <c r="L34" s="30"/>
      <c r="M34" s="25"/>
      <c r="N34" s="26"/>
      <c r="O34" s="27"/>
      <c r="P34" s="27"/>
      <c r="Q34" s="27">
        <f t="shared" si="5"/>
        <v>0.65189999999999992</v>
      </c>
      <c r="R34" s="27"/>
      <c r="S34" s="27"/>
      <c r="T34" s="27">
        <f t="shared" si="6"/>
        <v>0.58709999999999996</v>
      </c>
      <c r="U34" s="27"/>
      <c r="V34" s="27"/>
      <c r="W34" s="27"/>
      <c r="X34" s="27"/>
      <c r="Y34" s="27"/>
      <c r="Z34" s="27"/>
    </row>
    <row r="35" spans="1:26" x14ac:dyDescent="0.6">
      <c r="A35" s="7"/>
      <c r="B35" s="23" t="s">
        <v>3</v>
      </c>
      <c r="C35" s="30"/>
      <c r="D35" s="113"/>
      <c r="E35" s="409">
        <v>0.34720000000000001</v>
      </c>
      <c r="F35" s="134" t="s">
        <v>40</v>
      </c>
      <c r="G35" s="134" t="s">
        <v>40</v>
      </c>
      <c r="H35" s="410">
        <v>0.41339999999999999</v>
      </c>
      <c r="I35" s="134" t="s">
        <v>40</v>
      </c>
      <c r="J35" s="30"/>
      <c r="K35" s="30"/>
      <c r="L35" s="30"/>
      <c r="M35" s="25"/>
      <c r="N35" s="26"/>
      <c r="O35" s="27"/>
      <c r="P35" s="27"/>
      <c r="Q35" s="27">
        <f t="shared" si="5"/>
        <v>0.65280000000000005</v>
      </c>
      <c r="R35" s="27"/>
      <c r="S35" s="27"/>
      <c r="T35" s="27">
        <f t="shared" si="6"/>
        <v>0.58660000000000001</v>
      </c>
      <c r="U35" s="27"/>
      <c r="V35" s="27"/>
      <c r="W35" s="27"/>
      <c r="X35" s="27"/>
      <c r="Y35" s="27"/>
      <c r="Z35" s="27"/>
    </row>
    <row r="36" spans="1:26" x14ac:dyDescent="0.6">
      <c r="A36" s="7"/>
      <c r="B36" s="23" t="s">
        <v>4</v>
      </c>
      <c r="C36" s="30"/>
      <c r="D36" s="113"/>
      <c r="E36" s="409">
        <v>0.35630000000000001</v>
      </c>
      <c r="F36" s="134" t="s">
        <v>40</v>
      </c>
      <c r="G36" s="134" t="s">
        <v>40</v>
      </c>
      <c r="H36" s="410">
        <v>0.41749999999999998</v>
      </c>
      <c r="I36" s="134" t="s">
        <v>40</v>
      </c>
      <c r="J36" s="30"/>
      <c r="K36" s="30"/>
      <c r="L36" s="30"/>
      <c r="M36" s="25"/>
      <c r="N36" s="26"/>
      <c r="O36" s="27"/>
      <c r="P36" s="27"/>
      <c r="Q36" s="27">
        <f t="shared" si="5"/>
        <v>0.64369999999999994</v>
      </c>
      <c r="R36" s="27"/>
      <c r="S36" s="27"/>
      <c r="T36" s="27">
        <f t="shared" si="6"/>
        <v>0.58250000000000002</v>
      </c>
      <c r="U36" s="27"/>
      <c r="V36" s="27"/>
      <c r="W36" s="27"/>
      <c r="X36" s="27"/>
      <c r="Y36" s="27"/>
      <c r="Z36" s="27"/>
    </row>
    <row r="37" spans="1:26" x14ac:dyDescent="0.6">
      <c r="A37" s="7"/>
      <c r="B37" s="23" t="s">
        <v>5</v>
      </c>
      <c r="C37" s="30"/>
      <c r="D37" s="113"/>
      <c r="E37" s="409">
        <v>0.37990000000000002</v>
      </c>
      <c r="F37" s="134" t="s">
        <v>40</v>
      </c>
      <c r="G37" s="134" t="s">
        <v>40</v>
      </c>
      <c r="H37" s="410">
        <v>0.42449999999999999</v>
      </c>
      <c r="I37" s="134" t="s">
        <v>40</v>
      </c>
      <c r="J37" s="30"/>
      <c r="K37" s="30"/>
      <c r="L37" s="30"/>
      <c r="M37" s="25"/>
      <c r="N37" s="26"/>
      <c r="O37" s="27"/>
      <c r="P37" s="27"/>
      <c r="Q37" s="27">
        <f t="shared" si="5"/>
        <v>0.62009999999999998</v>
      </c>
      <c r="R37" s="27"/>
      <c r="S37" s="27"/>
      <c r="T37" s="27">
        <f t="shared" si="6"/>
        <v>0.57550000000000001</v>
      </c>
      <c r="U37" s="27"/>
      <c r="V37" s="27"/>
      <c r="W37" s="27"/>
      <c r="X37" s="27"/>
      <c r="Y37" s="27"/>
      <c r="Z37" s="27"/>
    </row>
    <row r="38" spans="1:26" x14ac:dyDescent="0.6">
      <c r="A38" s="7"/>
      <c r="B38" s="155" t="s">
        <v>6</v>
      </c>
      <c r="C38" s="177"/>
      <c r="D38" s="178"/>
      <c r="E38" s="411">
        <v>0.40870000000000001</v>
      </c>
      <c r="F38" s="412" t="s">
        <v>40</v>
      </c>
      <c r="G38" s="412" t="s">
        <v>40</v>
      </c>
      <c r="H38" s="413">
        <v>0.4405</v>
      </c>
      <c r="I38" s="180" t="s">
        <v>40</v>
      </c>
      <c r="J38" s="113"/>
      <c r="K38" s="30"/>
      <c r="L38" s="30"/>
      <c r="M38" s="25"/>
      <c r="N38" s="26"/>
      <c r="O38" s="27"/>
      <c r="P38" s="27"/>
      <c r="Q38" s="27">
        <f t="shared" si="5"/>
        <v>0.59129999999999994</v>
      </c>
      <c r="R38" s="27"/>
      <c r="S38" s="27"/>
      <c r="T38" s="27">
        <f t="shared" si="6"/>
        <v>0.5595</v>
      </c>
      <c r="U38" s="27"/>
      <c r="V38" s="27"/>
      <c r="W38" s="27"/>
      <c r="X38" s="27"/>
      <c r="Y38" s="27"/>
      <c r="Z38" s="27"/>
    </row>
    <row r="39" spans="1:26" x14ac:dyDescent="0.6">
      <c r="A39" s="7"/>
      <c r="B39" s="159" t="s">
        <v>7</v>
      </c>
      <c r="C39" s="172"/>
      <c r="D39" s="173"/>
      <c r="E39" s="414">
        <v>0.42470000000000002</v>
      </c>
      <c r="F39" s="415" t="s">
        <v>40</v>
      </c>
      <c r="G39" s="415" t="s">
        <v>40</v>
      </c>
      <c r="H39" s="416">
        <v>0.45090000000000002</v>
      </c>
      <c r="I39" s="181" t="s">
        <v>40</v>
      </c>
      <c r="J39" s="113"/>
      <c r="K39" s="30"/>
      <c r="L39" s="30"/>
      <c r="M39" s="25"/>
      <c r="N39" s="26"/>
      <c r="O39" s="27"/>
      <c r="P39" s="27"/>
      <c r="Q39" s="27">
        <f t="shared" si="5"/>
        <v>0.57529999999999992</v>
      </c>
      <c r="R39" s="27"/>
      <c r="S39" s="27"/>
      <c r="T39" s="27">
        <f t="shared" si="6"/>
        <v>0.54909999999999992</v>
      </c>
      <c r="U39" s="27"/>
      <c r="V39" s="27"/>
      <c r="W39" s="27"/>
      <c r="X39" s="27"/>
      <c r="Y39" s="27"/>
      <c r="Z39" s="27"/>
    </row>
    <row r="40" spans="1:26" x14ac:dyDescent="0.6">
      <c r="A40" s="7"/>
      <c r="B40" s="159" t="s">
        <v>8</v>
      </c>
      <c r="C40" s="172"/>
      <c r="D40" s="173"/>
      <c r="E40" s="414">
        <v>0.42870000000000003</v>
      </c>
      <c r="F40" s="415" t="s">
        <v>40</v>
      </c>
      <c r="G40" s="415" t="s">
        <v>40</v>
      </c>
      <c r="H40" s="416">
        <v>0.44390000000000002</v>
      </c>
      <c r="I40" s="181" t="s">
        <v>40</v>
      </c>
      <c r="J40" s="113"/>
      <c r="K40" s="30"/>
      <c r="L40" s="30"/>
      <c r="M40" s="25"/>
      <c r="N40" s="26"/>
      <c r="O40" s="27"/>
      <c r="P40" s="27"/>
      <c r="Q40" s="27">
        <f t="shared" si="5"/>
        <v>0.57129999999999992</v>
      </c>
      <c r="R40" s="27"/>
      <c r="S40" s="27"/>
      <c r="T40" s="27">
        <f t="shared" si="6"/>
        <v>0.55610000000000004</v>
      </c>
      <c r="U40" s="27"/>
      <c r="V40" s="27"/>
      <c r="W40" s="27"/>
      <c r="X40" s="27"/>
      <c r="Y40" s="27"/>
      <c r="Z40" s="27"/>
    </row>
    <row r="41" spans="1:26" x14ac:dyDescent="0.6">
      <c r="A41" s="7"/>
      <c r="B41" s="161" t="s">
        <v>9</v>
      </c>
      <c r="C41" s="182"/>
      <c r="D41" s="183"/>
      <c r="E41" s="417">
        <v>0.41770000000000002</v>
      </c>
      <c r="F41" s="418" t="s">
        <v>40</v>
      </c>
      <c r="G41" s="418" t="s">
        <v>40</v>
      </c>
      <c r="H41" s="419">
        <v>0.4466</v>
      </c>
      <c r="I41" s="185" t="s">
        <v>40</v>
      </c>
      <c r="J41" s="113"/>
      <c r="K41" s="30"/>
      <c r="L41" s="30"/>
      <c r="M41" s="25"/>
      <c r="N41" s="26"/>
      <c r="O41" s="27"/>
      <c r="P41" s="27"/>
      <c r="Q41" s="27">
        <f t="shared" si="5"/>
        <v>0.58230000000000004</v>
      </c>
      <c r="R41" s="27"/>
      <c r="S41" s="27"/>
      <c r="T41" s="27">
        <f t="shared" si="6"/>
        <v>0.5534</v>
      </c>
      <c r="U41" s="27"/>
      <c r="V41" s="27"/>
      <c r="W41" s="27"/>
      <c r="X41" s="27"/>
      <c r="Y41" s="27"/>
      <c r="Z41" s="27"/>
    </row>
    <row r="42" spans="1:26" x14ac:dyDescent="0.6">
      <c r="A42" s="7"/>
      <c r="B42" s="23" t="s">
        <v>10</v>
      </c>
      <c r="C42" s="30"/>
      <c r="D42" s="113"/>
      <c r="E42" s="409">
        <v>0.38540000000000002</v>
      </c>
      <c r="F42" s="134" t="s">
        <v>40</v>
      </c>
      <c r="G42" s="134" t="s">
        <v>40</v>
      </c>
      <c r="H42" s="410">
        <v>0.44490000000000002</v>
      </c>
      <c r="I42" s="134" t="s">
        <v>40</v>
      </c>
      <c r="J42" s="30"/>
      <c r="K42" s="30"/>
      <c r="L42" s="30"/>
      <c r="M42" s="25"/>
      <c r="N42" s="26"/>
      <c r="O42" s="27"/>
      <c r="P42" s="27"/>
      <c r="Q42" s="27">
        <f t="shared" si="5"/>
        <v>0.61460000000000004</v>
      </c>
      <c r="R42" s="27"/>
      <c r="S42" s="27"/>
      <c r="T42" s="27">
        <f t="shared" si="6"/>
        <v>0.55509999999999993</v>
      </c>
      <c r="U42" s="27"/>
      <c r="V42" s="27"/>
      <c r="W42" s="27"/>
      <c r="X42" s="27"/>
      <c r="Y42" s="27"/>
      <c r="Z42" s="27"/>
    </row>
    <row r="43" spans="1:26" x14ac:dyDescent="0.6">
      <c r="A43" s="7"/>
      <c r="B43" s="23" t="s">
        <v>11</v>
      </c>
      <c r="C43" s="30"/>
      <c r="D43" s="113"/>
      <c r="E43" s="409">
        <v>0.36199999999999999</v>
      </c>
      <c r="F43" s="134" t="s">
        <v>40</v>
      </c>
      <c r="G43" s="134" t="s">
        <v>40</v>
      </c>
      <c r="H43" s="410">
        <v>0.43330000000000002</v>
      </c>
      <c r="I43" s="134" t="s">
        <v>40</v>
      </c>
      <c r="J43" s="30"/>
      <c r="K43" s="30"/>
      <c r="L43" s="30"/>
      <c r="M43" s="25"/>
      <c r="N43" s="26"/>
      <c r="O43" s="27"/>
      <c r="P43" s="27"/>
      <c r="Q43" s="27">
        <f t="shared" si="5"/>
        <v>0.63800000000000001</v>
      </c>
      <c r="R43" s="27"/>
      <c r="S43" s="27"/>
      <c r="T43" s="27">
        <f t="shared" si="6"/>
        <v>0.56669999999999998</v>
      </c>
      <c r="U43" s="27"/>
      <c r="V43" s="27"/>
      <c r="W43" s="27"/>
      <c r="X43" s="27"/>
      <c r="Y43" s="27"/>
      <c r="Z43" s="27"/>
    </row>
    <row r="44" spans="1:26" x14ac:dyDescent="0.6">
      <c r="A44" s="7"/>
      <c r="B44" s="23" t="s">
        <v>12</v>
      </c>
      <c r="C44" s="30"/>
      <c r="D44" s="113"/>
      <c r="E44" s="409">
        <v>0.35899999999999999</v>
      </c>
      <c r="F44" s="134" t="s">
        <v>40</v>
      </c>
      <c r="G44" s="134" t="s">
        <v>40</v>
      </c>
      <c r="H44" s="410">
        <v>0.42049999999999998</v>
      </c>
      <c r="I44" s="134" t="s">
        <v>40</v>
      </c>
      <c r="J44" s="30"/>
      <c r="K44" s="30"/>
      <c r="L44" s="30"/>
      <c r="M44" s="25"/>
      <c r="N44" s="26"/>
      <c r="O44" s="27"/>
      <c r="P44" s="27"/>
      <c r="Q44" s="27">
        <f t="shared" si="5"/>
        <v>0.64100000000000001</v>
      </c>
      <c r="R44" s="27"/>
      <c r="S44" s="27"/>
      <c r="T44" s="27">
        <f t="shared" si="6"/>
        <v>0.57950000000000002</v>
      </c>
      <c r="U44" s="27"/>
      <c r="V44" s="27"/>
      <c r="W44" s="27"/>
      <c r="X44" s="27"/>
      <c r="Y44" s="27"/>
      <c r="Z44" s="27"/>
    </row>
    <row r="45" spans="1:26" x14ac:dyDescent="0.6">
      <c r="A45" s="7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5"/>
      <c r="N45" s="26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6">
      <c r="A46" s="7"/>
      <c r="B46" s="31" t="s">
        <v>202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5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6">
      <c r="A47" s="7"/>
      <c r="B47" s="31" t="s">
        <v>213</v>
      </c>
      <c r="C47" s="26"/>
      <c r="D47" s="26"/>
      <c r="E47" s="26"/>
      <c r="F47" s="26"/>
      <c r="G47" s="26"/>
      <c r="H47" s="26"/>
      <c r="I47" s="28"/>
      <c r="J47" s="28"/>
      <c r="K47" s="28"/>
      <c r="L47" s="26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6">
      <c r="A48" s="7"/>
      <c r="B48" s="31" t="s">
        <v>66</v>
      </c>
      <c r="C48" s="26"/>
      <c r="D48" s="26"/>
      <c r="E48" s="26"/>
      <c r="F48" s="26"/>
      <c r="G48" s="26"/>
      <c r="H48" s="26"/>
      <c r="I48" s="28"/>
      <c r="J48" s="28"/>
      <c r="K48" s="28"/>
      <c r="L48" s="26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38" x14ac:dyDescent="0.6">
      <c r="A49" s="7"/>
      <c r="B49" s="31" t="s">
        <v>67</v>
      </c>
      <c r="C49" s="26"/>
      <c r="D49" s="26"/>
      <c r="E49" s="26"/>
      <c r="F49" s="26"/>
      <c r="G49" s="26"/>
      <c r="H49" s="26"/>
      <c r="I49" s="28"/>
      <c r="J49" s="28"/>
      <c r="K49" s="28"/>
      <c r="L49" s="26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38" x14ac:dyDescent="0.6">
      <c r="A50" s="7"/>
      <c r="B50" s="31" t="s">
        <v>68</v>
      </c>
      <c r="C50" s="26"/>
      <c r="D50" s="26"/>
      <c r="E50" s="26"/>
      <c r="F50" s="26"/>
      <c r="G50" s="26"/>
      <c r="H50" s="26"/>
      <c r="I50" s="28"/>
      <c r="J50" s="28"/>
      <c r="K50" s="28"/>
      <c r="L50" s="26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38" x14ac:dyDescent="0.6">
      <c r="A51" s="7"/>
      <c r="B51" s="23"/>
      <c r="C51" s="26"/>
      <c r="D51" s="26"/>
      <c r="E51" s="26"/>
      <c r="F51" s="26"/>
      <c r="G51" s="26"/>
      <c r="H51" s="26"/>
      <c r="I51" s="28"/>
      <c r="J51" s="28"/>
      <c r="K51" s="28"/>
      <c r="L51" s="26"/>
      <c r="M51" s="26"/>
      <c r="N51" s="26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38" ht="15.5" x14ac:dyDescent="0.7">
      <c r="A52" s="7"/>
      <c r="B52" s="570" t="str">
        <f>$B$1</f>
        <v xml:space="preserve">Jersey Central Power &amp; Light </v>
      </c>
      <c r="C52" s="570"/>
      <c r="D52" s="570"/>
      <c r="E52" s="570"/>
      <c r="F52" s="570"/>
      <c r="G52" s="570"/>
      <c r="H52" s="570"/>
      <c r="I52" s="570"/>
      <c r="J52" s="570"/>
      <c r="K52" s="570"/>
      <c r="L52" s="570"/>
      <c r="M52" s="26"/>
      <c r="N52" s="28"/>
      <c r="O52" s="27"/>
      <c r="P52" s="27"/>
      <c r="Q52" s="27"/>
      <c r="R52" s="27"/>
      <c r="S52" s="27"/>
      <c r="T52" s="27"/>
      <c r="U52" s="27"/>
      <c r="V52" s="27"/>
      <c r="W52" s="210" t="s">
        <v>451</v>
      </c>
      <c r="X52" s="27"/>
      <c r="Y52" s="27"/>
      <c r="Z52" s="27"/>
    </row>
    <row r="53" spans="1:38" ht="15.5" x14ac:dyDescent="0.7">
      <c r="A53" s="7"/>
      <c r="B53" s="570" t="str">
        <f>$B$2</f>
        <v>Attachment 2</v>
      </c>
      <c r="C53" s="570"/>
      <c r="D53" s="570"/>
      <c r="E53" s="570"/>
      <c r="F53" s="570"/>
      <c r="G53" s="570"/>
      <c r="H53" s="570"/>
      <c r="I53" s="570"/>
      <c r="J53" s="570"/>
      <c r="K53" s="570"/>
      <c r="L53" s="570"/>
      <c r="M53" s="28"/>
      <c r="N53" s="26"/>
      <c r="O53" s="27"/>
      <c r="P53" s="27"/>
      <c r="Q53" s="27"/>
      <c r="R53" s="27"/>
      <c r="S53" s="27"/>
      <c r="T53" s="27"/>
      <c r="U53" s="27"/>
      <c r="V53" s="27"/>
      <c r="W53" s="273" t="s">
        <v>251</v>
      </c>
      <c r="X53" s="27"/>
      <c r="Y53" s="27"/>
      <c r="Z53" s="27"/>
      <c r="AA53" s="4"/>
    </row>
    <row r="54" spans="1:38" x14ac:dyDescent="0.6">
      <c r="A54" s="7"/>
      <c r="B54" s="23"/>
      <c r="C54" s="26"/>
      <c r="D54" s="26"/>
      <c r="E54" s="26"/>
      <c r="F54" s="26"/>
      <c r="G54" s="26"/>
      <c r="H54" s="26"/>
      <c r="I54" s="28"/>
      <c r="J54" s="28"/>
      <c r="K54" s="28"/>
      <c r="L54" s="26"/>
      <c r="M54" s="26"/>
      <c r="N54" s="26"/>
      <c r="O54" s="27"/>
      <c r="P54" s="27"/>
      <c r="Q54" s="27"/>
      <c r="R54" s="27"/>
      <c r="S54" s="27"/>
      <c r="T54" s="27"/>
      <c r="U54" s="27"/>
      <c r="V54" s="27"/>
      <c r="W54" s="27"/>
      <c r="X54" s="250"/>
      <c r="Y54" s="27"/>
      <c r="Z54" s="27"/>
      <c r="AJ54" s="273"/>
    </row>
    <row r="55" spans="1:38" x14ac:dyDescent="0.6">
      <c r="A55" s="7"/>
      <c r="B55" s="23"/>
      <c r="C55" s="26"/>
      <c r="D55" s="26"/>
      <c r="E55" s="26"/>
      <c r="F55" s="26"/>
      <c r="G55" s="26"/>
      <c r="H55" s="26"/>
      <c r="I55" s="28"/>
      <c r="J55" s="28"/>
      <c r="K55" s="28"/>
      <c r="L55" s="26"/>
      <c r="M55" s="26"/>
      <c r="N55" s="26"/>
      <c r="O55" s="27"/>
      <c r="P55" s="27"/>
      <c r="Q55" s="27"/>
      <c r="R55" s="27"/>
      <c r="S55" s="27"/>
      <c r="T55" s="27"/>
      <c r="U55" s="27"/>
      <c r="V55" s="27"/>
      <c r="X55" s="26"/>
      <c r="Y55" s="506" t="s">
        <v>443</v>
      </c>
      <c r="Z55" s="27"/>
    </row>
    <row r="56" spans="1:38" x14ac:dyDescent="0.6">
      <c r="A56" s="6" t="s">
        <v>36</v>
      </c>
      <c r="B56" s="32" t="s">
        <v>48</v>
      </c>
      <c r="E56" s="26"/>
      <c r="F56" s="26"/>
      <c r="G56" s="26"/>
      <c r="H56" s="26"/>
      <c r="I56" s="28"/>
      <c r="J56" s="28"/>
      <c r="K56" s="28"/>
      <c r="O56" s="1"/>
      <c r="Y56" s="245" t="s">
        <v>248</v>
      </c>
      <c r="Z56" s="112"/>
      <c r="AJ56" s="74" t="s">
        <v>302</v>
      </c>
      <c r="AK56" s="74" t="s">
        <v>454</v>
      </c>
      <c r="AL56" s="74"/>
    </row>
    <row r="57" spans="1:38" x14ac:dyDescent="0.6">
      <c r="A57" s="7"/>
      <c r="B57" s="33" t="s">
        <v>442</v>
      </c>
      <c r="N57" s="34"/>
      <c r="O57" s="35"/>
      <c r="P57" s="35"/>
      <c r="Q57" s="35" t="s">
        <v>261</v>
      </c>
      <c r="R57" s="35"/>
      <c r="S57" s="35"/>
      <c r="T57" s="35"/>
      <c r="U57" s="36"/>
      <c r="W57" s="2" t="s">
        <v>13</v>
      </c>
      <c r="AB57" s="2" t="s">
        <v>280</v>
      </c>
      <c r="AJ57" s="74" t="s">
        <v>408</v>
      </c>
      <c r="AK57" s="364" t="s">
        <v>453</v>
      </c>
      <c r="AL57" s="74"/>
    </row>
    <row r="58" spans="1:38" x14ac:dyDescent="0.6">
      <c r="A58" s="7"/>
      <c r="B58" s="15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3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3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55" t="s">
        <v>60</v>
      </c>
      <c r="AA58" s="2" t="s">
        <v>321</v>
      </c>
      <c r="AB58" s="2" t="s">
        <v>281</v>
      </c>
      <c r="AC58" s="2" t="s">
        <v>355</v>
      </c>
      <c r="AD58" s="251" t="s">
        <v>283</v>
      </c>
      <c r="AF58" s="2" t="s">
        <v>55</v>
      </c>
      <c r="AG58" s="2" t="s">
        <v>356</v>
      </c>
      <c r="AH58" s="2" t="s">
        <v>54</v>
      </c>
      <c r="AJ58" s="74"/>
      <c r="AK58" s="74" t="s">
        <v>288</v>
      </c>
      <c r="AL58" s="74" t="s">
        <v>289</v>
      </c>
    </row>
    <row r="59" spans="1:38" x14ac:dyDescent="0.6">
      <c r="A59" s="7"/>
      <c r="M59" s="1" t="s">
        <v>180</v>
      </c>
      <c r="N59" s="39"/>
      <c r="U59" s="40"/>
      <c r="W59" s="306" t="s">
        <v>450</v>
      </c>
      <c r="X59" s="306" t="s">
        <v>450</v>
      </c>
      <c r="Y59" s="306" t="s">
        <v>450</v>
      </c>
      <c r="Z59" s="306" t="s">
        <v>450</v>
      </c>
      <c r="AA59" s="306" t="s">
        <v>449</v>
      </c>
      <c r="AB59" s="306" t="s">
        <v>449</v>
      </c>
      <c r="AC59" s="306" t="s">
        <v>407</v>
      </c>
      <c r="AD59" s="306" t="s">
        <v>449</v>
      </c>
      <c r="AF59" s="306" t="s">
        <v>449</v>
      </c>
      <c r="AG59" s="306" t="s">
        <v>407</v>
      </c>
      <c r="AH59" s="306" t="s">
        <v>452</v>
      </c>
      <c r="AJ59" s="74"/>
      <c r="AK59" s="74" t="s">
        <v>455</v>
      </c>
      <c r="AL59" s="74" t="s">
        <v>455</v>
      </c>
    </row>
    <row r="60" spans="1:38" x14ac:dyDescent="0.6">
      <c r="A60" s="7"/>
      <c r="B60" s="23" t="s">
        <v>1</v>
      </c>
      <c r="C60" s="41"/>
      <c r="D60" s="41"/>
      <c r="E60" s="42">
        <f>ROUND(AA60,0)+ROUND($W60/1000,0)</f>
        <v>19988</v>
      </c>
      <c r="F60" s="42">
        <f>ROUND(AB60,0)+ROUND($Z60/1000,0)</f>
        <v>843633</v>
      </c>
      <c r="G60" s="42">
        <f>ROUND(AC60,0)-ROUND(SUM($X60/1000),0)</f>
        <v>507045</v>
      </c>
      <c r="H60" s="42">
        <f>ROUND(AG60,0)</f>
        <v>14625</v>
      </c>
      <c r="I60" s="42">
        <f>ROUND(AF60,0)</f>
        <v>11325</v>
      </c>
      <c r="J60" s="42">
        <f t="shared" ref="J60:J72" si="7">SUM(E60:I60)</f>
        <v>1396616</v>
      </c>
      <c r="K60" s="42"/>
      <c r="L60" s="41"/>
      <c r="M60" s="42">
        <f t="shared" ref="M60:M71" si="8">E60-ROUND(SUM($W60/1000),0)</f>
        <v>19274</v>
      </c>
      <c r="N60" s="43" t="s">
        <v>28</v>
      </c>
      <c r="O60" s="44"/>
      <c r="P60" s="4"/>
      <c r="Q60" s="4">
        <f>SUM(E60:E64,E69:E71)</f>
        <v>122419</v>
      </c>
      <c r="R60" s="4">
        <f>SUM(F60:F64,F69:F71)</f>
        <v>5568269</v>
      </c>
      <c r="S60" s="4">
        <f>SUM(G60:G64,G69:G71)</f>
        <v>3857947</v>
      </c>
      <c r="T60" s="4">
        <f>SUM(H60:H64,H69:H71)</f>
        <v>96129</v>
      </c>
      <c r="U60" s="45">
        <f>SUM(I60:I64,I69:I71)</f>
        <v>90653</v>
      </c>
      <c r="V60" s="260">
        <v>45292</v>
      </c>
      <c r="W60" s="246">
        <v>714168.30594957422</v>
      </c>
      <c r="X60" s="247">
        <v>47310.450338394672</v>
      </c>
      <c r="Y60" s="4">
        <f t="shared" ref="Y60:Y71" si="9">W60-X60</f>
        <v>666857.85561117949</v>
      </c>
      <c r="Z60" s="247">
        <v>1738459.1219203153</v>
      </c>
      <c r="AA60" s="420">
        <v>19273.66750889063</v>
      </c>
      <c r="AB60" s="249">
        <v>841894.94779618143</v>
      </c>
      <c r="AC60" s="42">
        <f>AD60-(AK60/1000)</f>
        <v>507092.13169780897</v>
      </c>
      <c r="AD60" s="249">
        <v>559184.237697809</v>
      </c>
      <c r="AF60" s="249">
        <v>11325.29749059648</v>
      </c>
      <c r="AG60" s="256">
        <f>(AH60-AL60)/1000</f>
        <v>14625.477903780222</v>
      </c>
      <c r="AH60" s="249">
        <v>38541484.903780222</v>
      </c>
      <c r="AI60" s="4"/>
      <c r="AJ60" s="74">
        <v>202301</v>
      </c>
      <c r="AK60" s="41">
        <v>52092106</v>
      </c>
      <c r="AL60" s="41">
        <v>23916007</v>
      </c>
    </row>
    <row r="61" spans="1:38" x14ac:dyDescent="0.6">
      <c r="A61" s="7"/>
      <c r="B61" s="23" t="s">
        <v>2</v>
      </c>
      <c r="C61" s="41"/>
      <c r="D61" s="41"/>
      <c r="E61" s="42">
        <f>ROUND(AA61,0)+ROUND($W61/1000,0)</f>
        <v>20407</v>
      </c>
      <c r="F61" s="42">
        <f>ROUND(AB61,0)+ROUND($Z61/1000,0)</f>
        <v>815975</v>
      </c>
      <c r="G61" s="42">
        <f t="shared" ref="G61:G71" si="10">ROUND(AC61,0)-ROUND(SUM($X61/1000),0)</f>
        <v>519777</v>
      </c>
      <c r="H61" s="42">
        <f t="shared" ref="H61:H71" si="11">ROUND(AG61,0)</f>
        <v>13590</v>
      </c>
      <c r="I61" s="42">
        <f t="shared" ref="I61:I71" si="12">ROUND(AF61,0)</f>
        <v>11326</v>
      </c>
      <c r="J61" s="42">
        <f t="shared" si="7"/>
        <v>1381075</v>
      </c>
      <c r="K61" s="42"/>
      <c r="L61" s="41"/>
      <c r="M61" s="42">
        <f t="shared" si="8"/>
        <v>19714</v>
      </c>
      <c r="N61" s="43"/>
      <c r="O61" s="44"/>
      <c r="P61" s="73" t="s">
        <v>193</v>
      </c>
      <c r="Q61" s="4">
        <f>SUMPRODUCT(E33:E37,M60:M64)+SUMPRODUCT(E42:E44,M69:M71)</f>
        <v>42194.068100000004</v>
      </c>
      <c r="S61" s="5" t="s">
        <v>177</v>
      </c>
      <c r="T61" s="4">
        <f>SUMPRODUCT(H33:H37,H60:H64)+SUMPRODUCT(H42:H44,H69:H71)</f>
        <v>40633.899299999997</v>
      </c>
      <c r="U61" s="40">
        <f>T61/T60</f>
        <v>0.42270177885965732</v>
      </c>
      <c r="V61" s="260">
        <v>45323</v>
      </c>
      <c r="W61" s="246">
        <v>692855.51320816192</v>
      </c>
      <c r="X61" s="247">
        <v>21418.423384593865</v>
      </c>
      <c r="Y61" s="4">
        <f t="shared" si="9"/>
        <v>671437.08982356801</v>
      </c>
      <c r="Z61" s="247">
        <v>1643777.4472847255</v>
      </c>
      <c r="AA61" s="420">
        <v>19713.802880403193</v>
      </c>
      <c r="AB61" s="249">
        <v>814330.98314831348</v>
      </c>
      <c r="AC61" s="42">
        <f t="shared" ref="AC61:AC71" si="13">AD61-(AK61/1000)</f>
        <v>519797.88675883482</v>
      </c>
      <c r="AD61" s="249">
        <v>569419.8887588348</v>
      </c>
      <c r="AF61" s="249">
        <v>11325.664297335445</v>
      </c>
      <c r="AG61" s="256">
        <f t="shared" ref="AG61:AG71" si="14">(AH61-AL61)/1000</f>
        <v>13590.015416756458</v>
      </c>
      <c r="AH61" s="249">
        <v>36107663.416756459</v>
      </c>
      <c r="AJ61" s="74">
        <v>202302</v>
      </c>
      <c r="AK61" s="41">
        <v>49622002</v>
      </c>
      <c r="AL61" s="41">
        <v>22517648</v>
      </c>
    </row>
    <row r="62" spans="1:38" x14ac:dyDescent="0.6">
      <c r="A62" s="7"/>
      <c r="B62" s="23" t="s">
        <v>3</v>
      </c>
      <c r="C62" s="41"/>
      <c r="D62" s="41"/>
      <c r="E62" s="42">
        <f>ROUND(AA62,0)+ROUND($W62/1000,0)</f>
        <v>18383</v>
      </c>
      <c r="F62" s="42">
        <f>ROUND(AB62,0)+ROUND($Z62/1000,0)</f>
        <v>744210</v>
      </c>
      <c r="G62" s="42">
        <f t="shared" si="10"/>
        <v>518622</v>
      </c>
      <c r="H62" s="42">
        <f t="shared" si="11"/>
        <v>9553</v>
      </c>
      <c r="I62" s="42">
        <f t="shared" si="12"/>
        <v>11328</v>
      </c>
      <c r="J62" s="42">
        <f t="shared" si="7"/>
        <v>1302096</v>
      </c>
      <c r="K62" s="42"/>
      <c r="L62" s="41"/>
      <c r="M62" s="42">
        <f t="shared" si="8"/>
        <v>17735</v>
      </c>
      <c r="N62" s="43"/>
      <c r="O62" s="44"/>
      <c r="P62" s="73" t="s">
        <v>194</v>
      </c>
      <c r="Q62" s="4">
        <f>SUMPRODUCT(Q33:Q37,M60:M64)+SUMPRODUCT(Q42:Q44,M69:M71)</f>
        <v>75293.931899999996</v>
      </c>
      <c r="S62" s="5" t="s">
        <v>178</v>
      </c>
      <c r="T62" s="4">
        <f>+T60-T61</f>
        <v>55495.100700000003</v>
      </c>
      <c r="U62" s="40"/>
      <c r="V62" s="260">
        <v>45352</v>
      </c>
      <c r="W62" s="246">
        <v>648016.79527891637</v>
      </c>
      <c r="X62" s="247">
        <v>22276.405216539217</v>
      </c>
      <c r="Y62" s="4">
        <f t="shared" si="9"/>
        <v>625740.39006237721</v>
      </c>
      <c r="Z62" s="247">
        <v>1659727.5818691335</v>
      </c>
      <c r="AA62" s="420">
        <v>17734.532216683052</v>
      </c>
      <c r="AB62" s="249">
        <v>742550.45000618196</v>
      </c>
      <c r="AC62" s="42">
        <f t="shared" si="13"/>
        <v>518643.91707055306</v>
      </c>
      <c r="AD62" s="249">
        <v>568975.51707055303</v>
      </c>
      <c r="AF62" s="249">
        <v>11327.621520235743</v>
      </c>
      <c r="AG62" s="256">
        <f t="shared" si="14"/>
        <v>9553.2909160512681</v>
      </c>
      <c r="AH62" s="249">
        <v>31901754.916051269</v>
      </c>
      <c r="AJ62" s="74">
        <v>202303</v>
      </c>
      <c r="AK62" s="41">
        <v>50331600</v>
      </c>
      <c r="AL62" s="41">
        <v>22348464</v>
      </c>
    </row>
    <row r="63" spans="1:38" x14ac:dyDescent="0.6">
      <c r="A63" s="7"/>
      <c r="B63" s="23" t="s">
        <v>4</v>
      </c>
      <c r="C63" s="41"/>
      <c r="D63" s="41"/>
      <c r="E63" s="42">
        <f>ROUND(AA63,0)+ROUND($W63/1000,0)</f>
        <v>14553</v>
      </c>
      <c r="F63" s="42">
        <f>ROUND(AB63,0)+ROUND($Z63/1000,0)</f>
        <v>628002</v>
      </c>
      <c r="G63" s="42">
        <f t="shared" si="10"/>
        <v>482815</v>
      </c>
      <c r="H63" s="42">
        <f t="shared" si="11"/>
        <v>12445</v>
      </c>
      <c r="I63" s="42">
        <f t="shared" si="12"/>
        <v>11329</v>
      </c>
      <c r="J63" s="42">
        <f t="shared" si="7"/>
        <v>1149144</v>
      </c>
      <c r="K63" s="42"/>
      <c r="L63" s="41"/>
      <c r="M63" s="42">
        <f t="shared" si="8"/>
        <v>13876</v>
      </c>
      <c r="N63" s="39"/>
      <c r="P63" s="73" t="s">
        <v>259</v>
      </c>
      <c r="Q63" s="4">
        <f>SUM(W60:W64,W69:W71)/1000</f>
        <v>4931.8421941814795</v>
      </c>
      <c r="U63" s="40"/>
      <c r="V63" s="260">
        <v>45383</v>
      </c>
      <c r="W63" s="246">
        <v>676901.17042294855</v>
      </c>
      <c r="X63" s="247">
        <v>21934.18980132648</v>
      </c>
      <c r="Y63" s="4">
        <f t="shared" si="9"/>
        <v>654966.98062162206</v>
      </c>
      <c r="Z63" s="247">
        <v>1212037.5557268381</v>
      </c>
      <c r="AA63" s="420">
        <v>13876.227026417086</v>
      </c>
      <c r="AB63" s="249">
        <v>626789.88593615184</v>
      </c>
      <c r="AC63" s="42">
        <f t="shared" si="13"/>
        <v>482836.92413725279</v>
      </c>
      <c r="AD63" s="249">
        <v>533523.03813725279</v>
      </c>
      <c r="AF63" s="249">
        <v>11329.273547761835</v>
      </c>
      <c r="AG63" s="256">
        <f t="shared" si="14"/>
        <v>12445.320996005148</v>
      </c>
      <c r="AH63" s="249">
        <v>33813138.996005148</v>
      </c>
      <c r="AJ63" s="74">
        <v>202304</v>
      </c>
      <c r="AK63" s="41">
        <v>50686114</v>
      </c>
      <c r="AL63" s="41">
        <v>21367818</v>
      </c>
    </row>
    <row r="64" spans="1:38" x14ac:dyDescent="0.6">
      <c r="A64" s="7"/>
      <c r="B64" s="23" t="s">
        <v>5</v>
      </c>
      <c r="C64" s="41"/>
      <c r="D64" s="41"/>
      <c r="E64" s="42">
        <f>ROUND(AA64,0)+ROUND($W64/1000,0)</f>
        <v>11833</v>
      </c>
      <c r="F64" s="42">
        <f>ROUND(AB64,0)+ROUND($Z64/1000,0)</f>
        <v>571865</v>
      </c>
      <c r="G64" s="42">
        <f t="shared" si="10"/>
        <v>459712</v>
      </c>
      <c r="H64" s="163">
        <f t="shared" si="11"/>
        <v>9659</v>
      </c>
      <c r="I64" s="42">
        <f t="shared" si="12"/>
        <v>11331</v>
      </c>
      <c r="J64" s="42">
        <f t="shared" si="7"/>
        <v>1064400</v>
      </c>
      <c r="K64" s="42"/>
      <c r="L64" s="41"/>
      <c r="M64" s="42">
        <f t="shared" si="8"/>
        <v>11197</v>
      </c>
      <c r="N64" s="43" t="s">
        <v>29</v>
      </c>
      <c r="O64" s="44"/>
      <c r="P64" s="4"/>
      <c r="Q64" s="4">
        <f>+SUM(E65:E68)</f>
        <v>63333</v>
      </c>
      <c r="R64" s="4">
        <f>+SUM(F65:F68)</f>
        <v>4094064</v>
      </c>
      <c r="S64" s="4">
        <f>+SUM(G65:G68)</f>
        <v>2176849</v>
      </c>
      <c r="T64" s="4">
        <f>+SUM(H65:H68)</f>
        <v>55477</v>
      </c>
      <c r="U64" s="45">
        <f>+SUM(I65:I68)</f>
        <v>45335</v>
      </c>
      <c r="V64" s="260">
        <v>45413</v>
      </c>
      <c r="W64" s="246">
        <v>636395.67878371244</v>
      </c>
      <c r="X64" s="247">
        <v>22681.790941956795</v>
      </c>
      <c r="Y64" s="4">
        <f t="shared" si="9"/>
        <v>613713.88784175564</v>
      </c>
      <c r="Z64" s="247">
        <v>904569.00992310338</v>
      </c>
      <c r="AA64" s="420">
        <v>11196.665442697637</v>
      </c>
      <c r="AB64" s="249">
        <v>570959.70451932971</v>
      </c>
      <c r="AC64" s="42">
        <f t="shared" si="13"/>
        <v>459735.20092025131</v>
      </c>
      <c r="AD64" s="249">
        <v>513375.83192025131</v>
      </c>
      <c r="AF64" s="249">
        <v>11330.685493141047</v>
      </c>
      <c r="AG64" s="256">
        <f t="shared" si="14"/>
        <v>9659.1007647379338</v>
      </c>
      <c r="AH64" s="249">
        <v>31913523.764737934</v>
      </c>
      <c r="AJ64" s="74">
        <v>202305</v>
      </c>
      <c r="AK64" s="41">
        <v>53640631</v>
      </c>
      <c r="AL64" s="41">
        <v>22254423</v>
      </c>
    </row>
    <row r="65" spans="1:38" x14ac:dyDescent="0.6">
      <c r="A65" s="7"/>
      <c r="B65" s="155" t="s">
        <v>6</v>
      </c>
      <c r="C65" s="156"/>
      <c r="D65" s="156"/>
      <c r="E65" s="157">
        <f>ROUND(AA65,0)+ROUND(SUM($W65+$Z65)/1000,0)</f>
        <v>13312</v>
      </c>
      <c r="F65" s="157">
        <f>ROUND(AB65,0)</f>
        <v>761373</v>
      </c>
      <c r="G65" s="157">
        <f t="shared" si="10"/>
        <v>495571</v>
      </c>
      <c r="H65" s="42">
        <f t="shared" si="11"/>
        <v>16388</v>
      </c>
      <c r="I65" s="157">
        <f t="shared" si="12"/>
        <v>11332</v>
      </c>
      <c r="J65" s="158">
        <f t="shared" si="7"/>
        <v>1297976</v>
      </c>
      <c r="K65" s="42"/>
      <c r="L65" s="41"/>
      <c r="M65" s="165">
        <f t="shared" si="8"/>
        <v>12698</v>
      </c>
      <c r="N65" s="73"/>
      <c r="O65" s="44"/>
      <c r="P65" s="110" t="s">
        <v>151</v>
      </c>
      <c r="Q65" s="4">
        <f>SUMPRODUCT(E38:E41,M65:M68)</f>
        <v>25811.838199999998</v>
      </c>
      <c r="R65" s="42">
        <f>Q$95/1000*T$95/(S$95/1000)</f>
        <v>1972746.6948457141</v>
      </c>
      <c r="S65" s="5" t="s">
        <v>177</v>
      </c>
      <c r="T65" s="4">
        <f>+SUMPRODUCT(H38:H41,H65:H68)</f>
        <v>24685.819600000003</v>
      </c>
      <c r="U65" s="59">
        <f>T65/T64</f>
        <v>0.44497394595958689</v>
      </c>
      <c r="V65" s="372">
        <v>45444</v>
      </c>
      <c r="W65" s="373">
        <v>613594.85607070883</v>
      </c>
      <c r="X65" s="374">
        <v>22881.285699461809</v>
      </c>
      <c r="Y65" s="375">
        <f t="shared" si="9"/>
        <v>590713.57037124701</v>
      </c>
      <c r="Z65" s="374">
        <v>952653.87326650089</v>
      </c>
      <c r="AA65" s="421">
        <v>11746.241032176536</v>
      </c>
      <c r="AB65" s="376">
        <v>761373.4250645896</v>
      </c>
      <c r="AC65" s="157">
        <f t="shared" si="13"/>
        <v>495594.03724929888</v>
      </c>
      <c r="AD65" s="376">
        <v>546749.84124929889</v>
      </c>
      <c r="AE65" s="377"/>
      <c r="AF65" s="376">
        <v>11331.935495040727</v>
      </c>
      <c r="AG65" s="378">
        <f t="shared" si="14"/>
        <v>16387.796025361931</v>
      </c>
      <c r="AH65" s="376">
        <v>35830954.025361933</v>
      </c>
      <c r="AI65" s="377"/>
      <c r="AJ65" s="379">
        <v>202306</v>
      </c>
      <c r="AK65" s="156">
        <v>51155804</v>
      </c>
      <c r="AL65" s="380">
        <v>19443158</v>
      </c>
    </row>
    <row r="66" spans="1:38" x14ac:dyDescent="0.6">
      <c r="A66" s="7"/>
      <c r="B66" s="159" t="s">
        <v>7</v>
      </c>
      <c r="C66" s="41"/>
      <c r="D66" s="41"/>
      <c r="E66" s="42">
        <f>ROUND(AA66,0)+ROUND(SUM($W66+$Z66)/1000,0)</f>
        <v>16459</v>
      </c>
      <c r="F66" s="42">
        <f>ROUND(AB66,0)</f>
        <v>1076835</v>
      </c>
      <c r="G66" s="42">
        <f t="shared" si="10"/>
        <v>539399</v>
      </c>
      <c r="H66" s="42">
        <f t="shared" si="11"/>
        <v>11590</v>
      </c>
      <c r="I66" s="42">
        <f t="shared" si="12"/>
        <v>11333</v>
      </c>
      <c r="J66" s="160">
        <f t="shared" si="7"/>
        <v>1655616</v>
      </c>
      <c r="K66" s="42"/>
      <c r="L66" s="41"/>
      <c r="M66" s="166">
        <f t="shared" si="8"/>
        <v>15958</v>
      </c>
      <c r="N66" s="73"/>
      <c r="O66" s="44"/>
      <c r="P66" s="110" t="s">
        <v>152</v>
      </c>
      <c r="Q66" s="4">
        <f>SUMPRODUCT(Q38:Q41,M65:M68)</f>
        <v>35534.161799999994</v>
      </c>
      <c r="R66" s="42">
        <f>R$95/1000*T$95/(S$95/1000)</f>
        <v>2121317.3051542863</v>
      </c>
      <c r="S66" s="5" t="s">
        <v>178</v>
      </c>
      <c r="T66" s="4">
        <f>+T64-T65</f>
        <v>30791.180399999997</v>
      </c>
      <c r="V66" s="381">
        <v>45474</v>
      </c>
      <c r="W66" s="246">
        <v>500681.23129008996</v>
      </c>
      <c r="X66" s="247">
        <v>9443.1819723864992</v>
      </c>
      <c r="Y66" s="4">
        <f t="shared" si="9"/>
        <v>491238.04931770347</v>
      </c>
      <c r="Z66" s="247">
        <v>1158882.6846202938</v>
      </c>
      <c r="AA66" s="420">
        <v>14799.32413881928</v>
      </c>
      <c r="AB66" s="249">
        <v>1076835.4658018115</v>
      </c>
      <c r="AC66" s="42">
        <f t="shared" si="13"/>
        <v>539408.40828659036</v>
      </c>
      <c r="AD66" s="249">
        <v>602958.38728659041</v>
      </c>
      <c r="AF66" s="249">
        <v>11333.113637741246</v>
      </c>
      <c r="AG66" s="256">
        <f t="shared" si="14"/>
        <v>11590.371810094513</v>
      </c>
      <c r="AH66" s="249">
        <v>37493591.810094513</v>
      </c>
      <c r="AJ66" s="74">
        <v>202307</v>
      </c>
      <c r="AK66" s="41">
        <v>63549979</v>
      </c>
      <c r="AL66" s="382">
        <v>25903220</v>
      </c>
    </row>
    <row r="67" spans="1:38" x14ac:dyDescent="0.6">
      <c r="A67" s="7"/>
      <c r="B67" s="159" t="s">
        <v>8</v>
      </c>
      <c r="C67" s="41"/>
      <c r="D67" s="41"/>
      <c r="E67" s="42">
        <f>ROUND(AA67,0)+ROUND(SUM($W67+$Z67)/1000,0)</f>
        <v>17740</v>
      </c>
      <c r="F67" s="42">
        <f>ROUND(AB67,0)</f>
        <v>1206905</v>
      </c>
      <c r="G67" s="42">
        <f t="shared" si="10"/>
        <v>601943</v>
      </c>
      <c r="H67" s="42">
        <f t="shared" si="11"/>
        <v>14844</v>
      </c>
      <c r="I67" s="42">
        <f t="shared" si="12"/>
        <v>11334</v>
      </c>
      <c r="J67" s="160">
        <f t="shared" si="7"/>
        <v>1852766</v>
      </c>
      <c r="K67" s="42"/>
      <c r="L67" s="41"/>
      <c r="M67" s="166">
        <f t="shared" si="8"/>
        <v>17290</v>
      </c>
      <c r="N67" s="48"/>
      <c r="O67" s="48"/>
      <c r="P67" s="73" t="s">
        <v>260</v>
      </c>
      <c r="Q67" s="4">
        <f>SUM(W65:W68)/1000</f>
        <v>1986.5429326479127</v>
      </c>
      <c r="R67" s="55"/>
      <c r="S67" s="48"/>
      <c r="T67" s="48"/>
      <c r="U67" s="48"/>
      <c r="V67" s="381">
        <v>45505</v>
      </c>
      <c r="W67" s="246">
        <v>450086.96615424543</v>
      </c>
      <c r="X67" s="247">
        <v>9008.0147961036273</v>
      </c>
      <c r="Y67" s="4">
        <f t="shared" si="9"/>
        <v>441078.95135814179</v>
      </c>
      <c r="Z67" s="247">
        <v>1132270.5860206091</v>
      </c>
      <c r="AA67" s="420">
        <v>16158.118051931677</v>
      </c>
      <c r="AB67" s="249">
        <v>1206904.5696542186</v>
      </c>
      <c r="AC67" s="42">
        <f t="shared" si="13"/>
        <v>601952.44049026025</v>
      </c>
      <c r="AD67" s="249">
        <v>665882.65649026027</v>
      </c>
      <c r="AE67" s="18"/>
      <c r="AF67" s="249">
        <v>11334.326631857071</v>
      </c>
      <c r="AG67" s="256">
        <f t="shared" si="14"/>
        <v>14844.43914505776</v>
      </c>
      <c r="AH67" s="249">
        <v>41861345.14505776</v>
      </c>
      <c r="AJ67" s="74">
        <v>202308</v>
      </c>
      <c r="AK67" s="41">
        <v>63930216</v>
      </c>
      <c r="AL67" s="382">
        <v>27016906</v>
      </c>
    </row>
    <row r="68" spans="1:38" x14ac:dyDescent="0.6">
      <c r="A68" s="7"/>
      <c r="B68" s="161" t="s">
        <v>9</v>
      </c>
      <c r="C68" s="162"/>
      <c r="D68" s="162"/>
      <c r="E68" s="163">
        <f>ROUND(AA68,0)+ROUND(SUM($W68+$Z68)/1000,0)</f>
        <v>15822</v>
      </c>
      <c r="F68" s="163">
        <f>ROUND(AB68,0)</f>
        <v>1048951</v>
      </c>
      <c r="G68" s="163">
        <f t="shared" si="10"/>
        <v>539936</v>
      </c>
      <c r="H68" s="163">
        <f t="shared" si="11"/>
        <v>12655</v>
      </c>
      <c r="I68" s="163">
        <f t="shared" si="12"/>
        <v>11336</v>
      </c>
      <c r="J68" s="164">
        <f t="shared" si="7"/>
        <v>1628700</v>
      </c>
      <c r="K68" s="42"/>
      <c r="L68" s="41"/>
      <c r="M68" s="167">
        <f t="shared" si="8"/>
        <v>15400</v>
      </c>
      <c r="N68" s="169" t="s">
        <v>251</v>
      </c>
      <c r="O68" s="35"/>
      <c r="P68" s="35"/>
      <c r="Q68" s="35" t="s">
        <v>130</v>
      </c>
      <c r="R68" s="35"/>
      <c r="S68" s="35"/>
      <c r="T68" s="35"/>
      <c r="U68" s="35"/>
      <c r="V68" s="383">
        <v>45536</v>
      </c>
      <c r="W68" s="384">
        <v>422179.87913286843</v>
      </c>
      <c r="X68" s="385">
        <v>2395.9581832066729</v>
      </c>
      <c r="Y68" s="386">
        <f t="shared" si="9"/>
        <v>419783.92094966176</v>
      </c>
      <c r="Z68" s="385">
        <v>1107961.3292800277</v>
      </c>
      <c r="AA68" s="422">
        <v>14291.501183564826</v>
      </c>
      <c r="AB68" s="387">
        <v>1048950.5176228252</v>
      </c>
      <c r="AC68" s="163">
        <f t="shared" si="13"/>
        <v>539937.9740501825</v>
      </c>
      <c r="AD68" s="387">
        <v>603850.56805018254</v>
      </c>
      <c r="AE68" s="388"/>
      <c r="AF68" s="387">
        <v>11335.691273793824</v>
      </c>
      <c r="AG68" s="389">
        <f t="shared" si="14"/>
        <v>12654.634464283474</v>
      </c>
      <c r="AH68" s="387">
        <v>39639024.464283474</v>
      </c>
      <c r="AI68" s="390"/>
      <c r="AJ68" s="391">
        <v>202309</v>
      </c>
      <c r="AK68" s="162">
        <v>63912594</v>
      </c>
      <c r="AL68" s="392">
        <v>26984390</v>
      </c>
    </row>
    <row r="69" spans="1:38" x14ac:dyDescent="0.6">
      <c r="A69" s="7"/>
      <c r="B69" s="23" t="s">
        <v>10</v>
      </c>
      <c r="C69" s="41"/>
      <c r="D69" s="41"/>
      <c r="E69" s="42">
        <f>ROUND(AA69,0)+ROUND($W69/1000,0)</f>
        <v>10836</v>
      </c>
      <c r="F69" s="42">
        <f>ROUND(AB69,0)+ROUND($Z69/1000,0)</f>
        <v>686079</v>
      </c>
      <c r="G69" s="42">
        <f t="shared" si="10"/>
        <v>456166</v>
      </c>
      <c r="H69" s="42">
        <f t="shared" si="11"/>
        <v>9518</v>
      </c>
      <c r="I69" s="42">
        <f t="shared" si="12"/>
        <v>11337</v>
      </c>
      <c r="J69" s="42">
        <f t="shared" si="7"/>
        <v>1173936</v>
      </c>
      <c r="K69" s="42"/>
      <c r="L69" s="41"/>
      <c r="M69" s="42">
        <f t="shared" si="8"/>
        <v>10376</v>
      </c>
      <c r="N69" s="3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38"/>
      <c r="V69" s="260">
        <v>45566</v>
      </c>
      <c r="W69" s="246">
        <v>460436.95673340856</v>
      </c>
      <c r="X69" s="247">
        <v>11800.213112073534</v>
      </c>
      <c r="Y69" s="4">
        <f t="shared" si="9"/>
        <v>448636.74362133502</v>
      </c>
      <c r="Z69" s="247">
        <v>858451.66619244311</v>
      </c>
      <c r="AA69" s="420">
        <v>10376.467503699943</v>
      </c>
      <c r="AB69" s="249">
        <v>685220.84677986358</v>
      </c>
      <c r="AC69" s="42">
        <f t="shared" si="13"/>
        <v>456178.46513805812</v>
      </c>
      <c r="AD69" s="249">
        <v>511881.17213805811</v>
      </c>
      <c r="AF69" s="249">
        <v>11337.337180669867</v>
      </c>
      <c r="AG69" s="256">
        <f t="shared" si="14"/>
        <v>9518.0213191605653</v>
      </c>
      <c r="AH69" s="249">
        <v>32372589.319160566</v>
      </c>
      <c r="AJ69" s="74">
        <v>202310</v>
      </c>
      <c r="AK69" s="41">
        <v>55702707</v>
      </c>
      <c r="AL69" s="41">
        <v>22854568</v>
      </c>
    </row>
    <row r="70" spans="1:38" x14ac:dyDescent="0.6">
      <c r="A70" s="7"/>
      <c r="B70" s="23" t="s">
        <v>11</v>
      </c>
      <c r="C70" s="41"/>
      <c r="D70" s="41"/>
      <c r="E70" s="42">
        <f>ROUND(AA70,0)+ROUND($W70/1000,0)</f>
        <v>10921</v>
      </c>
      <c r="F70" s="42">
        <f>ROUND(AB70,0)+ROUND($Z70/1000,0)</f>
        <v>584113</v>
      </c>
      <c r="G70" s="42">
        <f t="shared" si="10"/>
        <v>445898</v>
      </c>
      <c r="H70" s="42">
        <f t="shared" si="11"/>
        <v>12458</v>
      </c>
      <c r="I70" s="42">
        <f t="shared" si="12"/>
        <v>11339</v>
      </c>
      <c r="J70" s="42">
        <f t="shared" si="7"/>
        <v>1064729</v>
      </c>
      <c r="K70" s="42"/>
      <c r="L70" s="41"/>
      <c r="M70" s="42">
        <f t="shared" si="8"/>
        <v>10410</v>
      </c>
      <c r="N70" s="39"/>
      <c r="U70" s="40"/>
      <c r="V70" s="260">
        <v>45597</v>
      </c>
      <c r="W70" s="246">
        <v>511102.04542653472</v>
      </c>
      <c r="X70" s="247">
        <v>11546.055457467051</v>
      </c>
      <c r="Y70" s="4">
        <f t="shared" si="9"/>
        <v>499555.98996906768</v>
      </c>
      <c r="Z70" s="247">
        <v>930860.51094852737</v>
      </c>
      <c r="AA70" s="420">
        <v>10409.73179752875</v>
      </c>
      <c r="AB70" s="249">
        <v>583181.72316450416</v>
      </c>
      <c r="AC70" s="42">
        <f t="shared" si="13"/>
        <v>445910.44108129031</v>
      </c>
      <c r="AD70" s="249">
        <v>497606.39208129031</v>
      </c>
      <c r="AE70" s="74"/>
      <c r="AF70" s="249">
        <v>11339.325649458562</v>
      </c>
      <c r="AG70" s="256">
        <f t="shared" si="14"/>
        <v>12458.436719186797</v>
      </c>
      <c r="AH70" s="249">
        <v>33841009.719186798</v>
      </c>
      <c r="AJ70" s="74">
        <v>202311</v>
      </c>
      <c r="AK70" s="41">
        <v>51695951</v>
      </c>
      <c r="AL70" s="41">
        <v>21382573</v>
      </c>
    </row>
    <row r="71" spans="1:38" x14ac:dyDescent="0.6">
      <c r="A71" s="7"/>
      <c r="B71" s="23" t="s">
        <v>12</v>
      </c>
      <c r="C71" s="41"/>
      <c r="D71" s="41"/>
      <c r="E71" s="42">
        <f>ROUND(AA71,0)+ROUND($W71/1000,0)</f>
        <v>15498</v>
      </c>
      <c r="F71" s="42">
        <f>ROUND(AB71,0)+ROUND($Z71/1000,0)</f>
        <v>694392</v>
      </c>
      <c r="G71" s="42">
        <f t="shared" si="10"/>
        <v>467912</v>
      </c>
      <c r="H71" s="42">
        <f t="shared" si="11"/>
        <v>14281</v>
      </c>
      <c r="I71" s="42">
        <f t="shared" si="12"/>
        <v>11338</v>
      </c>
      <c r="J71" s="42">
        <f t="shared" si="7"/>
        <v>1203421</v>
      </c>
      <c r="K71" s="42"/>
      <c r="L71" s="41"/>
      <c r="M71" s="168">
        <f t="shared" si="8"/>
        <v>14906</v>
      </c>
      <c r="N71" s="43"/>
      <c r="O71" s="44"/>
      <c r="P71" s="97" t="s">
        <v>148</v>
      </c>
      <c r="Q71" s="4">
        <f>SUM(E60:E64,E69:E71)</f>
        <v>122419</v>
      </c>
      <c r="R71" s="4"/>
      <c r="S71" s="97" t="s">
        <v>148</v>
      </c>
      <c r="T71" s="4">
        <f>SUM(H60:H64,H69:H71)</f>
        <v>96129</v>
      </c>
      <c r="U71" s="45"/>
      <c r="V71" s="260">
        <v>45627</v>
      </c>
      <c r="W71" s="262">
        <v>591965.72837822326</v>
      </c>
      <c r="X71" s="261">
        <v>11634.902384070465</v>
      </c>
      <c r="Y71" s="4">
        <f t="shared" si="9"/>
        <v>580330.82599415281</v>
      </c>
      <c r="Z71" s="261">
        <v>1335514.9208051851</v>
      </c>
      <c r="AA71" s="420">
        <v>14906.436897410804</v>
      </c>
      <c r="AB71" s="259">
        <v>693055.63958504656</v>
      </c>
      <c r="AC71" s="168">
        <f t="shared" si="13"/>
        <v>467923.50387229671</v>
      </c>
      <c r="AD71" s="259">
        <v>518577.33887229674</v>
      </c>
      <c r="AE71" s="8"/>
      <c r="AF71" s="249">
        <v>11337.985831284575</v>
      </c>
      <c r="AG71" s="256">
        <f t="shared" si="14"/>
        <v>14280.638364827864</v>
      </c>
      <c r="AH71" s="259">
        <v>36658867.364827864</v>
      </c>
      <c r="AJ71" s="74">
        <v>202312</v>
      </c>
      <c r="AK71" s="41">
        <v>50653835</v>
      </c>
      <c r="AL71" s="41">
        <v>22378229</v>
      </c>
    </row>
    <row r="72" spans="1:38" x14ac:dyDescent="0.6">
      <c r="A72" s="7"/>
      <c r="B72" s="50" t="s">
        <v>13</v>
      </c>
      <c r="C72" s="4"/>
      <c r="D72" s="4"/>
      <c r="E72" s="4">
        <f>SUM(E60:E71)</f>
        <v>185752</v>
      </c>
      <c r="F72" s="4">
        <f>SUM(F60:F71)</f>
        <v>9662333</v>
      </c>
      <c r="G72" s="4">
        <f>SUM(G60:G71)</f>
        <v>6034796</v>
      </c>
      <c r="H72" s="4">
        <f>SUM(H60:H71)</f>
        <v>151606</v>
      </c>
      <c r="I72" s="4">
        <f>SUM(I60:I71)</f>
        <v>135988</v>
      </c>
      <c r="J72" s="4">
        <f t="shared" si="7"/>
        <v>16170475</v>
      </c>
      <c r="K72" s="4"/>
      <c r="L72" s="4"/>
      <c r="M72" s="4">
        <f>SUM(M60:M71)</f>
        <v>178834</v>
      </c>
      <c r="N72" s="43"/>
      <c r="O72" s="44"/>
      <c r="P72" s="73" t="s">
        <v>146</v>
      </c>
      <c r="Q72" s="4">
        <f>SUMPRODUCT(E15:E19,E60:E64)+SUMPRODUCT(E24:E26,E69:E71)</f>
        <v>58300.455999999998</v>
      </c>
      <c r="R72">
        <f>Q72/Q71</f>
        <v>0.47623698935622738</v>
      </c>
      <c r="S72" s="73" t="s">
        <v>177</v>
      </c>
      <c r="T72" s="4">
        <f>SUMPRODUCT(H15:H19,H60:H64)+SUMPRODUCT(H24:H26,H69:H71)</f>
        <v>51619.949299999993</v>
      </c>
      <c r="U72" s="40">
        <f>T72/T71</f>
        <v>0.5369862299618221</v>
      </c>
      <c r="W72" s="4">
        <f t="shared" ref="W72:AF72" si="15">SUM(W60:W71)</f>
        <v>6918385.1268293932</v>
      </c>
      <c r="X72" s="4">
        <f t="shared" si="15"/>
        <v>214330.87128758073</v>
      </c>
      <c r="Y72" s="4">
        <f t="shared" si="15"/>
        <v>6704054.2555418108</v>
      </c>
      <c r="Z72" s="4">
        <f t="shared" si="15"/>
        <v>14635166.287857704</v>
      </c>
      <c r="AA72" s="4">
        <f t="shared" si="15"/>
        <v>174482.71568022342</v>
      </c>
      <c r="AB72" s="4">
        <f t="shared" si="15"/>
        <v>9652048.1590790171</v>
      </c>
      <c r="AC72" s="4">
        <f t="shared" si="15"/>
        <v>6035011.3307526782</v>
      </c>
      <c r="AD72" s="4">
        <f t="shared" si="15"/>
        <v>6691984.869752679</v>
      </c>
      <c r="AE72" s="265"/>
      <c r="AF72" s="4">
        <f t="shared" si="15"/>
        <v>135988.25804891641</v>
      </c>
      <c r="AG72" s="4">
        <f>SUM(AG60:AG71)</f>
        <v>151607.54384530394</v>
      </c>
      <c r="AH72" s="264">
        <f>SUM(AH60:AH71)</f>
        <v>429974947.84530389</v>
      </c>
      <c r="AJ72" s="273" t="s">
        <v>287</v>
      </c>
      <c r="AK72" s="274">
        <f>SUM(AK60:AK71)/1000</f>
        <v>656973.53899999999</v>
      </c>
      <c r="AL72" s="274">
        <f>SUM(AL60:AL71)/1000</f>
        <v>278367.40399999998</v>
      </c>
    </row>
    <row r="73" spans="1:38" x14ac:dyDescent="0.6">
      <c r="A73" s="7"/>
      <c r="B73" s="23"/>
      <c r="G73" s="42" t="s">
        <v>305</v>
      </c>
      <c r="K73" s="51"/>
      <c r="N73" s="43"/>
      <c r="O73" s="44"/>
      <c r="P73" s="73" t="s">
        <v>145</v>
      </c>
      <c r="Q73" s="4">
        <f>+Q71-Q72</f>
        <v>64118.544000000002</v>
      </c>
      <c r="S73" s="73" t="s">
        <v>178</v>
      </c>
      <c r="T73" s="4">
        <f>+T71-T72</f>
        <v>44509.050700000007</v>
      </c>
      <c r="U73" s="40"/>
      <c r="AD73" s="252"/>
      <c r="AE73" s="253"/>
      <c r="AG73" s="252"/>
      <c r="AH73" s="253"/>
      <c r="AK73" s="4" t="s">
        <v>251</v>
      </c>
    </row>
    <row r="74" spans="1:38" ht="15.5" x14ac:dyDescent="0.7">
      <c r="A74" s="7"/>
      <c r="N74" s="39"/>
      <c r="U74" s="40"/>
      <c r="V74" s="5" t="s">
        <v>181</v>
      </c>
      <c r="W74" t="s">
        <v>185</v>
      </c>
      <c r="X74" s="273" t="s">
        <v>427</v>
      </c>
      <c r="Y74" s="273" t="s">
        <v>428</v>
      </c>
      <c r="Z74" s="273" t="s">
        <v>429</v>
      </c>
      <c r="AB74" s="18" t="s">
        <v>285</v>
      </c>
      <c r="AC74" s="18" t="s">
        <v>286</v>
      </c>
      <c r="AE74" s="13"/>
      <c r="AK74" s="4" t="s">
        <v>251</v>
      </c>
    </row>
    <row r="75" spans="1:38" x14ac:dyDescent="0.6">
      <c r="A75" s="6" t="s">
        <v>37</v>
      </c>
      <c r="B75" s="1" t="s">
        <v>19</v>
      </c>
      <c r="G75" s="52" t="s">
        <v>32</v>
      </c>
      <c r="H75" s="1" t="s">
        <v>175</v>
      </c>
      <c r="N75" s="43"/>
      <c r="O75" s="44"/>
      <c r="P75" s="93" t="s">
        <v>149</v>
      </c>
      <c r="Q75" s="4">
        <f>+SUM(E65:E68)</f>
        <v>63333</v>
      </c>
      <c r="R75" s="2"/>
      <c r="S75" s="93" t="s">
        <v>149</v>
      </c>
      <c r="T75" s="4">
        <f>+SUM(H65:H68)</f>
        <v>55477</v>
      </c>
      <c r="U75" s="38"/>
      <c r="V75" s="4">
        <f t="shared" ref="V75:V86" si="16">W60-W75</f>
        <v>269747.51447884546</v>
      </c>
      <c r="W75" s="4">
        <f t="shared" ref="W75:W86" si="17">SUM(X75:Z75)</f>
        <v>444420.79147072876</v>
      </c>
      <c r="X75" s="248">
        <v>43562.586415394595</v>
      </c>
      <c r="Y75" s="247">
        <v>396190.27898937667</v>
      </c>
      <c r="Z75" s="247">
        <v>4667.9260659574775</v>
      </c>
      <c r="AA75" s="4"/>
      <c r="AB75" s="100">
        <f t="shared" ref="AB75:AB86" si="18">(V75*$AA$94+W75*$AA$95)/1000</f>
        <v>159.80238114120058</v>
      </c>
      <c r="AC75" s="100">
        <f t="shared" ref="AC75:AC86" si="19">(W60/1000)-AB75</f>
        <v>554.36592480837362</v>
      </c>
      <c r="AG75" s="4"/>
    </row>
    <row r="76" spans="1:38" x14ac:dyDescent="0.6">
      <c r="A76" s="7"/>
      <c r="B76" s="15" t="s">
        <v>21</v>
      </c>
      <c r="G76" s="18"/>
      <c r="H76" s="16" t="s">
        <v>174</v>
      </c>
      <c r="N76" s="43"/>
      <c r="O76" s="44"/>
      <c r="P76" s="73" t="s">
        <v>146</v>
      </c>
      <c r="Q76" s="4">
        <f>+SUMPRODUCT(E20:E23,E65:E68)</f>
        <v>32944.4827</v>
      </c>
      <c r="R76">
        <f>Q76/Q75</f>
        <v>0.52017878041463372</v>
      </c>
      <c r="S76" s="5" t="s">
        <v>177</v>
      </c>
      <c r="T76" s="4">
        <f>+SUMPRODUCT(H20:H23,H65:H68)</f>
        <v>31103.506000000001</v>
      </c>
      <c r="U76" s="40">
        <f>T76/T75</f>
        <v>0.56065587540782669</v>
      </c>
      <c r="V76" s="4">
        <f t="shared" si="16"/>
        <v>264212.51254411967</v>
      </c>
      <c r="W76" s="4">
        <f t="shared" si="17"/>
        <v>428643.00066404225</v>
      </c>
      <c r="X76" s="248">
        <v>18066.514060241632</v>
      </c>
      <c r="Y76" s="247">
        <v>406582.85793362715</v>
      </c>
      <c r="Z76" s="247">
        <v>3993.6286701734825</v>
      </c>
      <c r="AA76" s="4"/>
      <c r="AB76" s="100">
        <f t="shared" si="18"/>
        <v>154.61022718780109</v>
      </c>
      <c r="AC76" s="100">
        <f t="shared" si="19"/>
        <v>538.24528602036082</v>
      </c>
      <c r="AF76">
        <f>AA60/1000</f>
        <v>19.273667508890629</v>
      </c>
      <c r="AG76">
        <f>AB60/1000</f>
        <v>841.89494779618144</v>
      </c>
    </row>
    <row r="77" spans="1:38" x14ac:dyDescent="0.6">
      <c r="A77" s="7"/>
      <c r="D77" s="2" t="s">
        <v>169</v>
      </c>
      <c r="G77" s="2"/>
      <c r="N77" s="53"/>
      <c r="O77" s="54"/>
      <c r="P77" s="98" t="s">
        <v>145</v>
      </c>
      <c r="Q77" s="55">
        <f>Q75-Q76</f>
        <v>30388.5173</v>
      </c>
      <c r="R77" s="48"/>
      <c r="S77" s="111" t="s">
        <v>178</v>
      </c>
      <c r="T77" s="55">
        <f>T75-T76</f>
        <v>24373.493999999999</v>
      </c>
      <c r="U77" s="49"/>
      <c r="V77" s="4">
        <f t="shared" si="16"/>
        <v>252497.96959460346</v>
      </c>
      <c r="W77" s="4">
        <f t="shared" si="17"/>
        <v>395518.82568431291</v>
      </c>
      <c r="X77" s="248">
        <v>19023.811422903182</v>
      </c>
      <c r="Y77" s="247">
        <v>372636.95075745677</v>
      </c>
      <c r="Z77" s="247">
        <v>3858.0635039529584</v>
      </c>
      <c r="AA77" s="4"/>
      <c r="AB77" s="100">
        <f t="shared" si="18"/>
        <v>143.69850513347214</v>
      </c>
      <c r="AC77" s="100">
        <f t="shared" si="19"/>
        <v>504.31829014544417</v>
      </c>
      <c r="AD77" s="4">
        <f>SUM(AB65:AB68)</f>
        <v>4094063.9781434448</v>
      </c>
      <c r="AF77">
        <f t="shared" ref="AF77:AG87" si="20">AA61/1000</f>
        <v>19.713802880403193</v>
      </c>
      <c r="AG77">
        <f t="shared" si="20"/>
        <v>814.33098314831352</v>
      </c>
    </row>
    <row r="78" spans="1:38" x14ac:dyDescent="0.6">
      <c r="A78" s="7"/>
      <c r="C78" s="2" t="s">
        <v>14</v>
      </c>
      <c r="D78" s="2" t="s">
        <v>170</v>
      </c>
      <c r="E78" s="2" t="s">
        <v>15</v>
      </c>
      <c r="H78" s="2" t="s">
        <v>14</v>
      </c>
      <c r="I78" s="2" t="s">
        <v>15</v>
      </c>
      <c r="N78" s="39"/>
      <c r="Q78" t="s">
        <v>58</v>
      </c>
      <c r="U78" s="40"/>
      <c r="V78" s="4">
        <f t="shared" si="16"/>
        <v>263087.31127706158</v>
      </c>
      <c r="W78" s="4">
        <f t="shared" si="17"/>
        <v>413813.85914588696</v>
      </c>
      <c r="X78" s="248">
        <v>18184.954093885619</v>
      </c>
      <c r="Y78" s="247">
        <v>391260.22752627177</v>
      </c>
      <c r="Z78" s="247">
        <v>4368.6775257295549</v>
      </c>
      <c r="AA78" s="4"/>
      <c r="AB78" s="100">
        <f t="shared" si="18"/>
        <v>150.21561242952382</v>
      </c>
      <c r="AC78" s="100">
        <f t="shared" si="19"/>
        <v>526.68555799342471</v>
      </c>
      <c r="AF78">
        <f t="shared" si="20"/>
        <v>17.734532216683053</v>
      </c>
      <c r="AG78">
        <f t="shared" si="20"/>
        <v>742.5504500061819</v>
      </c>
    </row>
    <row r="79" spans="1:38" x14ac:dyDescent="0.6">
      <c r="A79" s="7"/>
      <c r="B79" s="23" t="s">
        <v>1</v>
      </c>
      <c r="C79" s="57">
        <v>81.7</v>
      </c>
      <c r="D79" s="428">
        <v>0.82200392927308452</v>
      </c>
      <c r="E79" s="429">
        <f t="shared" ref="E79:E90" si="21">ROUND(C79*D79,3)</f>
        <v>67.158000000000001</v>
      </c>
      <c r="H79" s="28">
        <v>0.81072796934865898</v>
      </c>
      <c r="I79" s="28">
        <v>0.87897366030881019</v>
      </c>
      <c r="N79" s="3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38"/>
      <c r="V79" s="4">
        <f t="shared" si="16"/>
        <v>260048.98563846748</v>
      </c>
      <c r="W79" s="4">
        <f t="shared" si="17"/>
        <v>376346.69314524496</v>
      </c>
      <c r="X79" s="248">
        <v>18811.209548180079</v>
      </c>
      <c r="Y79" s="247">
        <v>353815.48958144424</v>
      </c>
      <c r="Z79" s="247">
        <v>3719.9940156206694</v>
      </c>
      <c r="AA79" s="4"/>
      <c r="AB79" s="100">
        <f t="shared" si="18"/>
        <v>139.08895888948842</v>
      </c>
      <c r="AC79" s="100">
        <f t="shared" si="19"/>
        <v>497.30671989422405</v>
      </c>
      <c r="AF79">
        <f t="shared" si="20"/>
        <v>13.876227026417085</v>
      </c>
      <c r="AG79">
        <f t="shared" si="20"/>
        <v>626.78988593615179</v>
      </c>
    </row>
    <row r="80" spans="1:38" x14ac:dyDescent="0.6">
      <c r="A80" s="7"/>
      <c r="B80" s="23" t="s">
        <v>2</v>
      </c>
      <c r="C80" s="57">
        <v>70.349999999999994</v>
      </c>
      <c r="D80" s="94">
        <f>+$D$79</f>
        <v>0.82200392927308452</v>
      </c>
      <c r="E80" s="429">
        <f t="shared" si="21"/>
        <v>57.828000000000003</v>
      </c>
      <c r="H80" s="152">
        <f>H79</f>
        <v>0.81072796934865898</v>
      </c>
      <c r="I80" s="152">
        <f>I79</f>
        <v>0.87897366030881019</v>
      </c>
      <c r="N80" s="39"/>
      <c r="U80" s="40"/>
      <c r="V80" s="4">
        <f t="shared" si="16"/>
        <v>242995.39314966428</v>
      </c>
      <c r="W80" s="4">
        <f t="shared" si="17"/>
        <v>370599.46292104456</v>
      </c>
      <c r="X80" s="248">
        <v>20065.620016285789</v>
      </c>
      <c r="Y80" s="247">
        <v>347295.3619976028</v>
      </c>
      <c r="Z80" s="247">
        <v>3238.4809071559698</v>
      </c>
      <c r="AA80" s="4"/>
      <c r="AB80" s="100">
        <f t="shared" si="18"/>
        <v>135.40749322429858</v>
      </c>
      <c r="AC80" s="100">
        <f t="shared" si="19"/>
        <v>478.18736284641022</v>
      </c>
      <c r="AF80">
        <f t="shared" si="20"/>
        <v>11.196665442697636</v>
      </c>
      <c r="AG80">
        <f t="shared" si="20"/>
        <v>570.95970451932976</v>
      </c>
    </row>
    <row r="81" spans="1:33" x14ac:dyDescent="0.6">
      <c r="A81" s="7"/>
      <c r="B81" s="23" t="s">
        <v>3</v>
      </c>
      <c r="C81" s="57">
        <v>54</v>
      </c>
      <c r="D81" s="94">
        <f>+$D$79</f>
        <v>0.82200392927308452</v>
      </c>
      <c r="E81" s="429">
        <f t="shared" si="21"/>
        <v>44.387999999999998</v>
      </c>
      <c r="H81" s="152">
        <f>H79</f>
        <v>0.81072796934865898</v>
      </c>
      <c r="I81" s="152">
        <f>I79</f>
        <v>0.87897366030881019</v>
      </c>
      <c r="N81" s="43"/>
      <c r="O81" s="44"/>
      <c r="P81" s="97" t="s">
        <v>26</v>
      </c>
      <c r="Q81" s="4"/>
      <c r="R81" s="4"/>
      <c r="S81" s="97" t="s">
        <v>26</v>
      </c>
      <c r="T81" s="4"/>
      <c r="U81" s="45"/>
      <c r="V81" s="4">
        <f t="shared" si="16"/>
        <v>212667.78937835235</v>
      </c>
      <c r="W81" s="4">
        <f t="shared" si="17"/>
        <v>288013.44191173761</v>
      </c>
      <c r="X81" s="248">
        <v>6694.5225045978559</v>
      </c>
      <c r="Y81" s="247">
        <v>278234.87276505836</v>
      </c>
      <c r="Z81" s="247">
        <v>3084.0466420814123</v>
      </c>
      <c r="AA81" s="4"/>
      <c r="AB81" s="100">
        <f t="shared" si="18"/>
        <v>108.06870880860207</v>
      </c>
      <c r="AC81" s="100">
        <f t="shared" si="19"/>
        <v>392.61252248148787</v>
      </c>
      <c r="AF81">
        <f t="shared" si="20"/>
        <v>11.746241032176536</v>
      </c>
      <c r="AG81">
        <f t="shared" si="20"/>
        <v>761.37342506458958</v>
      </c>
    </row>
    <row r="82" spans="1:33" x14ac:dyDescent="0.6">
      <c r="A82" s="7"/>
      <c r="B82" s="23" t="s">
        <v>4</v>
      </c>
      <c r="C82" s="57">
        <v>49.65</v>
      </c>
      <c r="D82" s="94">
        <f>+$D$79</f>
        <v>0.82200392927308452</v>
      </c>
      <c r="E82" s="429">
        <f t="shared" si="21"/>
        <v>40.811999999999998</v>
      </c>
      <c r="H82" s="152">
        <f>H79</f>
        <v>0.81072796934865898</v>
      </c>
      <c r="I82" s="152">
        <f>I79</f>
        <v>0.87897366030881019</v>
      </c>
      <c r="N82" s="43"/>
      <c r="O82" s="44"/>
      <c r="P82" s="73" t="s">
        <v>147</v>
      </c>
      <c r="Q82" s="4">
        <f>Q72-Q61</f>
        <v>16106.387899999994</v>
      </c>
      <c r="S82" s="73" t="s">
        <v>147</v>
      </c>
      <c r="T82" s="4">
        <f>T72-T61</f>
        <v>10986.049999999996</v>
      </c>
      <c r="U82" s="40"/>
      <c r="V82" s="4">
        <f t="shared" si="16"/>
        <v>185947.62078901089</v>
      </c>
      <c r="W82" s="4">
        <f t="shared" si="17"/>
        <v>264139.34536523453</v>
      </c>
      <c r="X82" s="248">
        <v>6622.8110758945277</v>
      </c>
      <c r="Y82" s="247">
        <v>254888.00541652218</v>
      </c>
      <c r="Z82" s="247">
        <v>2628.5288728177984</v>
      </c>
      <c r="AA82" s="4"/>
      <c r="AB82" s="100">
        <f t="shared" si="18"/>
        <v>98.028306145525391</v>
      </c>
      <c r="AC82" s="100">
        <f t="shared" si="19"/>
        <v>352.05866000872004</v>
      </c>
      <c r="AF82">
        <f t="shared" si="20"/>
        <v>14.79932413881928</v>
      </c>
      <c r="AG82">
        <f t="shared" si="20"/>
        <v>1076.8354658018116</v>
      </c>
    </row>
    <row r="83" spans="1:33" x14ac:dyDescent="0.6">
      <c r="A83" s="7"/>
      <c r="B83" s="23" t="s">
        <v>5</v>
      </c>
      <c r="C83" s="57">
        <v>53.15</v>
      </c>
      <c r="D83" s="94">
        <f>+$D$79</f>
        <v>0.82200392927308452</v>
      </c>
      <c r="E83" s="429">
        <f t="shared" si="21"/>
        <v>43.69</v>
      </c>
      <c r="H83" s="152">
        <f>H79</f>
        <v>0.81072796934865898</v>
      </c>
      <c r="I83" s="152">
        <f>I79</f>
        <v>0.87897366030881019</v>
      </c>
      <c r="N83" s="43"/>
      <c r="O83" s="44"/>
      <c r="P83" s="73" t="s">
        <v>150</v>
      </c>
      <c r="Q83" s="118">
        <f>Q82*(E117-E118)</f>
        <v>89711.635745874853</v>
      </c>
      <c r="S83" s="73" t="s">
        <v>150</v>
      </c>
      <c r="T83" s="118">
        <f>T82*(H117-H118)</f>
        <v>59880.376137796557</v>
      </c>
      <c r="U83" s="40"/>
      <c r="V83" s="4">
        <f t="shared" si="16"/>
        <v>179793.60246514203</v>
      </c>
      <c r="W83" s="4">
        <f t="shared" si="17"/>
        <v>242386.2766677264</v>
      </c>
      <c r="X83" s="248">
        <v>0</v>
      </c>
      <c r="Y83" s="247">
        <v>240501.31994765304</v>
      </c>
      <c r="Z83" s="247">
        <v>1884.956720073347</v>
      </c>
      <c r="AA83" s="4"/>
      <c r="AB83" s="100">
        <f t="shared" si="18"/>
        <v>91.045661744475836</v>
      </c>
      <c r="AC83" s="100">
        <f t="shared" si="19"/>
        <v>331.13421738839259</v>
      </c>
      <c r="AF83">
        <f t="shared" si="20"/>
        <v>16.158118051931677</v>
      </c>
      <c r="AG83">
        <f t="shared" si="20"/>
        <v>1206.9045696542187</v>
      </c>
    </row>
    <row r="84" spans="1:33" x14ac:dyDescent="0.6">
      <c r="A84" s="7"/>
      <c r="B84" s="23" t="s">
        <v>6</v>
      </c>
      <c r="C84" s="430">
        <v>52.7</v>
      </c>
      <c r="D84" s="431">
        <v>0.62747747747747751</v>
      </c>
      <c r="E84" s="432">
        <f t="shared" si="21"/>
        <v>33.067999999999998</v>
      </c>
      <c r="H84" s="108">
        <v>0.82484298674110257</v>
      </c>
      <c r="I84" s="109">
        <v>0.88365468886941279</v>
      </c>
      <c r="N84" s="39"/>
      <c r="Q84" s="3"/>
      <c r="T84" s="3"/>
      <c r="U84" s="40"/>
      <c r="V84" s="4">
        <f t="shared" si="16"/>
        <v>191210.45188976498</v>
      </c>
      <c r="W84" s="4">
        <f t="shared" si="17"/>
        <v>269226.50484364358</v>
      </c>
      <c r="X84" s="248">
        <v>9392.292584910856</v>
      </c>
      <c r="Y84" s="247">
        <v>257324.7072201315</v>
      </c>
      <c r="Z84" s="247">
        <v>2509.5050386012094</v>
      </c>
      <c r="AA84" s="4"/>
      <c r="AB84" s="100">
        <f t="shared" si="18"/>
        <v>100.11646029337234</v>
      </c>
      <c r="AC84" s="100">
        <f t="shared" si="19"/>
        <v>360.32049644003621</v>
      </c>
      <c r="AF84">
        <f t="shared" si="20"/>
        <v>14.291501183564826</v>
      </c>
      <c r="AG84">
        <f t="shared" si="20"/>
        <v>1048.9505176228251</v>
      </c>
    </row>
    <row r="85" spans="1:33" x14ac:dyDescent="0.6">
      <c r="A85" s="7"/>
      <c r="B85" s="23" t="s">
        <v>7</v>
      </c>
      <c r="C85" s="433">
        <v>77.45</v>
      </c>
      <c r="D85" s="186">
        <f>+$D$84</f>
        <v>0.62747747747747751</v>
      </c>
      <c r="E85" s="434">
        <f t="shared" si="21"/>
        <v>48.597999999999999</v>
      </c>
      <c r="H85" s="150">
        <f t="shared" ref="H85:I87" si="22">H84</f>
        <v>0.82484298674110257</v>
      </c>
      <c r="I85" s="435">
        <f t="shared" si="22"/>
        <v>0.88365468886941279</v>
      </c>
      <c r="N85" s="43"/>
      <c r="O85" s="44"/>
      <c r="P85" s="93" t="s">
        <v>25</v>
      </c>
      <c r="Q85" s="3"/>
      <c r="R85" s="2"/>
      <c r="S85" s="93" t="s">
        <v>25</v>
      </c>
      <c r="T85" s="3"/>
      <c r="U85" s="38"/>
      <c r="V85" s="4">
        <f t="shared" si="16"/>
        <v>212295.19196345087</v>
      </c>
      <c r="W85" s="4">
        <f t="shared" si="17"/>
        <v>298806.85346308385</v>
      </c>
      <c r="X85" s="248">
        <v>9024.8474578914775</v>
      </c>
      <c r="Y85" s="247">
        <v>286788.43041335104</v>
      </c>
      <c r="Z85" s="247">
        <v>2993.575591841287</v>
      </c>
      <c r="AA85" s="4"/>
      <c r="AB85" s="100">
        <f t="shared" si="18"/>
        <v>111.12548097920435</v>
      </c>
      <c r="AC85" s="100">
        <f t="shared" si="19"/>
        <v>399.97656444733036</v>
      </c>
      <c r="AF85">
        <f t="shared" si="20"/>
        <v>10.376467503699944</v>
      </c>
      <c r="AG85">
        <f t="shared" si="20"/>
        <v>685.22084677986356</v>
      </c>
    </row>
    <row r="86" spans="1:33" x14ac:dyDescent="0.6">
      <c r="A86" s="7"/>
      <c r="B86" s="23" t="s">
        <v>8</v>
      </c>
      <c r="C86" s="433">
        <v>69.25</v>
      </c>
      <c r="D86" s="186">
        <f>+$D$84</f>
        <v>0.62747747747747751</v>
      </c>
      <c r="E86" s="434">
        <f t="shared" si="21"/>
        <v>43.453000000000003</v>
      </c>
      <c r="H86" s="150">
        <f t="shared" si="22"/>
        <v>0.82484298674110257</v>
      </c>
      <c r="I86" s="435">
        <f t="shared" si="22"/>
        <v>0.88365468886941279</v>
      </c>
      <c r="N86" s="43"/>
      <c r="O86" s="44"/>
      <c r="P86" s="73" t="s">
        <v>147</v>
      </c>
      <c r="Q86" s="4">
        <f>Q76-Q65</f>
        <v>7132.6445000000022</v>
      </c>
      <c r="S86" s="73" t="s">
        <v>147</v>
      </c>
      <c r="T86" s="4">
        <f>T76-T65</f>
        <v>6417.6863999999987</v>
      </c>
      <c r="U86" s="40"/>
      <c r="V86" s="4">
        <f t="shared" si="16"/>
        <v>238090.12874521298</v>
      </c>
      <c r="W86" s="4">
        <f t="shared" si="17"/>
        <v>353875.59963301028</v>
      </c>
      <c r="X86" s="263">
        <v>8841.6231309367449</v>
      </c>
      <c r="Y86" s="261">
        <v>341284.46054332634</v>
      </c>
      <c r="Z86" s="261">
        <v>3749.5159587472094</v>
      </c>
      <c r="AA86" s="4"/>
      <c r="AB86" s="100">
        <f t="shared" si="18"/>
        <v>130.01848545946396</v>
      </c>
      <c r="AC86" s="100">
        <f t="shared" si="19"/>
        <v>461.94724291875934</v>
      </c>
      <c r="AF86">
        <f>AA70/1000</f>
        <v>10.40973179752875</v>
      </c>
      <c r="AG86">
        <f>AB70/1000</f>
        <v>583.18172316450421</v>
      </c>
    </row>
    <row r="87" spans="1:33" x14ac:dyDescent="0.6">
      <c r="A87" s="7"/>
      <c r="B87" s="23" t="s">
        <v>9</v>
      </c>
      <c r="C87" s="436">
        <v>55.4</v>
      </c>
      <c r="D87" s="437">
        <f>+$D$84</f>
        <v>0.62747747747747751</v>
      </c>
      <c r="E87" s="438">
        <f t="shared" si="21"/>
        <v>34.762</v>
      </c>
      <c r="H87" s="151">
        <f t="shared" si="22"/>
        <v>0.82484298674110257</v>
      </c>
      <c r="I87" s="439">
        <f t="shared" si="22"/>
        <v>0.88365468886941279</v>
      </c>
      <c r="N87" s="53"/>
      <c r="O87" s="54"/>
      <c r="P87" s="98" t="s">
        <v>150</v>
      </c>
      <c r="Q87" s="119">
        <f>Q86*(E113-E114)</f>
        <v>139091.4934474261</v>
      </c>
      <c r="R87" s="48"/>
      <c r="S87" s="98" t="s">
        <v>150</v>
      </c>
      <c r="T87" s="119">
        <f>T86*(H113-H114)</f>
        <v>119547.31099356156</v>
      </c>
      <c r="U87" s="49"/>
      <c r="V87" s="4">
        <f>SUM(V75:V86)</f>
        <v>2772594.4719136967</v>
      </c>
      <c r="W87" s="4">
        <f>SUM(W75:W86)</f>
        <v>4145790.654915696</v>
      </c>
      <c r="X87" s="4">
        <f>SUM(X75:X86)</f>
        <v>178290.79231112235</v>
      </c>
      <c r="Y87" s="4">
        <f>SUM(Y75:Y86)</f>
        <v>3926802.9630918214</v>
      </c>
      <c r="Z87" s="4">
        <f>SUM(Z75:Z86)</f>
        <v>40696.899512752374</v>
      </c>
      <c r="AA87" s="4"/>
      <c r="AB87" s="4">
        <f>SUM(AB75:AB86)</f>
        <v>1521.2262814364287</v>
      </c>
      <c r="AC87" s="4">
        <f>SUM(AC75:AC86)</f>
        <v>5397.1588453929635</v>
      </c>
      <c r="AF87">
        <f t="shared" si="20"/>
        <v>14.906436897410805</v>
      </c>
      <c r="AG87">
        <f t="shared" si="20"/>
        <v>693.05563958504661</v>
      </c>
    </row>
    <row r="88" spans="1:33" x14ac:dyDescent="0.6">
      <c r="A88" s="7"/>
      <c r="B88" s="23" t="s">
        <v>10</v>
      </c>
      <c r="C88" s="57">
        <v>49.8</v>
      </c>
      <c r="D88" s="94">
        <f>+$D$79</f>
        <v>0.82200392927308452</v>
      </c>
      <c r="E88" s="429">
        <f t="shared" si="21"/>
        <v>40.936</v>
      </c>
      <c r="H88" s="152">
        <f>H79</f>
        <v>0.81072796934865898</v>
      </c>
      <c r="I88" s="152">
        <f>I79</f>
        <v>0.87897366030881019</v>
      </c>
      <c r="W88" s="274" t="s">
        <v>251</v>
      </c>
      <c r="Z88" s="274" t="s">
        <v>251</v>
      </c>
    </row>
    <row r="89" spans="1:33" x14ac:dyDescent="0.6">
      <c r="A89" s="7"/>
      <c r="B89" s="23" t="s">
        <v>11</v>
      </c>
      <c r="C89" s="57">
        <v>50.45</v>
      </c>
      <c r="D89" s="94">
        <f>+$D$79</f>
        <v>0.82200392927308452</v>
      </c>
      <c r="E89" s="429">
        <f t="shared" si="21"/>
        <v>41.47</v>
      </c>
      <c r="H89" s="152">
        <f>H79</f>
        <v>0.81072796934865898</v>
      </c>
      <c r="I89" s="152">
        <f>I79</f>
        <v>0.87897366030881019</v>
      </c>
    </row>
    <row r="90" spans="1:33" x14ac:dyDescent="0.6">
      <c r="A90" s="7"/>
      <c r="B90" s="23" t="s">
        <v>12</v>
      </c>
      <c r="C90" s="57">
        <v>58.35</v>
      </c>
      <c r="D90" s="94">
        <f>+$D$79</f>
        <v>0.82200392927308452</v>
      </c>
      <c r="E90" s="429">
        <f t="shared" si="21"/>
        <v>47.963999999999999</v>
      </c>
      <c r="G90" s="28"/>
      <c r="H90" s="152">
        <f>H79</f>
        <v>0.81072796934865898</v>
      </c>
      <c r="I90" s="152">
        <f>I79</f>
        <v>0.87897366030881019</v>
      </c>
    </row>
    <row r="91" spans="1:33" x14ac:dyDescent="0.6">
      <c r="A91" s="7"/>
      <c r="B91" s="23"/>
      <c r="C91" s="57" t="s">
        <v>251</v>
      </c>
      <c r="D91" s="57"/>
      <c r="G91" s="28"/>
      <c r="L91" s="28"/>
      <c r="X91" t="s">
        <v>210</v>
      </c>
    </row>
    <row r="92" spans="1:33" x14ac:dyDescent="0.6">
      <c r="A92" s="6" t="s">
        <v>33</v>
      </c>
      <c r="B92" s="32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P92" s="230" t="s">
        <v>444</v>
      </c>
      <c r="Q92" t="s">
        <v>215</v>
      </c>
      <c r="R92" t="s">
        <v>216</v>
      </c>
      <c r="S92" t="s">
        <v>217</v>
      </c>
      <c r="X92" t="s">
        <v>205</v>
      </c>
      <c r="Y92" s="5" t="s">
        <v>13</v>
      </c>
      <c r="Z92" s="5" t="s">
        <v>13</v>
      </c>
      <c r="AA92" s="5" t="s">
        <v>207</v>
      </c>
    </row>
    <row r="93" spans="1:33" x14ac:dyDescent="0.6">
      <c r="A93" s="7"/>
      <c r="C93" s="5"/>
      <c r="D93" s="5"/>
      <c r="E93" s="5"/>
      <c r="F93" s="5"/>
      <c r="P93" t="s">
        <v>0</v>
      </c>
      <c r="Q93" s="171">
        <v>1827219438.1104648</v>
      </c>
      <c r="R93" s="171">
        <v>2014081585.963758</v>
      </c>
      <c r="S93" s="42">
        <f>SUM(Q93:R93)</f>
        <v>3841301024.0742226</v>
      </c>
      <c r="X93" s="10" t="s">
        <v>206</v>
      </c>
      <c r="Y93" s="8" t="s">
        <v>207</v>
      </c>
      <c r="Z93" s="8" t="s">
        <v>208</v>
      </c>
      <c r="AA93" s="8" t="s">
        <v>209</v>
      </c>
    </row>
    <row r="94" spans="1:33" x14ac:dyDescent="0.6">
      <c r="A94" s="7"/>
      <c r="B94" s="23" t="s">
        <v>276</v>
      </c>
      <c r="C94" s="58"/>
      <c r="D94" s="58"/>
      <c r="E94" s="132">
        <v>0.105545</v>
      </c>
      <c r="F94" s="132">
        <v>0.105545</v>
      </c>
      <c r="G94" s="132">
        <v>0.105545</v>
      </c>
      <c r="H94" s="132">
        <v>0.105545</v>
      </c>
      <c r="I94" s="132">
        <v>0.105545</v>
      </c>
      <c r="J94" s="58"/>
      <c r="K94" s="58"/>
      <c r="L94" s="58"/>
      <c r="M94" s="58"/>
      <c r="P94" t="s">
        <v>249</v>
      </c>
      <c r="Q94" s="171">
        <v>146463401.78582445</v>
      </c>
      <c r="R94" s="171">
        <v>108242366.77539465</v>
      </c>
      <c r="S94" s="42">
        <f>SUM(Q94:R94)</f>
        <v>254705768.5612191</v>
      </c>
      <c r="W94" t="s">
        <v>181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33" x14ac:dyDescent="0.6">
      <c r="A95" s="7"/>
      <c r="B95" t="s">
        <v>277</v>
      </c>
      <c r="C95" s="59"/>
      <c r="D95" s="59"/>
      <c r="E95" s="59">
        <f>1/(1-E94)</f>
        <v>1.1179992285805322</v>
      </c>
      <c r="F95" s="59">
        <f>1/(1-F94)</f>
        <v>1.1179992285805322</v>
      </c>
      <c r="G95" s="59">
        <f>1/(1-G94)</f>
        <v>1.1179992285805322</v>
      </c>
      <c r="H95" s="59">
        <f>1/(1-H94)</f>
        <v>1.1179992285805322</v>
      </c>
      <c r="I95" s="59">
        <f>1/(1-I94)</f>
        <v>1.1179992285805322</v>
      </c>
      <c r="J95" s="59"/>
      <c r="K95" s="59"/>
      <c r="L95" s="59"/>
      <c r="M95" s="59"/>
      <c r="P95" t="s">
        <v>250</v>
      </c>
      <c r="Q95" s="42">
        <f>SUM(Q93:Q94)</f>
        <v>1973682839.8962893</v>
      </c>
      <c r="R95" s="42">
        <f>SUM(R93:R94)</f>
        <v>2122323952.7391527</v>
      </c>
      <c r="S95" s="42">
        <f>SUM(S93:S94)</f>
        <v>4096006792.6354418</v>
      </c>
      <c r="T95" s="4">
        <f>SUM(F65:F68)</f>
        <v>4094064</v>
      </c>
      <c r="W95" t="s">
        <v>204</v>
      </c>
      <c r="X95">
        <f>(9*18+10*34)/52</f>
        <v>9.6538461538461533</v>
      </c>
      <c r="Y95">
        <f>X95*365*5/7</f>
        <v>2516.8956043956036</v>
      </c>
      <c r="Z95">
        <f>365*24</f>
        <v>8760</v>
      </c>
      <c r="AA95">
        <f>Y95/Z95</f>
        <v>0.28731684981684974</v>
      </c>
    </row>
    <row r="96" spans="1:33" x14ac:dyDescent="0.6">
      <c r="A96" s="7"/>
      <c r="C96" s="59"/>
      <c r="D96" s="59"/>
      <c r="E96" s="59"/>
      <c r="F96" s="59"/>
      <c r="G96" s="59"/>
      <c r="H96" s="59"/>
      <c r="I96" s="59"/>
      <c r="J96" s="59" t="s">
        <v>251</v>
      </c>
      <c r="K96" s="59"/>
      <c r="L96" s="59"/>
      <c r="M96" s="59" t="s">
        <v>251</v>
      </c>
      <c r="Q96" s="42"/>
      <c r="R96" s="42"/>
      <c r="S96" s="42"/>
      <c r="T96" s="4"/>
    </row>
    <row r="97" spans="1:33" x14ac:dyDescent="0.6">
      <c r="A97" s="7"/>
      <c r="B97" t="s">
        <v>278</v>
      </c>
      <c r="C97" s="59"/>
      <c r="D97" s="59"/>
      <c r="E97" s="224">
        <f>ROUND(1-1/E98,6)</f>
        <v>9.6563999999999997E-2</v>
      </c>
      <c r="F97" s="224">
        <f>ROUND(1-1/F98,6)</f>
        <v>9.6563999999999997E-2</v>
      </c>
      <c r="G97" s="224">
        <f>ROUND(1-1/G98,6)</f>
        <v>9.6563999999999997E-2</v>
      </c>
      <c r="H97" s="224">
        <f>ROUND(1-1/H98,6)</f>
        <v>9.6563999999999997E-2</v>
      </c>
      <c r="I97" s="224">
        <f>ROUND(1-1/I98,6)</f>
        <v>9.6563999999999997E-2</v>
      </c>
      <c r="Q97" s="42"/>
      <c r="R97" s="42"/>
      <c r="S97" s="42"/>
      <c r="T97" s="4"/>
    </row>
    <row r="98" spans="1:33" x14ac:dyDescent="0.6">
      <c r="A98" s="7"/>
      <c r="B98" t="s">
        <v>279</v>
      </c>
      <c r="C98" s="59"/>
      <c r="D98" s="59"/>
      <c r="E98" s="59">
        <v>1.1068848292416877</v>
      </c>
      <c r="F98" s="59">
        <v>1.1068848292416877</v>
      </c>
      <c r="G98" s="59">
        <v>1.1068848292416877</v>
      </c>
      <c r="H98" s="59">
        <v>1.1068848292416877</v>
      </c>
      <c r="I98" s="59">
        <v>1.1068848292416877</v>
      </c>
      <c r="Q98" s="42"/>
      <c r="R98" s="42"/>
      <c r="S98" s="42"/>
      <c r="T98" s="4"/>
    </row>
    <row r="99" spans="1:33" x14ac:dyDescent="0.6">
      <c r="A99" s="7"/>
      <c r="C99" s="59"/>
      <c r="D99" s="59"/>
      <c r="E99" s="73"/>
      <c r="F99" s="225"/>
      <c r="G99" s="59"/>
      <c r="H99" s="59"/>
      <c r="I99" s="59" t="s">
        <v>251</v>
      </c>
      <c r="J99" s="59"/>
      <c r="K99" s="59"/>
      <c r="L99" s="59"/>
      <c r="Q99" s="42"/>
      <c r="R99" s="42"/>
      <c r="S99" s="42"/>
      <c r="T99" s="4"/>
    </row>
    <row r="100" spans="1:33" x14ac:dyDescent="0.6">
      <c r="A100" s="7"/>
      <c r="C100" s="59"/>
      <c r="D100" s="59"/>
      <c r="E100" s="226"/>
      <c r="F100" s="227"/>
      <c r="G100" s="59"/>
      <c r="H100" s="59"/>
      <c r="I100" s="59"/>
      <c r="J100" s="59"/>
      <c r="K100" s="59"/>
      <c r="L100" s="224"/>
      <c r="T100" s="349"/>
    </row>
    <row r="101" spans="1:33" x14ac:dyDescent="0.6">
      <c r="A101" s="7"/>
      <c r="B101" s="31" t="s">
        <v>284</v>
      </c>
      <c r="C101" s="59"/>
      <c r="D101" s="59"/>
      <c r="E101" s="59"/>
      <c r="F101" s="59"/>
      <c r="G101" s="59"/>
      <c r="H101" s="59"/>
      <c r="I101" s="59"/>
      <c r="J101" s="225"/>
      <c r="K101" s="225"/>
      <c r="L101" s="211"/>
    </row>
    <row r="102" spans="1:33" x14ac:dyDescent="0.6">
      <c r="A102" s="7"/>
      <c r="B102" t="s">
        <v>251</v>
      </c>
      <c r="I102" s="59"/>
      <c r="J102" s="225"/>
      <c r="K102" s="225"/>
      <c r="L102" s="59"/>
    </row>
    <row r="103" spans="1:33" ht="15.5" x14ac:dyDescent="0.7">
      <c r="A103" s="7"/>
      <c r="B103" s="570" t="str">
        <f>$B$1</f>
        <v xml:space="preserve">Jersey Central Power &amp; Light </v>
      </c>
      <c r="C103" s="570"/>
      <c r="D103" s="570"/>
      <c r="E103" s="570"/>
      <c r="F103" s="570"/>
      <c r="G103" s="570"/>
      <c r="H103" s="570"/>
      <c r="I103" s="570"/>
      <c r="J103" s="570"/>
      <c r="K103" s="570"/>
      <c r="L103" s="570"/>
    </row>
    <row r="104" spans="1:33" ht="15.5" x14ac:dyDescent="0.7">
      <c r="A104" s="7"/>
      <c r="B104" s="570" t="str">
        <f>$B$2</f>
        <v>Attachment 2</v>
      </c>
      <c r="C104" s="570"/>
      <c r="D104" s="570"/>
      <c r="E104" s="570"/>
      <c r="F104" s="570"/>
      <c r="G104" s="570"/>
      <c r="H104" s="570"/>
      <c r="I104" s="570"/>
      <c r="J104" s="570"/>
      <c r="K104" s="570"/>
      <c r="L104" s="570"/>
    </row>
    <row r="105" spans="1:33" x14ac:dyDescent="0.6">
      <c r="A105" s="7"/>
    </row>
    <row r="106" spans="1:33" x14ac:dyDescent="0.6">
      <c r="A106" s="7"/>
      <c r="S106" s="240"/>
      <c r="T106" s="273"/>
    </row>
    <row r="107" spans="1:33" x14ac:dyDescent="0.6">
      <c r="A107" s="6" t="s">
        <v>34</v>
      </c>
      <c r="B107" s="1" t="s">
        <v>51</v>
      </c>
      <c r="L107" t="s">
        <v>251</v>
      </c>
      <c r="M107" s="273"/>
    </row>
    <row r="108" spans="1:33" x14ac:dyDescent="0.6">
      <c r="A108" s="7"/>
      <c r="B108" s="15" t="s">
        <v>171</v>
      </c>
      <c r="L108" t="s">
        <v>251</v>
      </c>
      <c r="S108" s="534"/>
      <c r="AF108" s="273"/>
    </row>
    <row r="109" spans="1:33" x14ac:dyDescent="0.6">
      <c r="A109" s="7"/>
      <c r="B109" s="15" t="s">
        <v>21</v>
      </c>
      <c r="S109" s="535"/>
      <c r="AC109" s="536"/>
      <c r="AF109" s="537"/>
      <c r="AG109" s="273"/>
    </row>
    <row r="110" spans="1:33" x14ac:dyDescent="0.6">
      <c r="A110" s="7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12"/>
      <c r="P110" s="5"/>
      <c r="W110" s="538"/>
      <c r="AC110" s="534"/>
    </row>
    <row r="111" spans="1:33" x14ac:dyDescent="0.6">
      <c r="A111" s="7"/>
      <c r="R111" s="73"/>
      <c r="S111" s="539"/>
      <c r="W111" s="2"/>
      <c r="X111" s="12"/>
      <c r="Z111" s="5"/>
    </row>
    <row r="112" spans="1:33" x14ac:dyDescent="0.6">
      <c r="A112" s="7"/>
      <c r="B112" s="23" t="s">
        <v>17</v>
      </c>
      <c r="C112" s="60"/>
      <c r="D112" s="60"/>
      <c r="E112" s="61">
        <f>(SUMPRODUCT(E20:E23,E65:E68,$C84:$C87,$H84:$H87)*E95+SUMPRODUCT(Q20:Q23,E65:E68,$E84:$E87,$I84:$I87)*E95)/SUM(E65:E68)</f>
        <v>50.082588881707629</v>
      </c>
      <c r="F112" s="61">
        <f>(SUMPRODUCT(F20:F23,F65:F68,$C84:$C87,$H84:$H87)*F95+SUMPRODUCT(R20:R23,F65:F68,$E84:$E87,$I84:$I87)*F95)/SUM(F65:F68)</f>
        <v>50.409329651651724</v>
      </c>
      <c r="G112" s="61">
        <f>(SUMPRODUCT(G20:G23,G65:G68,$C84:$C87,$H84:$H87)*G95+SUMPRODUCT(S20:S23,G65:G68,$E84:$E87,$I84:$I87)*G95)/SUM(G65:G68)</f>
        <v>50.79094987506452</v>
      </c>
      <c r="H112" s="61">
        <f>(SUMPRODUCT(H20:H23,H65:H68,$C84:$C87,$H84:$H87)*H95+SUMPRODUCT(T20:T23,H65:H68,$E84:$E87,$I84:$I87)*H95)/SUM(H65:H68)</f>
        <v>49.624642621062897</v>
      </c>
      <c r="I112" s="61">
        <f>(SUMPRODUCT(I20:I23,I65:I68,$C84:$C87,$H84:$H87)*I95+SUMPRODUCT(U20:U23,I65:I68,$E84:$E87,$I84:$I87)*I95)/SUM(I65:I68)</f>
        <v>45.056151224819359</v>
      </c>
      <c r="J112" s="62"/>
      <c r="K112" s="62"/>
      <c r="L112" s="60"/>
      <c r="M112" s="540"/>
      <c r="Z112" s="273"/>
      <c r="AB112" s="73"/>
      <c r="AC112" s="539"/>
      <c r="AD112" s="273"/>
    </row>
    <row r="113" spans="1:33" x14ac:dyDescent="0.6">
      <c r="A113" s="7"/>
      <c r="B113" s="63" t="s">
        <v>41</v>
      </c>
      <c r="C113" s="60"/>
      <c r="D113" s="60"/>
      <c r="E113" s="61">
        <f>(SUMPRODUCT(E20:E23,E65:E68,$C84:$C87,$H84:$H87)*E95)/SUMPRODUCT(E20:E23,E65:E68)</f>
        <v>59.439434020967546</v>
      </c>
      <c r="F113" s="61">
        <f>(SUMPRODUCT(F20:F23,F65:F68,$C84:$C87,$H84:$H87)*F95)/SUMPRODUCT(F20:F23,F65:F68)</f>
        <v>59.711927632379691</v>
      </c>
      <c r="G113" s="61">
        <f>(SUMPRODUCT(G20:G23,G65:G68,$C84:$C87,$H84:$H87)*G95)/SUMPRODUCT(G20:G23,G65:G68)</f>
        <v>58.943823047643647</v>
      </c>
      <c r="H113" s="61">
        <f>(SUMPRODUCT(H20:H23,H65:H68,$C84:$C87,$H84:$H87)*H95)/SUMPRODUCT(H20:H23,H65:H68)</f>
        <v>57.808652468570344</v>
      </c>
      <c r="I113" s="61">
        <f>(SUMPRODUCT(I20:I23,I65:I68,$C84:$C87,$H84:$H87)*I95)/SUMPRODUCT(I20:I23,I65:I68)</f>
        <v>58.315381556973726</v>
      </c>
      <c r="J113" s="62"/>
      <c r="K113" s="62"/>
      <c r="L113" s="60"/>
      <c r="M113" s="540"/>
      <c r="S113" s="534"/>
    </row>
    <row r="114" spans="1:33" x14ac:dyDescent="0.6">
      <c r="A114" s="7"/>
      <c r="B114" s="63" t="s">
        <v>42</v>
      </c>
      <c r="C114" s="60"/>
      <c r="D114" s="60"/>
      <c r="E114" s="61">
        <f>(SUMPRODUCT(Q20:Q23,E65:E68,$E84:$E87,$I84:$I87)*E95)/SUMPRODUCT(Q20:Q23,E65:E68)</f>
        <v>39.938743435950158</v>
      </c>
      <c r="F114" s="61">
        <f>(SUMPRODUCT(R20:R23,F65:F68,$E84:$E87,$I84:$I87)*F95)/SUMPRODUCT(R20:R23,F65:F68)</f>
        <v>40.177280133692271</v>
      </c>
      <c r="G114" s="61">
        <f>(SUMPRODUCT(S20:S23,G65:G68,$E84:$E87,$I84:$I87)*G95)/SUMPRODUCT(S20:S23,G65:G68)</f>
        <v>39.855969657127375</v>
      </c>
      <c r="H114" s="61">
        <f>(SUMPRODUCT(T20:T23,H65:H68,$E84:$E87,$I84:$I87)*H95)/SUMPRODUCT(T20:T23,H65:H68)</f>
        <v>39.180863021962047</v>
      </c>
      <c r="I114" s="61">
        <f>(SUMPRODUCT(U20:U23,I65:I68,$E84:$E87,$I84:$I87)*I95)/SUMPRODUCT(U20:U23,I65:I68)</f>
        <v>39.6054792166928</v>
      </c>
      <c r="J114" s="62"/>
      <c r="K114" s="62"/>
      <c r="L114" s="60"/>
      <c r="M114" s="2"/>
      <c r="N114" s="12"/>
      <c r="P114" s="5"/>
      <c r="W114" s="538"/>
      <c r="AC114" s="534"/>
    </row>
    <row r="115" spans="1:33" x14ac:dyDescent="0.6">
      <c r="A115" s="7"/>
      <c r="C115" s="120"/>
      <c r="D115" s="120"/>
      <c r="E115" s="121"/>
      <c r="F115" s="121"/>
      <c r="G115" s="121"/>
      <c r="H115" s="121"/>
      <c r="I115" s="121"/>
      <c r="J115" s="62"/>
      <c r="K115" s="62"/>
      <c r="L115" s="120"/>
      <c r="R115" s="73"/>
      <c r="S115" s="539"/>
      <c r="W115" s="2"/>
      <c r="X115" s="12"/>
      <c r="Z115" s="5"/>
    </row>
    <row r="116" spans="1:33" x14ac:dyDescent="0.6">
      <c r="A116" s="7"/>
      <c r="B116" s="23" t="s">
        <v>18</v>
      </c>
      <c r="C116" s="60"/>
      <c r="D116" s="60"/>
      <c r="E116" s="61">
        <f>(SUMPRODUCT(E15:E19,E60:E64,$C79:$C83,$H79:$H83)*E95+SUMPRODUCT(Q15:Q19,E60:E64,$E79:$E83,$I79:$I83)*E95+SUMPRODUCT(E24:E26,E69:E71,$C88:$C90,$H88:$H90)*E95+SUMPRODUCT(Q24:Q26,E69:E71,$E88:$E90,$I88:$I90)*E95)/SUM(E60:E64,E69:E71)</f>
        <v>51.710069755839875</v>
      </c>
      <c r="F116" s="61">
        <f>(SUMPRODUCT(F15:F19,F60:F64,$C79:$C83,$H79:$H83)*F95+SUMPRODUCT(R15:R19,F60:F64,$E79:$E83,$I79:$I83)*F95+SUMPRODUCT(F24:F26,F69:F71,$C88:$C90,$H88:$H90)*F95+SUMPRODUCT(R24:R26,F69:F71,$E88:$E90,$I88:$I90)*F95)/SUM(F60:F64,F69:F71)</f>
        <v>51.123523972986781</v>
      </c>
      <c r="G116" s="61">
        <f>(SUMPRODUCT(G15:G19,G60:G64,$C79:$C83,$H79:$H83)*G95+SUMPRODUCT(S15:S19,G60:G64,$E79:$E83,$I79:$I83)*G95+SUMPRODUCT(G24:G26,G69:G71,$C88:$C90,$H88:$H90)*G95+SUMPRODUCT(S24:S26,G69:G71,$E88:$E90,$I88:$I90)*G95)/SUM(G60:G64,G69:G71)</f>
        <v>50.726641033444707</v>
      </c>
      <c r="H116" s="61">
        <f>(SUMPRODUCT(H15:H19,H60:H64,$C79:$C83,$H79:$H83)*H95+SUMPRODUCT(T15:T19,H60:H64,$E79:$E83,$I79:$I83)*H95+SUMPRODUCT(H24:H26,H69:H71,$C88:$C90,$H88:$H90)*H95+SUMPRODUCT(T24:T26,H69:H71,$E88:$E90,$I88:$I90)*H95)/SUM(H60:H64,H69:H71)</f>
        <v>51.328108428140716</v>
      </c>
      <c r="I116" s="61">
        <f>(SUMPRODUCT(I15:I19,I60:I64,$C79:$C83,$H79:$H83)*I95+SUMPRODUCT(U15:U19,I60:I64,$E79:$E83,$I79:$I83)*I95+SUMPRODUCT(I24:I26,I69:I71,$C88:$C90,$H88:$H90)*I95+SUMPRODUCT(U24:U26,I69:I71,$E88:$E90,$I88:$I90)*I95)/SUM(I60:I64,I69:I71)</f>
        <v>48.988939346605868</v>
      </c>
      <c r="J116" s="62"/>
      <c r="K116" s="62"/>
      <c r="L116" s="60"/>
      <c r="M116" s="317"/>
      <c r="Z116" s="273"/>
      <c r="AB116" s="73"/>
      <c r="AC116" s="539"/>
      <c r="AD116" s="273"/>
    </row>
    <row r="117" spans="1:33" x14ac:dyDescent="0.6">
      <c r="A117" s="7"/>
      <c r="B117" s="63" t="s">
        <v>41</v>
      </c>
      <c r="C117" s="60"/>
      <c r="D117" s="60"/>
      <c r="E117" s="61">
        <f>(SUMPRODUCT(E15:E19,E60:E64,$C79:$C83,$H79:$H83)*E95+SUMPRODUCT(E24:E26,E69:E71,$C88:$C90,$H88:$H90)*E95)/(SUMPRODUCT(E15:E19,E60:E64)+SUMPRODUCT(E24:E26,E69:E71))</f>
        <v>54.627398999353062</v>
      </c>
      <c r="F117" s="61">
        <f>(SUMPRODUCT(F15:F19,F60:F64,$C79:$C83,$H79:$H83)*F95+SUMPRODUCT(F24:F26,F69:F71,$C88:$C90,$H88:$H90)*F95)/(SUMPRODUCT(F15:F19,F60:F64)+SUMPRODUCT(F24:F26,F69:F71))</f>
        <v>53.905962728293325</v>
      </c>
      <c r="G117" s="61">
        <f>(SUMPRODUCT(G15:G19,G60:G64,$C79:$C83,$H79:$H83)*G95+SUMPRODUCT(G24:G26,G69:G71,$C88:$C90,$H88:$H90)*G95)/(SUMPRODUCT(G15:G19,G60:G64)+SUMPRODUCT(G24:G26,G69:G71))</f>
        <v>53.100297024280486</v>
      </c>
      <c r="H117" s="61">
        <f>(SUMPRODUCT(H15:H19,H60:H64,$C79:$C83,$H79:$H83)*H95+SUMPRODUCT(H24:H26,H69:H71,$C88:$C90,$H88:$H90)*H95)/(SUMPRODUCT(H15:H19,H60:H64)+SUMPRODUCT(H24:H26,H69:H71))</f>
        <v>53.851803360064871</v>
      </c>
      <c r="I117" s="61">
        <f>(SUMPRODUCT(I15:I19,I60:I64,$C79:$C83,$H79:$H83)*I95+SUMPRODUCT(I24:I26,I69:I71,$C88:$C90,$H88:$H90)*I95)/(SUMPRODUCT(I15:I19,I60:I64)+SUMPRODUCT(I24:I26,I69:I71))</f>
        <v>53.005562059470442</v>
      </c>
      <c r="J117" s="62"/>
      <c r="K117" s="62"/>
      <c r="L117" s="60"/>
      <c r="M117" s="540"/>
      <c r="S117" s="534"/>
    </row>
    <row r="118" spans="1:33" x14ac:dyDescent="0.6">
      <c r="A118" s="7"/>
      <c r="B118" s="63" t="s">
        <v>42</v>
      </c>
      <c r="C118" s="60"/>
      <c r="D118" s="60"/>
      <c r="E118" s="61">
        <f>(SUMPRODUCT(Q15:Q19,E60:E64,$E79:$E83,$I79:$I83)*E95+SUMPRODUCT(Q24:Q26,E69:E71,$E88:$E90,$I88:$I90)*E95)/(SUMPRODUCT(Q15:Q19,E60:E64)+SUMPRODUCT(Q24:Q26,E69:E71))</f>
        <v>49.057457662855455</v>
      </c>
      <c r="F118" s="61">
        <f>(SUMPRODUCT(R15:R19,F60:F64,$E79:$E83,$I79:$I83)*F95+SUMPRODUCT(R24:R26,F69:F71,$E88:$E90,$I88:$I90)*F95)/(SUMPRODUCT(R15:R19,F60:F64)+SUMPRODUCT(R24:R26,F69:F71))</f>
        <v>48.354172105634476</v>
      </c>
      <c r="G118" s="61">
        <f>(SUMPRODUCT(S15:S19,G60:G64,$E79:$E83,$I79:$I83)*G95+SUMPRODUCT(S24:S26,G69:G71,$E88:$E90,$I88:$I90)*G95)/(SUMPRODUCT(S15:S19,G60:G64)+SUMPRODUCT(S24:S26,G69:G71))</f>
        <v>47.749450856930316</v>
      </c>
      <c r="H118" s="61">
        <f>(SUMPRODUCT(T15:T19,H60:H64,$E79:$E83,$I79:$I83)*H95+SUMPRODUCT(T24:T26,H69:H71,$E88:$E90,$I88:$I90)*H95)/(SUMPRODUCT(T15:T19,H60:H64)+SUMPRODUCT(T24:T26,H69:H71))</f>
        <v>48.401220471966184</v>
      </c>
      <c r="I118" s="61">
        <f>(SUMPRODUCT(U15:U19,I60:I64,$E79:$E83,$I79:$I83)*I95+SUMPRODUCT(U24:U26,I69:I71,$E88:$E90,$I88:$I90)*I95)/(SUMPRODUCT(U15:U19,I60:I64)+SUMPRODUCT(U24:U26,I69:I71))</f>
        <v>47.178123649991825</v>
      </c>
      <c r="J118" s="62"/>
      <c r="K118" s="62"/>
      <c r="L118" s="60"/>
      <c r="M118" s="2"/>
      <c r="N118" s="12"/>
      <c r="P118" s="5"/>
      <c r="W118" s="538"/>
      <c r="AC118" s="534"/>
    </row>
    <row r="119" spans="1:33" x14ac:dyDescent="0.6">
      <c r="A119" s="7"/>
      <c r="C119" s="120"/>
      <c r="D119" s="120"/>
      <c r="E119" s="121"/>
      <c r="F119" s="121"/>
      <c r="G119" s="121"/>
      <c r="H119" s="121"/>
      <c r="I119" s="121"/>
      <c r="J119" s="62"/>
      <c r="K119" s="62"/>
      <c r="L119" s="120"/>
      <c r="R119" s="73"/>
      <c r="S119" s="539"/>
      <c r="W119" s="2"/>
      <c r="X119" s="12"/>
      <c r="Z119" s="5"/>
    </row>
    <row r="120" spans="1:33" x14ac:dyDescent="0.6">
      <c r="A120" s="7"/>
      <c r="B120" t="s">
        <v>16</v>
      </c>
      <c r="C120" s="60"/>
      <c r="D120" s="64"/>
      <c r="E120" s="65">
        <f>(E112*SUM(E65:E68)+E116*SUM(E60:E64,E69:E71))/E72</f>
        <v>51.155172655397259</v>
      </c>
      <c r="F120" s="65">
        <f>(F112*SUM(F65:F68)+F116*SUM(F60:F64,F69:F71))/F72</f>
        <v>50.820909970759544</v>
      </c>
      <c r="G120" s="65">
        <f>(G112*SUM(G65:G68)+G116*SUM(G60:G64,G69:G71))/G72</f>
        <v>50.7498382778207</v>
      </c>
      <c r="H120" s="65">
        <f>(H112*SUM(H65:H68)+H116*SUM(H60:H64,H69:H71))/H72</f>
        <v>50.70476124808679</v>
      </c>
      <c r="I120" s="65">
        <f>(I112*SUM(I65:I68)+I116*SUM(I60:I64,I69:I71))/I72</f>
        <v>47.677846092045236</v>
      </c>
      <c r="J120" s="62"/>
      <c r="K120" s="62"/>
      <c r="L120" s="64"/>
      <c r="M120" s="540"/>
      <c r="Z120" s="273"/>
      <c r="AB120" s="73"/>
      <c r="AC120" s="539"/>
      <c r="AD120" s="273"/>
    </row>
    <row r="121" spans="1:33" x14ac:dyDescent="0.6">
      <c r="A121" s="7"/>
      <c r="C121" s="60"/>
      <c r="D121" s="64"/>
      <c r="E121" s="64"/>
      <c r="F121" s="64"/>
      <c r="G121" s="64"/>
      <c r="H121" s="64"/>
      <c r="I121" s="64"/>
      <c r="J121" s="64"/>
      <c r="K121" s="64"/>
      <c r="L121" s="64"/>
      <c r="M121" s="540"/>
      <c r="S121" s="534"/>
    </row>
    <row r="122" spans="1:33" x14ac:dyDescent="0.6">
      <c r="A122" s="7"/>
      <c r="B122" t="s">
        <v>44</v>
      </c>
      <c r="C122" s="60">
        <f>SUMPRODUCT(C120:I120,C72:I72)/SUM(C72:I72)</f>
        <v>50.770704827122643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2"/>
      <c r="N122" s="12"/>
      <c r="P122" s="5"/>
      <c r="W122" s="538"/>
      <c r="AC122" s="534"/>
      <c r="AF122" s="541"/>
      <c r="AG122" s="273"/>
    </row>
    <row r="123" spans="1:33" x14ac:dyDescent="0.6">
      <c r="A123" s="7"/>
      <c r="C123" s="60"/>
      <c r="D123" s="64"/>
      <c r="E123" s="64"/>
      <c r="F123" s="64"/>
      <c r="G123" s="64"/>
      <c r="H123" s="64"/>
      <c r="I123" s="64"/>
      <c r="J123" s="64"/>
      <c r="K123" s="64"/>
      <c r="L123" s="64"/>
      <c r="R123" s="73"/>
      <c r="S123" s="539"/>
      <c r="W123" s="2"/>
      <c r="X123" s="12"/>
      <c r="Z123" s="5"/>
    </row>
    <row r="124" spans="1:33" x14ac:dyDescent="0.6">
      <c r="A124" s="7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540"/>
      <c r="Z124" s="273"/>
      <c r="AB124" s="73"/>
      <c r="AC124" s="539"/>
      <c r="AD124" s="273"/>
      <c r="AF124" s="542"/>
      <c r="AG124" s="273"/>
    </row>
    <row r="125" spans="1:33" x14ac:dyDescent="0.6">
      <c r="A125" s="6" t="s">
        <v>35</v>
      </c>
      <c r="B125" s="1" t="s">
        <v>49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540"/>
      <c r="S125" s="534"/>
    </row>
    <row r="126" spans="1:33" x14ac:dyDescent="0.6">
      <c r="A126" s="7"/>
      <c r="B126" s="15" t="s">
        <v>172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2"/>
      <c r="N126" s="12"/>
      <c r="P126" s="5"/>
      <c r="W126" s="538"/>
      <c r="AC126" s="534"/>
      <c r="AF126" s="543"/>
      <c r="AG126" s="273"/>
    </row>
    <row r="127" spans="1:33" x14ac:dyDescent="0.6">
      <c r="A127" s="7"/>
      <c r="B127" s="15" t="s">
        <v>43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R127" s="73"/>
      <c r="S127" s="539"/>
      <c r="W127" s="2"/>
      <c r="X127" s="12"/>
      <c r="Z127" s="5"/>
    </row>
    <row r="128" spans="1:33" x14ac:dyDescent="0.6">
      <c r="A128" s="7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Z128" s="273"/>
      <c r="AB128" s="73"/>
      <c r="AC128" s="539"/>
      <c r="AD128" s="273"/>
      <c r="AF128" s="542"/>
    </row>
    <row r="129" spans="1:33" x14ac:dyDescent="0.6">
      <c r="A129" s="7"/>
      <c r="C129" s="3"/>
      <c r="M129" s="540"/>
      <c r="S129" s="534"/>
    </row>
    <row r="130" spans="1:33" x14ac:dyDescent="0.6">
      <c r="A130" s="7"/>
      <c r="B130" s="23" t="s">
        <v>17</v>
      </c>
      <c r="C130" s="62"/>
      <c r="D130" s="62"/>
      <c r="E130" s="62">
        <f>SUM(E65:E68)*E112/1000</f>
        <v>3171.8806016451895</v>
      </c>
      <c r="F130" s="62">
        <f>SUM(F65:F68)*F112/1000</f>
        <v>206379.02179095987</v>
      </c>
      <c r="G130" s="62">
        <f>SUM(G65:G68)*G112/1000</f>
        <v>110564.22844458433</v>
      </c>
      <c r="H130" s="62">
        <f>SUM(H65:H68)*H112/1000</f>
        <v>2753.0262986887064</v>
      </c>
      <c r="I130" s="62">
        <f>SUM(I65:I68)*I112/1000</f>
        <v>2042.6206157771855</v>
      </c>
      <c r="J130" s="62">
        <f>SUM(E130:I130)</f>
        <v>324910.77775165532</v>
      </c>
      <c r="K130" s="62"/>
      <c r="L130" s="62"/>
      <c r="M130" s="2"/>
      <c r="N130" s="12"/>
      <c r="P130" s="5"/>
      <c r="W130" s="538"/>
      <c r="AC130" s="534"/>
    </row>
    <row r="131" spans="1:33" x14ac:dyDescent="0.6">
      <c r="A131" s="7"/>
      <c r="B131" s="63" t="s">
        <v>41</v>
      </c>
      <c r="C131" s="62"/>
      <c r="D131" s="62"/>
      <c r="E131" s="62">
        <f>SUMPRODUCT(E65:E68,E20:E23)*E113/1000</f>
        <v>1958.2014058015568</v>
      </c>
      <c r="F131" s="62">
        <f>SUMPRODUCT(F65:F68,F20:F23)*F113/1000</f>
        <v>128047.99224637274</v>
      </c>
      <c r="G131" s="62">
        <f>SUMPRODUCT(G65:G68,G20:G23)*G113/1000</f>
        <v>73506.799885108499</v>
      </c>
      <c r="H131" s="62">
        <f>SUMPRODUCT(H65:H68,H20:H23)*H113/1000</f>
        <v>1798.0517689080925</v>
      </c>
      <c r="I131" s="62">
        <f>SUMPRODUCT(I65:I68,I20:I23)*I113/1000</f>
        <v>770.18537987144146</v>
      </c>
      <c r="J131" s="62">
        <f>SUM(E131:I131)</f>
        <v>206081.23068606234</v>
      </c>
      <c r="K131" s="62"/>
      <c r="L131" s="62"/>
      <c r="R131" s="73"/>
      <c r="S131" s="539"/>
      <c r="W131" s="2"/>
      <c r="X131" s="12"/>
      <c r="Z131" s="5"/>
    </row>
    <row r="132" spans="1:33" x14ac:dyDescent="0.6">
      <c r="A132" s="7"/>
      <c r="B132" s="63" t="s">
        <v>42</v>
      </c>
      <c r="C132" s="62"/>
      <c r="D132" s="62"/>
      <c r="E132" s="62">
        <f>SUMPRODUCT(E65:E68,Q20:Q23)*E114/1000</f>
        <v>1213.6791958436329</v>
      </c>
      <c r="F132" s="62">
        <f>SUMPRODUCT(F65:F68,R20:R23)*F114/1000</f>
        <v>78331.029544587116</v>
      </c>
      <c r="G132" s="62">
        <f>SUMPRODUCT(G65:G68,S20:S23)*G114/1000</f>
        <v>37057.428559475826</v>
      </c>
      <c r="H132" s="62">
        <f>SUMPRODUCT(H65:H68,T20:T23)*H114/1000</f>
        <v>954.97452978061369</v>
      </c>
      <c r="I132" s="62">
        <f>SUMPRODUCT(I65:I68,U20:U23)*I114/1000</f>
        <v>1272.4352359057441</v>
      </c>
      <c r="J132" s="62">
        <f>SUM(E132:I132)</f>
        <v>118829.54706559292</v>
      </c>
      <c r="K132" s="62"/>
      <c r="L132" s="62"/>
      <c r="M132" s="544"/>
      <c r="Z132" s="273"/>
      <c r="AB132" s="73"/>
      <c r="AC132" s="539"/>
      <c r="AD132" s="273"/>
    </row>
    <row r="133" spans="1:33" x14ac:dyDescent="0.6">
      <c r="A133" s="7"/>
      <c r="C133" s="66"/>
      <c r="D133" s="66"/>
      <c r="E133" s="66"/>
      <c r="F133" s="66"/>
      <c r="G133" s="66"/>
      <c r="H133" s="66"/>
      <c r="I133" s="66"/>
      <c r="J133" s="62"/>
      <c r="K133" s="62"/>
      <c r="L133" s="66"/>
      <c r="M133" s="538"/>
      <c r="S133" s="534"/>
    </row>
    <row r="134" spans="1:33" x14ac:dyDescent="0.6">
      <c r="A134" s="7"/>
      <c r="B134" s="23" t="s">
        <v>18</v>
      </c>
      <c r="C134" s="66"/>
      <c r="D134" s="66"/>
      <c r="E134" s="66">
        <f>SUM(E60:E64,E69:E71)*E116/1000</f>
        <v>6330.2950294401617</v>
      </c>
      <c r="F134" s="66">
        <f>SUM(F60:F64,F69:F71)*F116/1000</f>
        <v>284669.5337095391</v>
      </c>
      <c r="G134" s="66">
        <f>SUM(G60:G64,G69:G71)*G116/1000</f>
        <v>195700.69259505489</v>
      </c>
      <c r="H134" s="66">
        <f>SUM(H60:H64,H69:H71)*H116/1000</f>
        <v>4934.1197350887387</v>
      </c>
      <c r="I134" s="66">
        <f>SUM(I60:I64,I69:I71)*I116/1000</f>
        <v>4440.9943185878619</v>
      </c>
      <c r="J134" s="62">
        <f>SUM(E134:I134)</f>
        <v>496075.63538771076</v>
      </c>
      <c r="K134" s="62"/>
      <c r="L134" s="66"/>
      <c r="M134" s="2"/>
      <c r="N134" s="12"/>
      <c r="P134" s="5"/>
      <c r="W134" s="538"/>
      <c r="AC134" s="534"/>
      <c r="AF134" s="543"/>
      <c r="AG134" s="273"/>
    </row>
    <row r="135" spans="1:33" x14ac:dyDescent="0.6">
      <c r="A135" s="7"/>
      <c r="B135" s="63" t="s">
        <v>41</v>
      </c>
      <c r="C135" s="62"/>
      <c r="D135" s="62"/>
      <c r="E135" s="62">
        <f>(SUMPRODUCT(E60:E64,E15:E19)+SUMPRODUCT(E69:E71,E24:E26))*E117/1000</f>
        <v>3184.8022717562271</v>
      </c>
      <c r="F135" s="62">
        <f>(SUMPRODUCT(F60:F64,F15:F19)+SUMPRODUCT(F69:F71,F24:F26))*F117/1000</f>
        <v>149727.67299374059</v>
      </c>
      <c r="G135" s="62">
        <f>(SUMPRODUCT(G60:G64,G15:G19)+SUMPRODUCT(G69:G71,G24:G26))*G117/1000</f>
        <v>113982.27456281948</v>
      </c>
      <c r="H135" s="62">
        <f>(SUMPRODUCT(H60:H64,H15:H19)+SUMPRODUCT(H69:H71,H24:H26))*H117/1000</f>
        <v>2779.8273591601178</v>
      </c>
      <c r="I135" s="62">
        <f>(SUMPRODUCT(I60:I64,I15:I19)+SUMPRODUCT(I69:I71,I24:I26))*I117/1000</f>
        <v>1493.1388075901953</v>
      </c>
      <c r="J135" s="62">
        <f>SUM(E135:I135)</f>
        <v>271167.71599506657</v>
      </c>
      <c r="K135" s="62"/>
      <c r="L135" s="62"/>
      <c r="P135" s="273"/>
      <c r="R135" s="73"/>
      <c r="S135" s="539"/>
      <c r="W135" s="2"/>
      <c r="X135" s="12"/>
      <c r="Z135" s="5"/>
    </row>
    <row r="136" spans="1:33" x14ac:dyDescent="0.6">
      <c r="A136" s="7"/>
      <c r="B136" s="63" t="s">
        <v>42</v>
      </c>
      <c r="C136" s="62"/>
      <c r="D136" s="62"/>
      <c r="E136" s="62">
        <f>+(SUMPRODUCT(E60:E64,Q15:Q19)+SUMPRODUCT(E69:E71,Q24:Q26))*E118/1000</f>
        <v>3145.4927576839345</v>
      </c>
      <c r="F136" s="62">
        <f>+(SUMPRODUCT(F60:F64,R15:R19)+SUMPRODUCT(F69:F71,R24:R26))*F118/1000</f>
        <v>134941.86071579857</v>
      </c>
      <c r="G136" s="62">
        <f>+(SUMPRODUCT(G60:G64,S15:S19)+SUMPRODUCT(G69:G71,S24:S26))*G118/1000</f>
        <v>81718.418032235422</v>
      </c>
      <c r="H136" s="62">
        <f>+(SUMPRODUCT(H60:H64,T15:T19)+SUMPRODUCT(H69:H71,T24:T26))*H118/1000</f>
        <v>2154.2923759286214</v>
      </c>
      <c r="I136" s="62">
        <f>+(SUMPRODUCT(I60:I64,U15:U19)+SUMPRODUCT(I69:I71,U24:U26))*I118/1000</f>
        <v>2947.8555109976664</v>
      </c>
      <c r="J136" s="62">
        <f>SUM(E136:I136)</f>
        <v>224907.91939264425</v>
      </c>
      <c r="K136" s="62"/>
      <c r="L136" s="62"/>
      <c r="M136" s="544"/>
      <c r="Z136" s="273"/>
      <c r="AB136" s="73"/>
      <c r="AC136" s="539"/>
      <c r="AD136" s="273"/>
      <c r="AF136" s="542"/>
      <c r="AG136" s="273"/>
    </row>
    <row r="137" spans="1:33" x14ac:dyDescent="0.6">
      <c r="A137" s="7"/>
      <c r="C137" s="120"/>
      <c r="D137" s="120"/>
      <c r="E137" s="120"/>
      <c r="F137" s="120"/>
      <c r="G137" s="120"/>
      <c r="H137" s="120"/>
      <c r="I137" s="120"/>
      <c r="J137" s="62"/>
      <c r="K137" s="62"/>
      <c r="L137" s="120"/>
      <c r="M137" s="538"/>
      <c r="S137" s="534"/>
    </row>
    <row r="138" spans="1:33" x14ac:dyDescent="0.6">
      <c r="A138" s="7"/>
      <c r="B138" t="s">
        <v>16</v>
      </c>
      <c r="C138" s="66"/>
      <c r="D138" s="66"/>
      <c r="E138" s="66">
        <f>+E130+E134</f>
        <v>9502.1756310853507</v>
      </c>
      <c r="F138" s="66">
        <f>+F130+F134</f>
        <v>491048.55550049897</v>
      </c>
      <c r="G138" s="66">
        <f>+G130+G134</f>
        <v>306264.92103963922</v>
      </c>
      <c r="H138" s="66">
        <f>+H130+H134</f>
        <v>7687.1460337774452</v>
      </c>
      <c r="I138" s="66">
        <f>+I130+I134</f>
        <v>6483.6149343650477</v>
      </c>
      <c r="J138" s="62">
        <f>SUM(E138:I138)</f>
        <v>820986.41313936596</v>
      </c>
      <c r="K138" s="62"/>
      <c r="L138" s="66"/>
      <c r="M138" s="2"/>
      <c r="N138" s="12"/>
      <c r="P138" s="5"/>
      <c r="W138" s="538"/>
      <c r="AC138" s="534"/>
    </row>
    <row r="139" spans="1:33" x14ac:dyDescent="0.6">
      <c r="A139" s="7"/>
      <c r="P139" s="273"/>
      <c r="R139" s="73"/>
      <c r="S139" s="539"/>
      <c r="W139" s="2"/>
      <c r="X139" s="12"/>
      <c r="Z139" s="5"/>
    </row>
    <row r="140" spans="1:33" x14ac:dyDescent="0.6">
      <c r="A140" s="7"/>
      <c r="B140" t="s">
        <v>44</v>
      </c>
      <c r="C140" s="62">
        <f>SUM(C138:I138)</f>
        <v>820986.41313936596</v>
      </c>
      <c r="E140" s="67"/>
      <c r="F140" s="60"/>
      <c r="Z140" s="273"/>
      <c r="AB140" s="73"/>
      <c r="AC140" s="539"/>
      <c r="AD140" s="273"/>
    </row>
    <row r="141" spans="1:33" x14ac:dyDescent="0.6">
      <c r="A141" s="7"/>
      <c r="M141" s="538"/>
      <c r="S141" s="534"/>
    </row>
    <row r="142" spans="1:33" x14ac:dyDescent="0.6">
      <c r="A142" s="7"/>
      <c r="M142" s="2"/>
      <c r="N142" s="12"/>
      <c r="P142" s="5"/>
    </row>
    <row r="143" spans="1:33" ht="15.5" x14ac:dyDescent="0.7">
      <c r="A143" s="7"/>
      <c r="B143" s="570" t="str">
        <f>$B$1</f>
        <v xml:space="preserve">Jersey Central Power &amp; Light </v>
      </c>
      <c r="C143" s="570"/>
      <c r="D143" s="570"/>
      <c r="E143" s="570"/>
      <c r="F143" s="570"/>
      <c r="G143" s="570"/>
      <c r="H143" s="570"/>
      <c r="I143" s="570"/>
      <c r="J143" s="570"/>
      <c r="K143" s="570"/>
      <c r="L143" s="570"/>
      <c r="P143" s="273"/>
      <c r="R143" s="73"/>
      <c r="S143" s="539"/>
      <c r="T143" s="273"/>
    </row>
    <row r="144" spans="1:33" ht="15.5" x14ac:dyDescent="0.7">
      <c r="A144" s="7"/>
      <c r="B144" s="570" t="str">
        <f>$B$2</f>
        <v>Attachment 2</v>
      </c>
      <c r="C144" s="570"/>
      <c r="D144" s="570"/>
      <c r="E144" s="570"/>
      <c r="F144" s="570"/>
      <c r="G144" s="570"/>
      <c r="H144" s="570"/>
      <c r="I144" s="570"/>
      <c r="J144" s="570"/>
      <c r="K144" s="570"/>
      <c r="L144" s="570"/>
    </row>
    <row r="145" spans="1:51" x14ac:dyDescent="0.6">
      <c r="A145" s="6" t="s">
        <v>70</v>
      </c>
      <c r="B145" s="1" t="s">
        <v>71</v>
      </c>
      <c r="C145" s="64"/>
      <c r="Q145" t="s">
        <v>126</v>
      </c>
      <c r="T145" t="s">
        <v>122</v>
      </c>
      <c r="W145" t="s">
        <v>123</v>
      </c>
      <c r="Z145" t="s">
        <v>124</v>
      </c>
    </row>
    <row r="146" spans="1:51" x14ac:dyDescent="0.6">
      <c r="A146" s="7"/>
      <c r="B146" s="15" t="s">
        <v>173</v>
      </c>
      <c r="C146" s="64"/>
      <c r="W146" t="s">
        <v>127</v>
      </c>
      <c r="Z146" t="s">
        <v>128</v>
      </c>
      <c r="AC146" t="s">
        <v>125</v>
      </c>
    </row>
    <row r="147" spans="1:51" x14ac:dyDescent="0.6">
      <c r="A147" s="7"/>
      <c r="B147" s="15" t="s">
        <v>21</v>
      </c>
      <c r="C147" s="64"/>
    </row>
    <row r="148" spans="1:51" x14ac:dyDescent="0.6">
      <c r="A148" s="7"/>
      <c r="B148" s="1"/>
      <c r="C148" s="2"/>
      <c r="D148" s="2"/>
      <c r="E148" s="2" t="str">
        <f>+E$13</f>
        <v>RT{1}</v>
      </c>
      <c r="F148" s="2" t="str">
        <f>+F$13</f>
        <v>RS{2}</v>
      </c>
      <c r="G148" s="2" t="str">
        <f>+G$13</f>
        <v>GS{3}</v>
      </c>
      <c r="H148" s="2" t="str">
        <f>+H$58</f>
        <v>GST {4}</v>
      </c>
      <c r="I148" s="2" t="str">
        <f>+I$13</f>
        <v>OL/SL</v>
      </c>
      <c r="J148" s="2"/>
      <c r="K148" s="2"/>
      <c r="L148" s="2"/>
      <c r="M148" s="2"/>
      <c r="Q148" s="2" t="str">
        <f>+$H148</f>
        <v>GST {4}</v>
      </c>
      <c r="R148" s="2"/>
      <c r="S148" s="2"/>
      <c r="T148" s="2" t="str">
        <f>+$H148</f>
        <v>GST {4}</v>
      </c>
      <c r="U148" s="2"/>
      <c r="V148" s="2"/>
      <c r="W148" s="2" t="str">
        <f>+$H148</f>
        <v>GST {4}</v>
      </c>
      <c r="X148" s="2"/>
      <c r="Z148" s="2" t="str">
        <f>+$H148</f>
        <v>GST {4}</v>
      </c>
      <c r="AA148" s="2"/>
      <c r="AC148" s="2" t="str">
        <f>+$H148</f>
        <v>GST {4}</v>
      </c>
      <c r="AD148" s="2"/>
      <c r="AU148" s="2"/>
      <c r="AV148" s="2"/>
      <c r="AW148" s="2"/>
      <c r="AX148" s="2"/>
      <c r="AY148" s="2"/>
    </row>
    <row r="149" spans="1:51" x14ac:dyDescent="0.6">
      <c r="A149" s="7"/>
      <c r="B149" s="23" t="s">
        <v>17</v>
      </c>
      <c r="C149" s="60"/>
      <c r="D149" s="60"/>
      <c r="E149" s="61">
        <f>+E130/SUM(E65:E68)*1000</f>
        <v>50.082588881707636</v>
      </c>
      <c r="F149" s="61">
        <f>+F130/SUM(F65:F68)*1000</f>
        <v>50.409329651651731</v>
      </c>
      <c r="G149" s="61">
        <f>+G130/SUM(G65:G68)*1000</f>
        <v>50.79094987506452</v>
      </c>
      <c r="H149" s="61">
        <f>+H130/SUM(H65:H68)*1000</f>
        <v>49.624642621062897</v>
      </c>
      <c r="I149" s="61">
        <f>+I130/SUM(I65:I68)*1000</f>
        <v>45.056151224819359</v>
      </c>
      <c r="J149" s="60"/>
      <c r="K149" s="60"/>
      <c r="L149" s="60"/>
      <c r="M149" s="60"/>
      <c r="P149" s="10" t="s">
        <v>25</v>
      </c>
      <c r="AU149" s="4"/>
      <c r="AV149" s="4"/>
      <c r="AW149" s="4"/>
      <c r="AX149" s="4"/>
      <c r="AY149" s="4"/>
    </row>
    <row r="150" spans="1:51" x14ac:dyDescent="0.6">
      <c r="A150" s="7"/>
      <c r="B150" s="63" t="s">
        <v>72</v>
      </c>
      <c r="C150" s="62"/>
      <c r="D150" s="62"/>
      <c r="E150" s="61">
        <f>+(E131*1000-X161*AVERAGE(E$113,E$114))/R161</f>
        <v>61.750262903173081</v>
      </c>
      <c r="F150" s="61"/>
      <c r="G150" s="61"/>
      <c r="H150" s="61">
        <f>+(H131*1000-W150*AVERAGE(H$113,H$114))/Q150</f>
        <v>60.230028645879074</v>
      </c>
      <c r="I150" s="61"/>
      <c r="J150" s="62"/>
      <c r="K150" s="62"/>
      <c r="L150" s="62"/>
      <c r="M150" s="60"/>
      <c r="P150" t="s">
        <v>14</v>
      </c>
      <c r="Q150" s="4">
        <f>T65</f>
        <v>24685.819600000003</v>
      </c>
      <c r="R150" s="4"/>
      <c r="T150" s="4">
        <f>T76</f>
        <v>31103.506000000001</v>
      </c>
      <c r="U150" s="4"/>
      <c r="W150" s="4">
        <f>+T150-Q150</f>
        <v>6417.6863999999987</v>
      </c>
      <c r="X150" s="4"/>
      <c r="Z150" s="122">
        <f>+H150*Q150/1000</f>
        <v>1486.8276216550032</v>
      </c>
      <c r="AA150" s="122"/>
      <c r="AX150" s="4"/>
    </row>
    <row r="151" spans="1:51" ht="15.25" x14ac:dyDescent="1.05">
      <c r="A151" s="7"/>
      <c r="B151" s="63" t="s">
        <v>73</v>
      </c>
      <c r="C151" s="62"/>
      <c r="D151" s="62"/>
      <c r="E151" s="61">
        <f>+(E132*1000-X162*AVERAGE(E$113,E$114))/R162</f>
        <v>41.608356693012979</v>
      </c>
      <c r="F151" s="61"/>
      <c r="G151" s="61"/>
      <c r="H151" s="61">
        <f>+(H132*1000-W151*AVERAGE(H$113,H$114))/Q151</f>
        <v>41.122122003276736</v>
      </c>
      <c r="I151" s="61"/>
      <c r="J151" s="62"/>
      <c r="K151" s="62"/>
      <c r="L151" s="62"/>
      <c r="M151" s="60"/>
      <c r="P151" t="s">
        <v>15</v>
      </c>
      <c r="Q151" s="4">
        <f>T66</f>
        <v>30791.180399999997</v>
      </c>
      <c r="R151" s="4"/>
      <c r="T151" s="4">
        <f>T77</f>
        <v>24373.493999999999</v>
      </c>
      <c r="U151" s="4"/>
      <c r="W151" s="4">
        <f>+T151-Q151</f>
        <v>-6417.6863999999987</v>
      </c>
      <c r="X151" s="4"/>
      <c r="Z151" s="69">
        <f>+H151*Q151/1000</f>
        <v>1266.1986770337032</v>
      </c>
      <c r="AA151" s="69"/>
      <c r="AX151" s="4"/>
    </row>
    <row r="152" spans="1:51" x14ac:dyDescent="0.6">
      <c r="A152" s="7"/>
      <c r="C152" s="66"/>
      <c r="D152" s="66"/>
      <c r="E152" s="65"/>
      <c r="F152" s="65"/>
      <c r="G152" s="65"/>
      <c r="H152" s="65"/>
      <c r="I152" s="65"/>
      <c r="J152" s="66"/>
      <c r="K152" s="66"/>
      <c r="L152" s="66"/>
      <c r="M152" s="66"/>
      <c r="Q152" s="4"/>
      <c r="R152" s="4"/>
      <c r="T152" s="4"/>
      <c r="U152" s="4"/>
      <c r="W152" s="4"/>
      <c r="X152" s="4"/>
      <c r="Z152" s="122">
        <f>+Z151+Z150</f>
        <v>2753.0262986887064</v>
      </c>
      <c r="AA152" s="122"/>
      <c r="AC152" s="3">
        <f>+H130</f>
        <v>2753.0262986887064</v>
      </c>
      <c r="AD152" s="3"/>
    </row>
    <row r="153" spans="1:51" x14ac:dyDescent="0.6">
      <c r="A153" s="7"/>
      <c r="B153" s="23" t="s">
        <v>18</v>
      </c>
      <c r="C153" s="64"/>
      <c r="D153" s="64"/>
      <c r="E153" s="65">
        <f>+E134/SUM(E60:E64,E69:E71)*1000</f>
        <v>51.710069755839875</v>
      </c>
      <c r="F153" s="65">
        <f>+F134/SUM(F60:F64,F69:F71)*1000</f>
        <v>51.123523972986781</v>
      </c>
      <c r="G153" s="65">
        <f>+G134/SUM(G60:G64,G69:G71)*1000</f>
        <v>50.7266410334447</v>
      </c>
      <c r="H153" s="65">
        <f>+H134/SUM(H60:H64,H69:H71)*1000</f>
        <v>51.328108428140716</v>
      </c>
      <c r="I153" s="65">
        <f>+I134/SUM(I60:I64,I69:I71)*1000</f>
        <v>48.988939346605868</v>
      </c>
      <c r="J153" s="64"/>
      <c r="K153" s="64"/>
      <c r="L153" s="64"/>
      <c r="M153" s="64"/>
      <c r="P153" s="10" t="s">
        <v>26</v>
      </c>
      <c r="Q153" s="4"/>
      <c r="R153" s="4"/>
      <c r="T153" s="4"/>
      <c r="U153" s="4"/>
      <c r="W153" s="4"/>
      <c r="X153" s="4"/>
      <c r="Z153" s="122"/>
      <c r="AA153" s="122"/>
      <c r="AC153" s="3"/>
      <c r="AU153" s="4"/>
      <c r="AV153" s="4"/>
      <c r="AW153" s="4"/>
      <c r="AX153" s="4"/>
      <c r="AY153" s="4"/>
    </row>
    <row r="154" spans="1:51" x14ac:dyDescent="0.6">
      <c r="A154" s="7"/>
      <c r="B154" s="63" t="s">
        <v>72</v>
      </c>
      <c r="C154" s="62"/>
      <c r="D154" s="62"/>
      <c r="E154" s="61">
        <f>+(E135*1000-X166*AVERAGE(E$113,E$114))/R166</f>
        <v>56.22901713843455</v>
      </c>
      <c r="F154" s="61"/>
      <c r="G154" s="61"/>
      <c r="H154" s="61">
        <f>+(H135*1000-W154*AVERAGE(H$117,H$118))/Q154</f>
        <v>54.588631195558825</v>
      </c>
      <c r="I154" s="61"/>
      <c r="J154" s="62"/>
      <c r="K154" s="62"/>
      <c r="L154" s="62"/>
      <c r="M154" s="60"/>
      <c r="P154" t="s">
        <v>14</v>
      </c>
      <c r="Q154" s="4">
        <f>T61</f>
        <v>40633.899299999997</v>
      </c>
      <c r="R154" s="4"/>
      <c r="T154" s="4">
        <f>T72</f>
        <v>51619.949299999993</v>
      </c>
      <c r="U154" s="4"/>
      <c r="W154" s="4">
        <f>+T154-Q154</f>
        <v>10986.049999999996</v>
      </c>
      <c r="X154" s="4"/>
      <c r="Z154" s="122">
        <f>+H154*Q154/1000</f>
        <v>2218.1489429251756</v>
      </c>
      <c r="AA154" s="122"/>
      <c r="AC154" s="3"/>
      <c r="AX154" s="4"/>
    </row>
    <row r="155" spans="1:51" ht="15.25" x14ac:dyDescent="1.05">
      <c r="A155" s="7"/>
      <c r="B155" s="63" t="s">
        <v>73</v>
      </c>
      <c r="C155" s="62"/>
      <c r="D155" s="62"/>
      <c r="E155" s="61">
        <f>+(E136*1000-X167*AVERAGE(E$113,E$114))/R167</f>
        <v>49.177595856707498</v>
      </c>
      <c r="F155" s="61"/>
      <c r="G155" s="61"/>
      <c r="H155" s="61">
        <f>+(H136*1000-W155*AVERAGE(H$117,H$118))/Q155</f>
        <v>48.940730945706044</v>
      </c>
      <c r="I155" s="61"/>
      <c r="J155" s="62"/>
      <c r="K155" s="62"/>
      <c r="L155" s="62"/>
      <c r="M155" s="60"/>
      <c r="P155" t="s">
        <v>15</v>
      </c>
      <c r="Q155" s="4">
        <f>T62</f>
        <v>55495.100700000003</v>
      </c>
      <c r="R155" s="4"/>
      <c r="T155" s="4">
        <f>T73</f>
        <v>44509.050700000007</v>
      </c>
      <c r="U155" s="4"/>
      <c r="W155" s="4">
        <f>+T155-Q155</f>
        <v>-10986.049999999996</v>
      </c>
      <c r="X155" s="4"/>
      <c r="Z155" s="69">
        <f>+H155*Q155/1000</f>
        <v>2715.9707921635636</v>
      </c>
      <c r="AA155" s="69"/>
      <c r="AC155" s="3"/>
      <c r="AX155" s="4"/>
    </row>
    <row r="156" spans="1:51" x14ac:dyDescent="0.6">
      <c r="A156" s="7"/>
      <c r="C156" s="120"/>
      <c r="D156" s="120"/>
      <c r="E156" s="121"/>
      <c r="F156" s="121"/>
      <c r="G156" s="121"/>
      <c r="H156" s="121"/>
      <c r="I156" s="121"/>
      <c r="J156" s="120"/>
      <c r="K156" s="120"/>
      <c r="L156" s="120"/>
      <c r="M156" s="120"/>
      <c r="Z156" s="122">
        <f>+Z155+Z154</f>
        <v>4934.1197350887396</v>
      </c>
      <c r="AA156" s="122"/>
      <c r="AC156" s="3">
        <f>+H134</f>
        <v>4934.1197350887387</v>
      </c>
      <c r="AD156" s="3"/>
    </row>
    <row r="157" spans="1:51" x14ac:dyDescent="0.6">
      <c r="A157" s="7"/>
      <c r="B157" t="s">
        <v>74</v>
      </c>
      <c r="C157" s="60"/>
      <c r="D157" s="60"/>
      <c r="E157" s="61">
        <f>(E149*SUM(E65:E68)+E153*SUM(E60:E64,E69:E71))/E72</f>
        <v>51.155172655397259</v>
      </c>
      <c r="F157" s="61">
        <f>(F149*SUM(F65:F68)+F153*SUM(F60:F64,F69:F71))/F72</f>
        <v>50.820909970759544</v>
      </c>
      <c r="G157" s="61">
        <f>(G149*SUM(G65:G68)+G153*SUM(G60:G64,G69:G71))/G72</f>
        <v>50.7498382778207</v>
      </c>
      <c r="H157" s="61">
        <f>(H149*SUM(H65:H68)+H153*SUM(H60:H64,H69:H71))/H72</f>
        <v>50.70476124808679</v>
      </c>
      <c r="I157" s="61">
        <f>(I149*SUM(I65:I68)+I153*SUM(I60:I64,I69:I71))/I72</f>
        <v>47.677846092045236</v>
      </c>
      <c r="J157" s="60"/>
      <c r="K157" s="60"/>
      <c r="L157" s="60"/>
      <c r="M157" s="60"/>
      <c r="AU157" s="4"/>
      <c r="AV157" s="4"/>
      <c r="AW157" s="4"/>
      <c r="AX157" s="4"/>
      <c r="AY157" s="4"/>
    </row>
    <row r="158" spans="1:51" x14ac:dyDescent="0.6">
      <c r="A158" s="7"/>
      <c r="B158" t="s">
        <v>75</v>
      </c>
      <c r="C158" s="60">
        <f>+C140/SUM(C72:I72)*1000</f>
        <v>50.770704827122643</v>
      </c>
      <c r="E158" s="186"/>
      <c r="F158" s="186"/>
      <c r="G158" s="186"/>
      <c r="H158" s="186"/>
      <c r="I158" s="186"/>
    </row>
    <row r="159" spans="1:51" x14ac:dyDescent="0.6">
      <c r="A159" s="7"/>
      <c r="Q159" s="2" t="str">
        <f>+$E148</f>
        <v>RT{1}</v>
      </c>
      <c r="R159" s="2"/>
      <c r="S159" s="2"/>
      <c r="T159" s="2" t="str">
        <f>+$E148</f>
        <v>RT{1}</v>
      </c>
      <c r="U159" s="2"/>
      <c r="V159" s="2"/>
      <c r="W159" s="2" t="str">
        <f>+$E148</f>
        <v>RT{1}</v>
      </c>
      <c r="X159" s="2"/>
      <c r="Z159" s="2" t="str">
        <f>+$E148</f>
        <v>RT{1}</v>
      </c>
      <c r="AA159" s="2"/>
      <c r="AC159" s="2" t="str">
        <f>+$E148</f>
        <v>RT{1}</v>
      </c>
    </row>
    <row r="160" spans="1:51" x14ac:dyDescent="0.6">
      <c r="A160" s="6" t="s">
        <v>76</v>
      </c>
      <c r="B160" s="1" t="s">
        <v>139</v>
      </c>
      <c r="P160" s="10" t="s">
        <v>25</v>
      </c>
      <c r="Q160" s="8" t="s">
        <v>196</v>
      </c>
      <c r="R160" s="8" t="s">
        <v>192</v>
      </c>
      <c r="T160" s="8" t="s">
        <v>196</v>
      </c>
      <c r="U160" s="8" t="s">
        <v>192</v>
      </c>
      <c r="W160" s="8" t="s">
        <v>196</v>
      </c>
      <c r="X160" s="8" t="s">
        <v>192</v>
      </c>
      <c r="Z160" s="8" t="s">
        <v>197</v>
      </c>
      <c r="AC160" s="8" t="s">
        <v>197</v>
      </c>
    </row>
    <row r="161" spans="1:51" x14ac:dyDescent="0.6">
      <c r="A161" s="7"/>
      <c r="B161" s="15" t="s">
        <v>445</v>
      </c>
      <c r="J161" s="2" t="s">
        <v>306</v>
      </c>
      <c r="K161" s="2"/>
      <c r="P161" t="s">
        <v>14</v>
      </c>
      <c r="Q161" s="4">
        <f>SUMPRODUCT(E38:E41,M65:M68)</f>
        <v>25811.838199999998</v>
      </c>
      <c r="R161" s="4">
        <f>SUMPRODUCT(E38:E41,E65:E68)</f>
        <v>26644.739099999999</v>
      </c>
      <c r="T161" s="4">
        <f>Q76</f>
        <v>32944.4827</v>
      </c>
      <c r="U161" s="4">
        <f>T161-($Q$163*$Q161/($Q$161+$Q$162))</f>
        <v>32108.628288060161</v>
      </c>
      <c r="W161" s="4">
        <f>+T161-Q161</f>
        <v>7132.6445000000022</v>
      </c>
      <c r="X161" s="4">
        <f>-Q161+U161</f>
        <v>6296.7900880601628</v>
      </c>
      <c r="Z161" s="122">
        <f>+E150*Q161/1000</f>
        <v>1593.8877948641659</v>
      </c>
      <c r="AA161" s="122"/>
      <c r="AU161" s="66"/>
      <c r="AV161" s="66"/>
      <c r="AW161" s="66"/>
      <c r="AX161" s="66"/>
      <c r="AY161" s="66"/>
    </row>
    <row r="162" spans="1:51" ht="15.25" x14ac:dyDescent="1.05">
      <c r="A162" s="7"/>
      <c r="B162" s="15" t="s">
        <v>77</v>
      </c>
      <c r="C162" s="2"/>
      <c r="D162" s="2"/>
      <c r="E162" s="2" t="str">
        <f>+E$13</f>
        <v>RT{1}</v>
      </c>
      <c r="F162" s="2" t="str">
        <f>+F$13</f>
        <v>RS{2}</v>
      </c>
      <c r="G162" s="2" t="str">
        <f>+G$13</f>
        <v>GS{3}</v>
      </c>
      <c r="H162" s="2" t="str">
        <f>+H$58</f>
        <v>GST {4}</v>
      </c>
      <c r="I162" s="2" t="str">
        <f>+I$13</f>
        <v>OL/SL</v>
      </c>
      <c r="J162" s="2" t="s">
        <v>165</v>
      </c>
      <c r="K162" s="2"/>
      <c r="L162" s="2"/>
      <c r="M162" s="2"/>
      <c r="P162" t="s">
        <v>15</v>
      </c>
      <c r="Q162" s="4">
        <f>SUMPRODUCT(Q38:Q41,M65:M68)</f>
        <v>35534.161799999994</v>
      </c>
      <c r="R162" s="170">
        <f>SUMPRODUCT(Q38:Q41,E65:E68)</f>
        <v>36688.260900000001</v>
      </c>
      <c r="T162" s="4">
        <f>Q77</f>
        <v>30388.5173</v>
      </c>
      <c r="U162" s="4">
        <f>T162-($Q$163*$Q162/($Q$161+$Q$162))</f>
        <v>29237.828779291925</v>
      </c>
      <c r="W162" s="4">
        <f>+T162-Q162</f>
        <v>-5145.6444999999949</v>
      </c>
      <c r="X162" s="4">
        <f>-Q162+U162</f>
        <v>-6296.3330207080689</v>
      </c>
      <c r="Z162" s="122">
        <f>+E151*Q162/1000</f>
        <v>1478.5180789616359</v>
      </c>
      <c r="AA162" s="69"/>
      <c r="AU162" s="66"/>
      <c r="AV162" s="66"/>
      <c r="AW162" s="66"/>
      <c r="AX162" s="66"/>
      <c r="AY162" s="66"/>
    </row>
    <row r="163" spans="1:51" ht="15.25" x14ac:dyDescent="1.05">
      <c r="A163" s="7"/>
      <c r="P163" t="s">
        <v>191</v>
      </c>
      <c r="Q163" s="170">
        <f>SUM(W65:W68)/1000</f>
        <v>1986.5429326479127</v>
      </c>
      <c r="R163" s="4">
        <f>SUM(R161:R162)</f>
        <v>63333</v>
      </c>
      <c r="T163" s="4">
        <v>0</v>
      </c>
      <c r="U163" s="4">
        <v>0</v>
      </c>
      <c r="W163" s="4">
        <f>+T163-Q163</f>
        <v>-1986.5429326479127</v>
      </c>
      <c r="X163" s="4"/>
      <c r="Z163" s="69">
        <f>+E149*Q163/1000</f>
        <v>99.49121299166724</v>
      </c>
      <c r="AU163" s="66"/>
      <c r="AV163" s="66"/>
      <c r="AW163" s="66"/>
      <c r="AX163" s="66"/>
      <c r="AY163" s="66"/>
    </row>
    <row r="164" spans="1:51" x14ac:dyDescent="0.6">
      <c r="A164" s="7"/>
      <c r="B164" t="s">
        <v>78</v>
      </c>
      <c r="C164" s="71"/>
      <c r="D164" s="71"/>
      <c r="E164" s="71">
        <v>49.370786100000004</v>
      </c>
      <c r="F164" s="71">
        <v>3511.7774561799997</v>
      </c>
      <c r="G164" s="71">
        <v>1213.2031368</v>
      </c>
      <c r="H164" s="71">
        <v>23.119142200000002</v>
      </c>
      <c r="I164" s="71">
        <v>5.2202399999999996E-2</v>
      </c>
      <c r="J164" s="71">
        <f>SUM(E164:I164)</f>
        <v>4797.5227236800001</v>
      </c>
      <c r="K164" s="71"/>
      <c r="L164" s="71"/>
      <c r="M164" s="71"/>
      <c r="Q164" s="4">
        <f>SUM(Q161:Q163)</f>
        <v>63332.542932647906</v>
      </c>
      <c r="Z164" s="122">
        <f>SUM(Z161:Z163)</f>
        <v>3171.8970868174692</v>
      </c>
      <c r="AA164" s="122"/>
      <c r="AC164" s="3">
        <f>+E130</f>
        <v>3171.8806016451895</v>
      </c>
      <c r="AU164" s="66"/>
      <c r="AV164" s="66"/>
      <c r="AW164" s="66"/>
      <c r="AX164" s="66"/>
      <c r="AY164" s="66"/>
    </row>
    <row r="165" spans="1:51" x14ac:dyDescent="0.6">
      <c r="A165" s="7"/>
      <c r="B165" s="273"/>
      <c r="E165" s="85"/>
      <c r="F165" s="85"/>
      <c r="G165" s="85"/>
      <c r="H165" s="321"/>
      <c r="I165" s="321"/>
      <c r="J165" s="321"/>
      <c r="P165" s="10" t="s">
        <v>26</v>
      </c>
      <c r="Q165" s="4"/>
      <c r="R165" s="4"/>
      <c r="T165" s="4"/>
      <c r="U165" s="4"/>
      <c r="W165" s="4"/>
      <c r="X165" s="4"/>
      <c r="AU165" s="66"/>
      <c r="AV165" s="66"/>
      <c r="AW165" s="66"/>
      <c r="AX165" s="66"/>
      <c r="AY165" s="66"/>
    </row>
    <row r="166" spans="1:51" x14ac:dyDescent="0.6">
      <c r="A166" s="7"/>
      <c r="B166" t="s">
        <v>79</v>
      </c>
      <c r="C166" s="72" t="s">
        <v>80</v>
      </c>
      <c r="D166" s="70"/>
      <c r="E166" s="56"/>
      <c r="F166" s="56"/>
      <c r="G166" s="56"/>
      <c r="H166" s="56"/>
      <c r="I166" s="70"/>
      <c r="J166" s="70"/>
      <c r="K166" s="70"/>
      <c r="L166" s="70"/>
      <c r="M166" s="70"/>
      <c r="P166" t="s">
        <v>14</v>
      </c>
      <c r="Q166" s="4">
        <f>SUMPRODUCT(E33:E37,M60:M64)+SUMPRODUCT(E42:E44,M69:M71)</f>
        <v>42194.068100000004</v>
      </c>
      <c r="R166" s="4">
        <f>SUMPRODUCT(E33:E37,E60:E64)+SUMPRODUCT(E42:E44,E69:E71)</f>
        <v>43971.953699999998</v>
      </c>
      <c r="T166" s="4">
        <f>Q72</f>
        <v>58300.455999999998</v>
      </c>
      <c r="U166" s="4">
        <f>T166-($Q$168*$Q166/($Q$166+$Q$167))</f>
        <v>56529.25821469642</v>
      </c>
      <c r="W166" s="4">
        <f>+T166-Q166</f>
        <v>16106.387899999994</v>
      </c>
      <c r="X166" s="4">
        <f>-Q166+U166</f>
        <v>14335.190114696416</v>
      </c>
      <c r="Z166" s="122">
        <f>+E154*Q166/1000</f>
        <v>2372.530978335175</v>
      </c>
      <c r="AA166" s="122"/>
      <c r="AC166" s="3"/>
      <c r="AU166" s="66"/>
      <c r="AV166" s="66"/>
      <c r="AW166" s="66"/>
      <c r="AX166" s="66"/>
      <c r="AY166" s="66"/>
    </row>
    <row r="167" spans="1:51" ht="15.25" x14ac:dyDescent="1.05">
      <c r="A167" s="7"/>
      <c r="B167" t="s">
        <v>81</v>
      </c>
      <c r="I167" s="70"/>
      <c r="J167" s="70"/>
      <c r="K167" s="70"/>
      <c r="L167" s="70"/>
      <c r="M167" s="70"/>
      <c r="P167" t="s">
        <v>15</v>
      </c>
      <c r="Q167" s="4">
        <f>SUMPRODUCT(Q33:Q37,M60:M64)+SUMPRODUCT(Q42:Q44,M69:M71)</f>
        <v>75293.931899999996</v>
      </c>
      <c r="R167" s="170">
        <f>SUMPRODUCT(Q33:Q37,E60:E64)+SUMPRODUCT(Q42:Q44,E69:E71)</f>
        <v>78447.046300000002</v>
      </c>
      <c r="T167" s="4">
        <f>Q73</f>
        <v>64118.544000000002</v>
      </c>
      <c r="U167" s="4">
        <f>T167-($Q$168*$Q167/($Q$166+$Q$167))</f>
        <v>60957.899591122099</v>
      </c>
      <c r="W167" s="4">
        <f>+T167-Q167</f>
        <v>-11175.387899999994</v>
      </c>
      <c r="X167" s="4">
        <f>-Q167+U167</f>
        <v>-14336.032308877897</v>
      </c>
      <c r="Z167" s="122">
        <f>+E155*Q167/1000</f>
        <v>3702.7745534406563</v>
      </c>
      <c r="AA167" s="69"/>
      <c r="AC167" s="3"/>
      <c r="AU167" s="66"/>
      <c r="AV167" s="66"/>
      <c r="AW167" s="66"/>
      <c r="AX167" s="66"/>
      <c r="AY167" s="66"/>
    </row>
    <row r="168" spans="1:51" ht="15.25" x14ac:dyDescent="1.05">
      <c r="A168" s="7"/>
      <c r="D168" s="73" t="s">
        <v>82</v>
      </c>
      <c r="E168" s="114">
        <v>122</v>
      </c>
      <c r="G168" s="73" t="s">
        <v>83</v>
      </c>
      <c r="H168" s="74">
        <v>4</v>
      </c>
      <c r="I168" s="70"/>
      <c r="J168" s="70"/>
      <c r="K168" s="70"/>
      <c r="L168" s="70"/>
      <c r="M168" s="70"/>
      <c r="P168" t="s">
        <v>191</v>
      </c>
      <c r="Q168" s="170">
        <f>SUM(W60:W64,W69:W71)/1000</f>
        <v>4931.8421941814795</v>
      </c>
      <c r="R168" s="4">
        <f>SUM(R166:R167)</f>
        <v>122419</v>
      </c>
      <c r="T168">
        <v>0</v>
      </c>
      <c r="U168" s="4">
        <v>0</v>
      </c>
      <c r="W168" s="4">
        <f>+T168-Q168</f>
        <v>-4931.8421941814795</v>
      </c>
      <c r="X168" s="4"/>
      <c r="Z168" s="69">
        <f>+E153*Q168/1000</f>
        <v>255.02590388591869</v>
      </c>
      <c r="AU168" s="66"/>
      <c r="AV168" s="66"/>
      <c r="AW168" s="66"/>
      <c r="AX168" s="66"/>
      <c r="AY168" s="66"/>
    </row>
    <row r="169" spans="1:51" x14ac:dyDescent="0.6">
      <c r="A169" s="7"/>
      <c r="D169" s="75" t="s">
        <v>84</v>
      </c>
      <c r="E169" s="74">
        <v>243</v>
      </c>
      <c r="G169" s="75" t="s">
        <v>85</v>
      </c>
      <c r="H169" s="74">
        <v>8</v>
      </c>
      <c r="I169" s="70"/>
      <c r="J169" s="70"/>
      <c r="K169" s="70"/>
      <c r="L169" s="70"/>
      <c r="M169" s="233"/>
      <c r="N169" s="234"/>
      <c r="Q169" s="138">
        <f>SUM(Q166:Q168)</f>
        <v>122419.84219418147</v>
      </c>
      <c r="R169" s="2"/>
      <c r="S169" s="2"/>
      <c r="T169" s="2"/>
      <c r="U169" s="2"/>
      <c r="V169" s="2"/>
      <c r="W169" s="2"/>
      <c r="X169" s="2"/>
      <c r="Z169" s="122">
        <f>SUM(Z166:Z168)</f>
        <v>6330.3314356617502</v>
      </c>
      <c r="AA169" s="122"/>
      <c r="AC169" s="3">
        <f>+E134</f>
        <v>6330.2950294401617</v>
      </c>
      <c r="AU169" s="3"/>
      <c r="AV169" s="3"/>
      <c r="AW169" s="3"/>
      <c r="AX169" s="3"/>
      <c r="AY169" s="3"/>
    </row>
    <row r="170" spans="1:51" ht="15.25" x14ac:dyDescent="1.05">
      <c r="A170" s="7"/>
      <c r="D170" s="243"/>
      <c r="E170" s="243"/>
      <c r="F170" s="115"/>
      <c r="G170" s="73" t="s">
        <v>86</v>
      </c>
      <c r="H170">
        <f>+H168+H169</f>
        <v>12</v>
      </c>
      <c r="I170" s="70"/>
      <c r="J170" s="70"/>
      <c r="K170" s="70"/>
      <c r="L170" s="70"/>
      <c r="M170" s="233"/>
      <c r="N170" s="234"/>
      <c r="Q170" s="4"/>
      <c r="R170" s="4"/>
      <c r="T170" s="4"/>
      <c r="U170" s="4"/>
      <c r="W170" s="4"/>
      <c r="X170" s="4"/>
      <c r="Z170" s="69"/>
      <c r="AA170" s="69"/>
      <c r="AX170" s="3"/>
    </row>
    <row r="171" spans="1:51" x14ac:dyDescent="0.6">
      <c r="A171" s="7"/>
      <c r="B171" s="18" t="s">
        <v>158</v>
      </c>
      <c r="C171" s="76"/>
      <c r="D171" s="77"/>
      <c r="L171" s="78"/>
      <c r="M171" s="70"/>
      <c r="N171" s="70"/>
      <c r="O171" s="71" t="s">
        <v>251</v>
      </c>
      <c r="Q171" s="4"/>
      <c r="R171" s="4"/>
      <c r="T171" s="4"/>
      <c r="U171" s="4"/>
      <c r="W171" s="4"/>
      <c r="X171" s="4"/>
      <c r="Z171" s="122"/>
      <c r="AA171" s="122"/>
      <c r="AC171" s="3">
        <f>SUM(AC164:AC169)</f>
        <v>9502.1756310853507</v>
      </c>
    </row>
    <row r="172" spans="1:51" x14ac:dyDescent="0.6">
      <c r="A172" s="7"/>
      <c r="B172" s="273"/>
      <c r="C172" s="76"/>
      <c r="D172" s="340"/>
      <c r="E172" s="77"/>
      <c r="G172" s="306"/>
      <c r="H172" s="68"/>
      <c r="L172" s="78"/>
      <c r="N172" s="235" t="s">
        <v>251</v>
      </c>
      <c r="Q172" s="4"/>
      <c r="R172" s="4"/>
      <c r="T172" s="4"/>
      <c r="U172" s="4"/>
      <c r="W172" s="4"/>
      <c r="X172" s="4"/>
      <c r="Z172" s="122"/>
      <c r="AA172" s="122"/>
      <c r="AC172" s="3"/>
    </row>
    <row r="173" spans="1:51" x14ac:dyDescent="0.6">
      <c r="A173" s="7"/>
      <c r="B173" s="18" t="s">
        <v>87</v>
      </c>
      <c r="C173" t="s">
        <v>25</v>
      </c>
      <c r="D173" s="11">
        <v>53.76</v>
      </c>
      <c r="E173" s="77" t="s">
        <v>88</v>
      </c>
      <c r="G173" s="73" t="s">
        <v>162</v>
      </c>
      <c r="H173" s="3">
        <f>ROUND(D173*E168*J$164,0)</f>
        <v>31465608</v>
      </c>
      <c r="I173" s="73"/>
      <c r="J173" s="403"/>
      <c r="K173" s="404"/>
      <c r="L173" s="120"/>
      <c r="Q173" s="4"/>
      <c r="R173" s="4"/>
      <c r="T173" s="4"/>
      <c r="U173" s="4"/>
      <c r="W173" s="4"/>
      <c r="X173" s="4"/>
      <c r="Z173" s="122"/>
      <c r="AA173" s="122"/>
      <c r="AC173" s="3"/>
    </row>
    <row r="174" spans="1:51" ht="15.25" x14ac:dyDescent="1.05">
      <c r="A174" s="7"/>
      <c r="B174" s="18"/>
      <c r="C174" t="s">
        <v>26</v>
      </c>
      <c r="D174" s="11">
        <v>53.76</v>
      </c>
      <c r="E174" s="77" t="s">
        <v>88</v>
      </c>
      <c r="G174" s="103" t="s">
        <v>163</v>
      </c>
      <c r="H174" s="104">
        <f>ROUND(D174*E169*J$164,0)</f>
        <v>62673302</v>
      </c>
      <c r="I174" s="73"/>
      <c r="J174" s="403"/>
      <c r="K174" s="404"/>
      <c r="L174" s="120"/>
      <c r="Q174" s="4"/>
      <c r="R174" s="4"/>
      <c r="T174" s="4"/>
      <c r="U174" s="4"/>
      <c r="W174" s="4"/>
      <c r="X174" s="4"/>
      <c r="Z174" s="69"/>
      <c r="AA174" s="69"/>
      <c r="AC174" s="3"/>
    </row>
    <row r="175" spans="1:51" x14ac:dyDescent="0.6">
      <c r="A175" s="7"/>
      <c r="B175" s="359"/>
      <c r="C175" s="359"/>
      <c r="D175" s="359"/>
      <c r="E175" s="359"/>
      <c r="F175" s="359"/>
      <c r="G175" s="73" t="s">
        <v>164</v>
      </c>
      <c r="H175" s="3">
        <f>SUM(H173:H174)</f>
        <v>94138910</v>
      </c>
      <c r="I175" s="73"/>
      <c r="J175" s="402"/>
      <c r="K175" s="404"/>
      <c r="L175" s="120"/>
      <c r="P175" s="273" t="s">
        <v>303</v>
      </c>
      <c r="Z175" s="122"/>
      <c r="AA175" s="122"/>
      <c r="AC175" s="3"/>
    </row>
    <row r="176" spans="1:51" x14ac:dyDescent="0.6">
      <c r="A176" s="7"/>
      <c r="B176" t="s">
        <v>153</v>
      </c>
      <c r="I176" s="73"/>
      <c r="J176" s="402"/>
      <c r="K176" s="404"/>
      <c r="L176" s="120"/>
      <c r="O176">
        <v>2015</v>
      </c>
      <c r="P176" s="322">
        <f>E72</f>
        <v>185752</v>
      </c>
      <c r="Q176" s="322">
        <f>F72</f>
        <v>9662333</v>
      </c>
      <c r="R176" s="322">
        <f>G72</f>
        <v>6034796</v>
      </c>
      <c r="S176" s="322">
        <f>H72</f>
        <v>151606</v>
      </c>
      <c r="T176" s="322">
        <f>I72</f>
        <v>135988</v>
      </c>
      <c r="U176" s="322">
        <f>SUM(P176:T176)</f>
        <v>16170475</v>
      </c>
    </row>
    <row r="177" spans="1:50" x14ac:dyDescent="0.6">
      <c r="A177" s="7"/>
      <c r="B177" s="15" t="s">
        <v>154</v>
      </c>
      <c r="I177" s="73"/>
      <c r="J177" s="73"/>
      <c r="K177" s="73"/>
      <c r="L177" s="120"/>
      <c r="O177">
        <v>2014</v>
      </c>
      <c r="P177" s="322">
        <v>300812</v>
      </c>
      <c r="Q177" s="322">
        <v>9139433</v>
      </c>
      <c r="R177" s="322">
        <v>6011880</v>
      </c>
      <c r="S177" s="322">
        <v>242920</v>
      </c>
      <c r="T177" s="322">
        <v>114222</v>
      </c>
      <c r="U177" s="322">
        <f>SUM(P177:T177)</f>
        <v>15809267</v>
      </c>
    </row>
    <row r="178" spans="1:50" x14ac:dyDescent="0.6">
      <c r="A178" s="7"/>
      <c r="B178" s="15"/>
      <c r="C178" s="88" t="str">
        <f>" ---------- Rate "&amp;C30&amp;" ----------"</f>
        <v xml:space="preserve"> ---------- Rate  ----------</v>
      </c>
      <c r="D178" s="89"/>
      <c r="E178" s="89"/>
      <c r="I178" s="73"/>
      <c r="J178" s="73"/>
      <c r="K178" s="73"/>
      <c r="L178" s="120"/>
      <c r="O178">
        <v>2013</v>
      </c>
      <c r="P178" s="322">
        <v>298034</v>
      </c>
      <c r="Q178" s="322">
        <v>8751355</v>
      </c>
      <c r="R178" s="322">
        <v>5786197</v>
      </c>
      <c r="S178" s="322">
        <v>228915</v>
      </c>
      <c r="T178" s="322">
        <v>115314</v>
      </c>
      <c r="U178" s="322">
        <f>SUM(P178:T178)</f>
        <v>15179815</v>
      </c>
    </row>
    <row r="179" spans="1:50" x14ac:dyDescent="0.6">
      <c r="A179" s="7"/>
      <c r="C179" s="8" t="s">
        <v>140</v>
      </c>
      <c r="E179" s="8" t="s">
        <v>141</v>
      </c>
      <c r="I179" s="73"/>
      <c r="J179" s="73"/>
      <c r="K179" s="73"/>
      <c r="L179" s="120"/>
      <c r="P179" s="242">
        <f t="shared" ref="P179:U179" si="23">(P176-P177)/P177</f>
        <v>-0.38249803864207543</v>
      </c>
      <c r="Q179" s="242">
        <f t="shared" si="23"/>
        <v>5.7213614892740065E-2</v>
      </c>
      <c r="R179" s="242">
        <f t="shared" si="23"/>
        <v>3.8117859970591564E-3</v>
      </c>
      <c r="S179" s="242">
        <f t="shared" si="23"/>
        <v>-0.37590153136835169</v>
      </c>
      <c r="T179" s="242">
        <f t="shared" si="23"/>
        <v>0.19055873649559629</v>
      </c>
      <c r="U179" s="242">
        <f t="shared" si="23"/>
        <v>2.284786511607401E-2</v>
      </c>
    </row>
    <row r="180" spans="1:50" x14ac:dyDescent="0.6">
      <c r="A180" s="7"/>
      <c r="B180" s="73" t="s">
        <v>142</v>
      </c>
      <c r="C180" s="90"/>
      <c r="E180" s="99">
        <f>SUM(R65/(R65+R66))</f>
        <v>0.48185536299523257</v>
      </c>
      <c r="F180" s="95"/>
      <c r="I180" s="73"/>
      <c r="J180" s="73"/>
      <c r="K180" s="73"/>
      <c r="L180" s="120"/>
      <c r="P180" s="242">
        <f t="shared" ref="P180:U180" si="24">(P176-P178)/P178</f>
        <v>-0.37674225088412733</v>
      </c>
      <c r="Q180" s="242">
        <f t="shared" si="24"/>
        <v>0.1040956514734004</v>
      </c>
      <c r="R180" s="242">
        <f t="shared" si="24"/>
        <v>4.2964143806372306E-2</v>
      </c>
      <c r="S180" s="242">
        <f t="shared" si="24"/>
        <v>-0.33771924076622328</v>
      </c>
      <c r="T180" s="242">
        <f t="shared" si="24"/>
        <v>0.17928438871255875</v>
      </c>
      <c r="U180" s="242">
        <f t="shared" si="24"/>
        <v>6.526166491488862E-2</v>
      </c>
    </row>
    <row r="181" spans="1:50" x14ac:dyDescent="0.6">
      <c r="A181" s="7"/>
      <c r="B181" s="73" t="s">
        <v>144</v>
      </c>
      <c r="C181" s="91"/>
      <c r="E181" s="92">
        <f>1-E180</f>
        <v>0.51814463700476743</v>
      </c>
      <c r="G181" s="4"/>
      <c r="I181" s="73"/>
      <c r="J181" s="73"/>
      <c r="K181" s="73"/>
      <c r="L181" s="120"/>
      <c r="AX181" s="99">
        <f>(37892894+37550803+37185127+37530967+385012043+415293692+408537249+370243592)/(37892894+37550803+37185127+37530967+385012043+415293692+408537249+370243592+28757462+38416028+35549073+25251802+243248593+403536675+352244990+172217638)</f>
        <v>0.5709969556930804</v>
      </c>
    </row>
    <row r="182" spans="1:50" x14ac:dyDescent="0.6">
      <c r="A182" s="7"/>
      <c r="B182" s="93" t="s">
        <v>155</v>
      </c>
      <c r="C182" s="94">
        <v>0.86519999999999997</v>
      </c>
      <c r="D182" t="s">
        <v>143</v>
      </c>
      <c r="J182" s="73"/>
      <c r="K182" s="73"/>
      <c r="L182" s="120"/>
    </row>
    <row r="183" spans="1:50" x14ac:dyDescent="0.6">
      <c r="A183"/>
      <c r="J183" s="73"/>
      <c r="K183" s="73"/>
      <c r="L183" s="120"/>
      <c r="P183" s="273" t="s">
        <v>304</v>
      </c>
    </row>
    <row r="184" spans="1:50" x14ac:dyDescent="0.6">
      <c r="A184" s="6" t="s">
        <v>89</v>
      </c>
      <c r="B184" s="1" t="s">
        <v>90</v>
      </c>
      <c r="P184" s="71">
        <f>E164</f>
        <v>49.370786100000004</v>
      </c>
      <c r="Q184" s="71">
        <f>F164</f>
        <v>3511.7774561799997</v>
      </c>
      <c r="R184" s="71">
        <f>G164</f>
        <v>1213.2031368</v>
      </c>
      <c r="S184" s="71">
        <f>H164</f>
        <v>23.119142200000002</v>
      </c>
      <c r="T184" s="71">
        <f>I164</f>
        <v>5.2202399999999996E-2</v>
      </c>
      <c r="U184" s="321">
        <f>SUM(P184:T184)</f>
        <v>4797.5227236800001</v>
      </c>
    </row>
    <row r="185" spans="1:50" x14ac:dyDescent="0.6">
      <c r="A185" s="6"/>
      <c r="B185" s="15" t="s">
        <v>314</v>
      </c>
      <c r="F185" s="343">
        <v>2</v>
      </c>
      <c r="G185" t="s">
        <v>92</v>
      </c>
      <c r="O185">
        <v>2014</v>
      </c>
      <c r="P185">
        <v>103.3</v>
      </c>
      <c r="Q185" s="321">
        <v>3286</v>
      </c>
      <c r="R185" s="321">
        <v>1769</v>
      </c>
      <c r="S185" s="321">
        <v>44.1</v>
      </c>
      <c r="T185" s="321">
        <v>2</v>
      </c>
      <c r="U185" s="321">
        <f>SUM(P185:T185)</f>
        <v>5204.4000000000005</v>
      </c>
    </row>
    <row r="186" spans="1:50" x14ac:dyDescent="0.6">
      <c r="A186" s="6"/>
      <c r="B186" s="15" t="s">
        <v>317</v>
      </c>
      <c r="F186" s="344">
        <v>22.64</v>
      </c>
      <c r="G186" t="s">
        <v>92</v>
      </c>
      <c r="Q186" s="321"/>
      <c r="R186" s="321"/>
      <c r="S186" s="321"/>
      <c r="T186" s="321"/>
      <c r="U186" s="321"/>
    </row>
    <row r="187" spans="1:50" x14ac:dyDescent="0.6">
      <c r="A187" s="7"/>
      <c r="B187" s="15" t="s">
        <v>313</v>
      </c>
      <c r="F187" s="341">
        <f>F185+F186</f>
        <v>24.64</v>
      </c>
      <c r="G187" t="s">
        <v>92</v>
      </c>
      <c r="Q187" s="321"/>
      <c r="R187" s="321"/>
      <c r="S187" s="321"/>
      <c r="T187" s="321"/>
      <c r="U187" s="321"/>
    </row>
    <row r="188" spans="1:50" x14ac:dyDescent="0.6">
      <c r="A188" s="7"/>
      <c r="B188" s="1"/>
      <c r="E188" s="76"/>
      <c r="F188" s="77"/>
      <c r="P188" s="310">
        <f>(P184-P185)/P185</f>
        <v>-0.52206402613746361</v>
      </c>
      <c r="Q188" s="310">
        <f t="shared" ref="Q188" si="25">(Q184-Q185)/Q185</f>
        <v>6.870890328058421E-2</v>
      </c>
      <c r="R188" s="310">
        <f t="shared" ref="R188" si="26">(R184-R185)/R185</f>
        <v>-0.31418703403052572</v>
      </c>
      <c r="S188" s="310">
        <f t="shared" ref="S188" si="27">(S184-S185)/S185</f>
        <v>-0.47575641269841268</v>
      </c>
      <c r="T188" s="310">
        <f t="shared" ref="T188" si="28">(T184-T185)/T185</f>
        <v>-0.97389879999999995</v>
      </c>
      <c r="U188" s="310">
        <f t="shared" ref="U188" si="29">(U184-U185)/U185</f>
        <v>-7.8179478195373214E-2</v>
      </c>
    </row>
    <row r="189" spans="1:50" x14ac:dyDescent="0.6">
      <c r="A189" s="6" t="s">
        <v>93</v>
      </c>
      <c r="B189" s="1" t="s">
        <v>167</v>
      </c>
    </row>
    <row r="190" spans="1:50" x14ac:dyDescent="0.6">
      <c r="A190" s="6"/>
      <c r="B190" s="1"/>
    </row>
    <row r="191" spans="1:50" x14ac:dyDescent="0.6">
      <c r="A191" s="6"/>
      <c r="B191" s="1"/>
      <c r="C191" s="2"/>
      <c r="D191" s="2"/>
      <c r="E191" s="2" t="str">
        <f>+E$13</f>
        <v>RT{1}</v>
      </c>
      <c r="F191" s="2" t="str">
        <f>+F$13</f>
        <v>RS{2}</v>
      </c>
      <c r="G191" s="2" t="str">
        <f>+G$13</f>
        <v>GS{3}</v>
      </c>
      <c r="H191" s="133" t="str">
        <f>+H$58</f>
        <v>GST {4}</v>
      </c>
      <c r="I191" s="2" t="str">
        <f>+I$13</f>
        <v>OL/SL</v>
      </c>
      <c r="J191" s="2"/>
      <c r="K191" s="2"/>
    </row>
    <row r="192" spans="1:50" x14ac:dyDescent="0.6">
      <c r="A192" s="7"/>
      <c r="B192" s="73" t="s">
        <v>94</v>
      </c>
      <c r="C192" s="123"/>
      <c r="D192" s="123"/>
      <c r="E192" s="124">
        <v>0</v>
      </c>
      <c r="F192" s="124">
        <v>0</v>
      </c>
      <c r="G192" s="124">
        <f>E192</f>
        <v>0</v>
      </c>
      <c r="H192" s="124">
        <f>E192</f>
        <v>0</v>
      </c>
      <c r="I192" s="124">
        <v>0</v>
      </c>
      <c r="J192" s="123"/>
      <c r="K192" s="123"/>
      <c r="L192" s="123"/>
    </row>
    <row r="193" spans="1:18" x14ac:dyDescent="0.6">
      <c r="A193" s="7"/>
      <c r="B193" s="7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</row>
    <row r="194" spans="1:18" x14ac:dyDescent="0.6">
      <c r="A194" s="7"/>
      <c r="B194" s="73" t="s">
        <v>131</v>
      </c>
      <c r="C194" s="123"/>
      <c r="D194" s="123"/>
      <c r="E194" s="124">
        <f>$H$175*(E$164/$J$164)/E$72</f>
        <v>5.2154125622784191</v>
      </c>
      <c r="F194" s="124">
        <f>$H$175*(F$164/$J$164)/F$72</f>
        <v>7.1317664206324585</v>
      </c>
      <c r="G194" s="124">
        <f>$H$175*(G$164/$J$164)/G$72</f>
        <v>3.9447824348275562</v>
      </c>
      <c r="H194" s="124">
        <f>$H$175*(H$164/$J$164)/H$72</f>
        <v>2.9923159797121701</v>
      </c>
      <c r="I194" s="124">
        <f>$H$175*(I$164/$J$164)/I$72</f>
        <v>7.532549746468606E-3</v>
      </c>
      <c r="J194" s="123"/>
      <c r="K194" s="123"/>
      <c r="L194" s="123"/>
      <c r="M194" s="123"/>
    </row>
    <row r="195" spans="1:18" x14ac:dyDescent="0.6">
      <c r="A195" s="7"/>
      <c r="B195" s="73" t="s">
        <v>198</v>
      </c>
      <c r="C195" s="123"/>
      <c r="D195" s="123"/>
      <c r="E195" s="124">
        <f>$H$173*(E$164/$J$164)/SUM(E65:E68)</f>
        <v>5.1128031161944145</v>
      </c>
      <c r="F195" s="124">
        <f>$H$173*(F$164/$J$164)/SUM(F65:F68)</f>
        <v>5.625892722486765</v>
      </c>
      <c r="G195" s="124">
        <f>$H$173*(G$164/$J$164)/SUM(G65:G68)</f>
        <v>3.6553107804642502</v>
      </c>
      <c r="H195" s="124"/>
      <c r="I195" s="124">
        <f>$H$173*(I$164/$J$164)/SUM(I65:I68)</f>
        <v>7.5522426896553491E-3</v>
      </c>
      <c r="J195" s="123"/>
      <c r="K195" s="123"/>
      <c r="L195" s="123"/>
      <c r="M195" s="123"/>
    </row>
    <row r="196" spans="1:18" x14ac:dyDescent="0.6">
      <c r="A196" s="7"/>
      <c r="B196" s="73" t="s">
        <v>199</v>
      </c>
      <c r="C196" s="123"/>
      <c r="D196" s="123"/>
      <c r="E196" s="124">
        <f>$H$173*(E$164/$J$164)/R161</f>
        <v>12.152836570951482</v>
      </c>
      <c r="F196" s="124"/>
      <c r="G196" s="124"/>
      <c r="H196" s="124">
        <f>$H$173*(H$164/$J$164)/Q150</f>
        <v>6.1424729516309657</v>
      </c>
      <c r="I196" s="124"/>
      <c r="J196" s="123"/>
      <c r="K196" s="123"/>
      <c r="L196" s="123"/>
      <c r="M196" s="123"/>
    </row>
    <row r="197" spans="1:18" x14ac:dyDescent="0.6">
      <c r="A197" s="7"/>
      <c r="B197" s="73" t="s">
        <v>201</v>
      </c>
      <c r="C197" s="123"/>
      <c r="D197" s="123"/>
      <c r="E197" s="124">
        <f>$H$174*(E$164/$J$164)/(E72-SUM(E65:E68))</f>
        <v>5.2684971655576334</v>
      </c>
      <c r="F197" s="124">
        <f>$H$174*(F$164/$J$164)/(F72-SUM(F65:F68))</f>
        <v>8.2389584934517046</v>
      </c>
      <c r="G197" s="124">
        <f>$H$174*(G$164/$J$164)/(G72-SUM(G65:G68))</f>
        <v>4.1081169962741253</v>
      </c>
      <c r="H197" s="124"/>
      <c r="I197" s="124">
        <f>$H$174*(I$164/$J$164)/(I72-SUM(I65:I68))</f>
        <v>7.5227014283834812E-3</v>
      </c>
      <c r="J197" s="123"/>
      <c r="K197" s="123"/>
      <c r="L197" s="123"/>
      <c r="M197" s="198"/>
    </row>
    <row r="198" spans="1:18" x14ac:dyDescent="0.6">
      <c r="A198" s="7"/>
      <c r="B198" s="73" t="s">
        <v>200</v>
      </c>
      <c r="C198" s="123"/>
      <c r="D198" s="123"/>
      <c r="E198" s="124">
        <f>$H$174*(E$164/$J$164)/R166</f>
        <v>14.667625616789456</v>
      </c>
      <c r="F198" s="125"/>
      <c r="G198" s="125"/>
      <c r="H198" s="124">
        <f>$H$174*(H$164/$J$164)/Q154</f>
        <v>7.4327367651472649</v>
      </c>
      <c r="I198" s="124"/>
      <c r="J198" s="123"/>
      <c r="K198" s="123"/>
      <c r="L198" s="123"/>
      <c r="M198" s="123"/>
    </row>
    <row r="199" spans="1:18" x14ac:dyDescent="0.6">
      <c r="A199" s="7"/>
      <c r="B199" s="73"/>
      <c r="C199" s="123"/>
      <c r="D199" s="123"/>
      <c r="E199" s="124"/>
      <c r="F199" s="124"/>
      <c r="G199" s="124"/>
      <c r="H199" s="124"/>
      <c r="I199" s="124"/>
      <c r="J199" s="123"/>
      <c r="K199" s="123"/>
      <c r="L199" s="123"/>
      <c r="M199" s="198" t="s">
        <v>251</v>
      </c>
    </row>
    <row r="200" spans="1:18" ht="15.5" x14ac:dyDescent="0.7">
      <c r="A200" s="7"/>
      <c r="B200" s="570" t="str">
        <f>$B$1</f>
        <v xml:space="preserve">Jersey Central Power &amp; Light </v>
      </c>
      <c r="C200" s="570"/>
      <c r="D200" s="570"/>
      <c r="E200" s="570"/>
      <c r="F200" s="570"/>
      <c r="G200" s="570"/>
      <c r="H200" s="570"/>
      <c r="I200" s="570"/>
      <c r="J200" s="570"/>
      <c r="K200" s="570"/>
      <c r="L200" s="570"/>
      <c r="M200" s="123"/>
    </row>
    <row r="201" spans="1:18" ht="15.5" x14ac:dyDescent="0.7">
      <c r="A201" s="7"/>
      <c r="B201" s="570" t="str">
        <f>$B$2</f>
        <v>Attachment 2</v>
      </c>
      <c r="C201" s="570"/>
      <c r="D201" s="570"/>
      <c r="E201" s="570"/>
      <c r="F201" s="570"/>
      <c r="G201" s="570"/>
      <c r="H201" s="570"/>
      <c r="I201" s="570"/>
      <c r="J201" s="570"/>
      <c r="K201" s="570"/>
      <c r="L201" s="570"/>
      <c r="M201" s="123"/>
    </row>
    <row r="202" spans="1:18" x14ac:dyDescent="0.6">
      <c r="A202" s="7"/>
      <c r="E202" s="123"/>
      <c r="F202" s="123"/>
      <c r="G202" s="123"/>
      <c r="H202" s="123"/>
      <c r="L202" s="123"/>
      <c r="M202" s="123"/>
      <c r="N202" s="123"/>
      <c r="O202" s="123"/>
      <c r="P202" s="123"/>
      <c r="Q202" s="123"/>
      <c r="R202" s="123"/>
    </row>
    <row r="203" spans="1:18" x14ac:dyDescent="0.6">
      <c r="A203" s="7"/>
      <c r="M203" s="123"/>
      <c r="N203" s="123"/>
      <c r="O203" s="123"/>
      <c r="P203" s="123"/>
      <c r="Q203" s="123"/>
      <c r="R203" s="123"/>
    </row>
    <row r="204" spans="1:18" x14ac:dyDescent="0.6">
      <c r="A204" s="6" t="s">
        <v>95</v>
      </c>
      <c r="B204" s="1" t="s">
        <v>96</v>
      </c>
      <c r="F204" s="85"/>
      <c r="M204" s="123"/>
      <c r="N204" s="123"/>
      <c r="O204" s="123"/>
      <c r="P204" s="123"/>
      <c r="Q204" s="123"/>
      <c r="R204" s="123"/>
    </row>
    <row r="205" spans="1:18" x14ac:dyDescent="0.6">
      <c r="A205" s="7"/>
      <c r="B205" s="1"/>
      <c r="M205" s="123"/>
      <c r="N205" s="123"/>
      <c r="O205" s="123"/>
      <c r="P205" s="123"/>
      <c r="Q205" s="123"/>
      <c r="R205" s="123"/>
    </row>
    <row r="206" spans="1:18" x14ac:dyDescent="0.6">
      <c r="A206" s="7"/>
      <c r="B206" s="1" t="s">
        <v>97</v>
      </c>
      <c r="M206" s="123"/>
      <c r="N206" s="123"/>
      <c r="O206" s="123"/>
      <c r="P206" s="123"/>
      <c r="Q206" s="123"/>
      <c r="R206" s="123"/>
    </row>
    <row r="207" spans="1:18" x14ac:dyDescent="0.6">
      <c r="A207" s="7"/>
      <c r="B207" s="15" t="s">
        <v>359</v>
      </c>
      <c r="M207" s="123"/>
      <c r="N207" s="123"/>
      <c r="O207" s="123"/>
      <c r="P207" s="123"/>
      <c r="Q207" s="123"/>
      <c r="R207" s="123"/>
    </row>
    <row r="208" spans="1:18" x14ac:dyDescent="0.6">
      <c r="A208" s="7"/>
      <c r="B208" s="15" t="s">
        <v>21</v>
      </c>
      <c r="M208" s="123"/>
      <c r="N208" s="123"/>
      <c r="O208" s="123"/>
      <c r="P208" s="123"/>
      <c r="Q208" s="123"/>
      <c r="R208" s="123"/>
    </row>
    <row r="209" spans="1:18" x14ac:dyDescent="0.6">
      <c r="A209" s="7"/>
      <c r="C209" s="2"/>
      <c r="D209" s="2"/>
      <c r="E209" s="2" t="str">
        <f>+E$13</f>
        <v>RT{1}</v>
      </c>
      <c r="F209" s="2" t="str">
        <f>+F$13</f>
        <v>RS{2}</v>
      </c>
      <c r="G209" s="2" t="str">
        <f>+G$13</f>
        <v>GS{3}</v>
      </c>
      <c r="H209" s="133" t="str">
        <f>+H$58</f>
        <v>GST {4}</v>
      </c>
      <c r="I209" s="2" t="str">
        <f>+I$13</f>
        <v>OL/SL</v>
      </c>
      <c r="J209" s="2"/>
      <c r="K209" s="2"/>
      <c r="M209" s="123"/>
      <c r="N209" s="123"/>
      <c r="O209" s="123"/>
      <c r="P209" s="123"/>
      <c r="Q209" s="123"/>
      <c r="R209" s="123"/>
    </row>
    <row r="210" spans="1:18" x14ac:dyDescent="0.6">
      <c r="A210" s="7"/>
      <c r="C210" s="2"/>
      <c r="D210" s="2"/>
      <c r="E210" s="60"/>
      <c r="F210" s="2"/>
      <c r="G210" s="2"/>
      <c r="M210" s="123"/>
      <c r="N210" s="123"/>
      <c r="O210" s="123"/>
      <c r="P210" s="123"/>
      <c r="Q210" s="123"/>
      <c r="R210" s="123"/>
    </row>
    <row r="211" spans="1:18" x14ac:dyDescent="0.6">
      <c r="A211" s="7"/>
      <c r="B211" s="23" t="s">
        <v>17</v>
      </c>
      <c r="C211" s="60"/>
      <c r="D211" s="60"/>
      <c r="E211" s="60">
        <f>+E149+(E$95*$F$187)+E$192+E195</f>
        <v>82.742892990126364</v>
      </c>
      <c r="F211" s="60">
        <f>+F149+(F$95*$F$187)+F$192+F195</f>
        <v>83.582723366362814</v>
      </c>
      <c r="G211" s="60">
        <f>+G149+(G$95*$F$187)+G$192+G195</f>
        <v>81.993761647753075</v>
      </c>
      <c r="H211" s="60"/>
      <c r="I211" s="60">
        <f>+I149+(I$95*$F$187)+I$192+I195</f>
        <v>72.611204459733329</v>
      </c>
      <c r="J211" s="60"/>
      <c r="K211" s="60"/>
      <c r="L211" s="60"/>
      <c r="M211" s="123"/>
      <c r="N211" s="123"/>
      <c r="O211" s="123"/>
      <c r="P211" s="123"/>
      <c r="Q211" s="123"/>
      <c r="R211" s="123"/>
    </row>
    <row r="212" spans="1:18" x14ac:dyDescent="0.6">
      <c r="A212" s="7"/>
      <c r="B212" s="63" t="s">
        <v>72</v>
      </c>
      <c r="C212" s="60"/>
      <c r="D212" s="60"/>
      <c r="E212" s="60">
        <f>+E150+(E$95*$F$187)+E$192+E$196</f>
        <v>101.45060046634887</v>
      </c>
      <c r="F212" s="60"/>
      <c r="G212" s="60"/>
      <c r="H212" s="60">
        <f>+H150+(H$95*$F$187)+H$192+H$196</f>
        <v>93.920002589734352</v>
      </c>
      <c r="I212" s="60"/>
      <c r="J212" s="60"/>
      <c r="K212" s="60"/>
      <c r="M212" s="123"/>
      <c r="N212" s="123"/>
      <c r="O212" s="123"/>
      <c r="P212" s="123"/>
      <c r="Q212" s="123"/>
      <c r="R212" s="123"/>
    </row>
    <row r="213" spans="1:18" x14ac:dyDescent="0.6">
      <c r="A213" s="7"/>
      <c r="B213" s="63" t="s">
        <v>73</v>
      </c>
      <c r="C213" s="60"/>
      <c r="D213" s="60"/>
      <c r="E213" s="60">
        <f>+E151+(E$95*$F$187)+E$192</f>
        <v>69.155857685237294</v>
      </c>
      <c r="F213" s="60"/>
      <c r="G213" s="60"/>
      <c r="H213" s="60">
        <f>+H151+(H$95*$F$187)+H$192</f>
        <v>68.669622995501044</v>
      </c>
      <c r="I213" s="60"/>
      <c r="J213" s="60"/>
      <c r="K213" s="60"/>
      <c r="M213" s="123"/>
      <c r="N213" s="123"/>
      <c r="O213" s="123"/>
      <c r="P213" s="123"/>
      <c r="Q213" s="123"/>
      <c r="R213" s="123"/>
    </row>
    <row r="214" spans="1:18" x14ac:dyDescent="0.6">
      <c r="A214" s="7"/>
      <c r="B214" s="73" t="s">
        <v>142</v>
      </c>
      <c r="C214" s="60"/>
      <c r="D214" s="60"/>
      <c r="E214" s="60"/>
      <c r="F214" s="60">
        <f>(F211*SUM(F65:F68)-C182*10*E181*SUM(F65:F68))/SUM(F65:F68)</f>
        <v>79.099735966997557</v>
      </c>
      <c r="G214" s="60"/>
      <c r="H214" s="60"/>
      <c r="I214" s="60"/>
      <c r="J214" s="60"/>
      <c r="K214" s="60"/>
      <c r="M214" s="123"/>
      <c r="N214" s="123"/>
      <c r="O214" s="123"/>
      <c r="P214" s="123"/>
      <c r="Q214" s="123"/>
      <c r="R214" s="123"/>
    </row>
    <row r="215" spans="1:18" x14ac:dyDescent="0.6">
      <c r="A215" s="7"/>
      <c r="B215" s="73" t="s">
        <v>144</v>
      </c>
      <c r="C215" s="60"/>
      <c r="D215" s="60"/>
      <c r="E215" s="60"/>
      <c r="F215" s="60">
        <f>+F214+C182*10</f>
        <v>87.751735966997558</v>
      </c>
      <c r="G215" s="101"/>
      <c r="H215" s="60"/>
      <c r="I215" s="60"/>
      <c r="J215" s="60"/>
      <c r="K215" s="60"/>
      <c r="M215" s="123"/>
      <c r="N215" s="123"/>
      <c r="O215" s="123"/>
      <c r="P215" s="123"/>
      <c r="Q215" s="123"/>
      <c r="R215" s="123"/>
    </row>
    <row r="216" spans="1:18" x14ac:dyDescent="0.6">
      <c r="A216" s="7"/>
      <c r="C216" s="60"/>
      <c r="D216" s="60"/>
      <c r="E216" s="60"/>
      <c r="F216" s="60"/>
      <c r="G216" s="60"/>
      <c r="H216" s="60"/>
      <c r="I216" s="60"/>
      <c r="J216" s="60"/>
      <c r="K216" s="60"/>
      <c r="M216" s="123"/>
      <c r="N216" s="123"/>
      <c r="O216" s="123"/>
      <c r="P216" s="123"/>
      <c r="Q216" s="123"/>
      <c r="R216" s="123"/>
    </row>
    <row r="217" spans="1:18" x14ac:dyDescent="0.6">
      <c r="A217" s="7"/>
      <c r="B217" s="23" t="s">
        <v>18</v>
      </c>
      <c r="C217" s="60"/>
      <c r="D217" s="60"/>
      <c r="E217" s="60">
        <f>+E153+(E$95*$F$187)+E$192+E197</f>
        <v>84.526067913621816</v>
      </c>
      <c r="F217" s="60">
        <f>+F153+(F$95*$F$187)+F$192+F197</f>
        <v>86.909983458662808</v>
      </c>
      <c r="G217" s="60">
        <f>+G153+(G$95*$F$187)+G$192+G197</f>
        <v>82.382259021943142</v>
      </c>
      <c r="H217" s="60"/>
      <c r="I217" s="60">
        <f>+I153+(I$95*$F$187)+I$192+I197</f>
        <v>76.543963040258561</v>
      </c>
      <c r="J217" s="60"/>
      <c r="K217" s="60"/>
      <c r="L217" s="60"/>
      <c r="M217" s="123"/>
      <c r="N217" s="123"/>
      <c r="O217" s="123"/>
      <c r="P217" s="123"/>
      <c r="Q217" s="123"/>
      <c r="R217" s="123"/>
    </row>
    <row r="218" spans="1:18" x14ac:dyDescent="0.6">
      <c r="A218" s="7"/>
      <c r="B218" s="63" t="s">
        <v>72</v>
      </c>
      <c r="C218" s="60"/>
      <c r="D218" s="60"/>
      <c r="E218" s="60">
        <f>+E154+(E$95*$F$187)+E$192+E$198</f>
        <v>98.444143747448322</v>
      </c>
      <c r="F218" s="60"/>
      <c r="G218" s="60"/>
      <c r="H218" s="60">
        <f>+H154+(H$95*$F$187)+H$192+H$198</f>
        <v>89.568868952930416</v>
      </c>
      <c r="I218" s="60"/>
      <c r="J218" s="60"/>
      <c r="K218" s="60"/>
      <c r="M218" s="123"/>
      <c r="N218" s="123"/>
      <c r="O218" s="123"/>
      <c r="P218" s="123"/>
      <c r="Q218" s="123"/>
      <c r="R218" s="123"/>
    </row>
    <row r="219" spans="1:18" x14ac:dyDescent="0.6">
      <c r="A219" s="7"/>
      <c r="B219" s="63" t="s">
        <v>73</v>
      </c>
      <c r="C219" s="60"/>
      <c r="D219" s="60"/>
      <c r="E219" s="60">
        <f>+E155+(E$95*$F$187)+E$192</f>
        <v>76.725096848931813</v>
      </c>
      <c r="F219" s="60"/>
      <c r="G219" s="60"/>
      <c r="H219" s="60">
        <f>+H155+(H$95*$F$187)+H$192</f>
        <v>76.488231937930351</v>
      </c>
      <c r="I219" s="60"/>
      <c r="J219" s="60"/>
      <c r="K219" s="60"/>
      <c r="M219" s="123"/>
      <c r="N219" s="123"/>
      <c r="O219" s="123"/>
      <c r="P219" s="123"/>
      <c r="Q219" s="123"/>
      <c r="R219" s="123"/>
    </row>
    <row r="220" spans="1:18" x14ac:dyDescent="0.6">
      <c r="A220" s="7"/>
      <c r="C220" s="60"/>
      <c r="D220" s="60"/>
      <c r="E220" s="60"/>
      <c r="F220" s="60"/>
      <c r="G220" s="60"/>
      <c r="H220" s="60"/>
      <c r="I220" s="60"/>
      <c r="J220" s="60"/>
      <c r="K220" s="60"/>
      <c r="M220" s="123"/>
      <c r="N220" s="123"/>
      <c r="O220" s="123"/>
      <c r="P220" s="123"/>
      <c r="Q220" s="123"/>
      <c r="R220" s="123"/>
    </row>
    <row r="221" spans="1:18" x14ac:dyDescent="0.6">
      <c r="A221" s="7"/>
      <c r="B221" t="s">
        <v>98</v>
      </c>
      <c r="C221" s="60"/>
      <c r="D221" s="60"/>
      <c r="E221" s="60">
        <f>+E157+(E$95*$F$187)+E$192+E194</f>
        <v>83.918086209899982</v>
      </c>
      <c r="F221" s="60">
        <f>+F157+(F$95*$F$187)+F$192+F194</f>
        <v>85.500177383616318</v>
      </c>
      <c r="G221" s="60">
        <f>+G157+(G$95*$F$187)+G$192+G194</f>
        <v>82.242121704872574</v>
      </c>
      <c r="H221" s="60">
        <f>((H212*SUMPRODUCT(H38:H41,H65:H68)+H213*SUMPRODUCT(T38:T41,H65:H68))+(H218*(SUMPRODUCT(H33:H37,H60:H64)+SUMPRODUCT(H42:H44,H69:H71))+H219*(SUMPRODUCT(T33:T37,H60:H64)+SUMPRODUCT(T42:T44,H69:H71))))/H72</f>
        <v>81.244578220023271</v>
      </c>
      <c r="I221" s="60">
        <f>+I157+(I$95*$F$187)+I$192+I194</f>
        <v>75.232879634016015</v>
      </c>
      <c r="J221" s="60"/>
      <c r="K221" s="60"/>
      <c r="L221" s="60"/>
      <c r="M221" s="123"/>
      <c r="N221" s="123"/>
      <c r="O221" s="123"/>
      <c r="P221" s="123"/>
      <c r="Q221" s="123"/>
      <c r="R221" s="123"/>
    </row>
    <row r="222" spans="1:18" x14ac:dyDescent="0.6">
      <c r="A222" s="7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123"/>
      <c r="N222" s="123"/>
      <c r="O222" s="123"/>
      <c r="P222" s="123"/>
      <c r="Q222" s="123"/>
      <c r="R222" s="123"/>
    </row>
    <row r="223" spans="1:18" x14ac:dyDescent="0.6">
      <c r="A223" s="7"/>
      <c r="B223" s="1" t="s">
        <v>99</v>
      </c>
      <c r="M223" s="123"/>
      <c r="N223" s="123"/>
      <c r="O223" s="123"/>
      <c r="P223" s="123"/>
      <c r="Q223" s="123"/>
      <c r="R223" s="123"/>
    </row>
    <row r="224" spans="1:18" x14ac:dyDescent="0.6">
      <c r="A224" s="7"/>
      <c r="B224" s="15" t="s">
        <v>365</v>
      </c>
      <c r="M224" s="123"/>
      <c r="N224" s="123"/>
      <c r="O224" s="123"/>
      <c r="P224" s="123"/>
      <c r="Q224" s="123"/>
      <c r="R224" s="123"/>
    </row>
    <row r="225" spans="1:18" x14ac:dyDescent="0.6">
      <c r="A225" s="7"/>
      <c r="B225" s="15"/>
      <c r="M225" s="123"/>
      <c r="N225" s="123"/>
      <c r="O225" s="123"/>
      <c r="P225" s="123"/>
      <c r="Q225" s="123"/>
      <c r="R225" s="123"/>
    </row>
    <row r="226" spans="1:18" x14ac:dyDescent="0.6">
      <c r="A226" s="7"/>
      <c r="B226" s="63"/>
      <c r="C226" s="60"/>
      <c r="D226" s="60"/>
      <c r="I226" s="73"/>
      <c r="J226" s="60"/>
      <c r="K226" s="60"/>
      <c r="L226" s="77"/>
      <c r="M226" s="123"/>
      <c r="N226" s="123"/>
      <c r="O226" s="123"/>
      <c r="P226" s="123"/>
      <c r="Q226" s="123"/>
      <c r="R226" s="123"/>
    </row>
    <row r="227" spans="1:18" x14ac:dyDescent="0.6">
      <c r="A227" s="7"/>
      <c r="C227" s="60"/>
      <c r="D227" s="60"/>
    </row>
    <row r="228" spans="1:18" x14ac:dyDescent="0.6">
      <c r="A228" s="7"/>
      <c r="B228" s="32" t="s">
        <v>101</v>
      </c>
      <c r="C228" s="60"/>
      <c r="D228" s="60"/>
      <c r="I228" s="80"/>
      <c r="L228" s="77"/>
    </row>
    <row r="229" spans="1:18" x14ac:dyDescent="0.6">
      <c r="A229" s="7"/>
      <c r="B229" s="63"/>
      <c r="C229" s="60"/>
      <c r="D229" s="60"/>
      <c r="I229" s="73"/>
      <c r="J229" s="64"/>
      <c r="K229" s="64"/>
      <c r="L229" s="77"/>
    </row>
    <row r="230" spans="1:18" ht="15.5" x14ac:dyDescent="0.7">
      <c r="A230" s="7"/>
      <c r="B230" s="570" t="str">
        <f>$B$1</f>
        <v xml:space="preserve">Jersey Central Power &amp; Light </v>
      </c>
      <c r="C230" s="570"/>
      <c r="D230" s="570"/>
      <c r="E230" s="570"/>
      <c r="F230" s="570"/>
      <c r="G230" s="570"/>
      <c r="H230" s="570"/>
      <c r="I230" s="570"/>
      <c r="J230" s="570"/>
      <c r="K230" s="570"/>
      <c r="L230" s="570"/>
    </row>
    <row r="231" spans="1:18" ht="15.5" x14ac:dyDescent="0.7">
      <c r="A231" s="7"/>
      <c r="B231" s="570" t="str">
        <f>$B$2</f>
        <v>Attachment 2</v>
      </c>
      <c r="C231" s="570"/>
      <c r="D231" s="570"/>
      <c r="E231" s="570"/>
      <c r="F231" s="570"/>
      <c r="G231" s="570"/>
      <c r="H231" s="570"/>
      <c r="I231" s="570"/>
      <c r="J231" s="570"/>
      <c r="K231" s="570"/>
      <c r="L231" s="570"/>
    </row>
    <row r="232" spans="1:18" ht="15.5" x14ac:dyDescent="0.7">
      <c r="A232" s="7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</row>
    <row r="233" spans="1:18" ht="15.5" x14ac:dyDescent="0.7">
      <c r="A233" s="6" t="s">
        <v>106</v>
      </c>
      <c r="B233" s="1" t="s">
        <v>238</v>
      </c>
      <c r="C233" s="17"/>
      <c r="E233" s="141"/>
      <c r="F233" s="8"/>
      <c r="L233" s="142"/>
    </row>
    <row r="234" spans="1:18" ht="15.5" x14ac:dyDescent="0.7">
      <c r="B234" t="s">
        <v>239</v>
      </c>
      <c r="L234" s="142"/>
    </row>
    <row r="235" spans="1:18" ht="15.5" x14ac:dyDescent="0.7">
      <c r="E235" s="2" t="s">
        <v>61</v>
      </c>
      <c r="F235" s="2" t="s">
        <v>62</v>
      </c>
      <c r="G235" s="2" t="s">
        <v>65</v>
      </c>
      <c r="H235" s="2" t="s">
        <v>203</v>
      </c>
      <c r="I235" s="2" t="s">
        <v>55</v>
      </c>
      <c r="L235" s="142"/>
    </row>
    <row r="236" spans="1:18" ht="15.5" x14ac:dyDescent="0.7">
      <c r="L236" s="142"/>
    </row>
    <row r="237" spans="1:18" ht="15.5" x14ac:dyDescent="0.7">
      <c r="B237" s="23" t="s">
        <v>17</v>
      </c>
      <c r="E237" s="4">
        <f>'Composite Cost Allocation'!E110</f>
        <v>1986542.9326479128</v>
      </c>
      <c r="G237" s="4">
        <f>'Composite Cost Allocation'!G110</f>
        <v>2176849000</v>
      </c>
      <c r="I237" s="4">
        <f>'Composite Cost Allocation'!I110</f>
        <v>45335000</v>
      </c>
      <c r="L237" s="142"/>
    </row>
    <row r="238" spans="1:18" ht="15.5" x14ac:dyDescent="0.7">
      <c r="B238" s="63" t="s">
        <v>72</v>
      </c>
      <c r="E238" s="4">
        <f>'Composite Cost Allocation'!E111</f>
        <v>25810490</v>
      </c>
      <c r="H238" s="4">
        <f>'Composite Cost Allocation'!H111</f>
        <v>24685819.600000001</v>
      </c>
      <c r="L238" s="142"/>
    </row>
    <row r="239" spans="1:18" ht="15.5" x14ac:dyDescent="0.7">
      <c r="B239" s="63" t="s">
        <v>73</v>
      </c>
      <c r="E239" s="4">
        <f>'Composite Cost Allocation'!E112</f>
        <v>35535967.067352086</v>
      </c>
      <c r="H239" s="4">
        <f>'Composite Cost Allocation'!H112</f>
        <v>30791180.399999999</v>
      </c>
      <c r="L239" s="142"/>
    </row>
    <row r="240" spans="1:18" ht="15.5" x14ac:dyDescent="0.7">
      <c r="B240" s="73" t="s">
        <v>142</v>
      </c>
      <c r="F240" s="4">
        <f>'Composite Cost Allocation'!F113</f>
        <v>1972747000</v>
      </c>
      <c r="L240" s="142"/>
    </row>
    <row r="241" spans="1:14" ht="15.5" x14ac:dyDescent="0.7">
      <c r="B241" s="73" t="s">
        <v>144</v>
      </c>
      <c r="F241" s="4">
        <f>'Composite Cost Allocation'!F114</f>
        <v>2121317000</v>
      </c>
      <c r="L241" s="142"/>
    </row>
    <row r="242" spans="1:14" ht="15.5" x14ac:dyDescent="0.7">
      <c r="L242" s="142"/>
    </row>
    <row r="243" spans="1:14" ht="15.5" x14ac:dyDescent="0.7">
      <c r="B243" s="23" t="s">
        <v>18</v>
      </c>
      <c r="E243" s="4">
        <f>'Composite Cost Allocation'!E116</f>
        <v>4931842.1941814804</v>
      </c>
      <c r="F243" s="4">
        <f>'Composite Cost Allocation'!F116</f>
        <v>5568269000</v>
      </c>
      <c r="G243" s="4">
        <f>'Composite Cost Allocation'!G116</f>
        <v>3857947000</v>
      </c>
      <c r="I243" s="4">
        <f>'Composite Cost Allocation'!I116</f>
        <v>90653000</v>
      </c>
      <c r="L243" s="142"/>
    </row>
    <row r="244" spans="1:14" ht="15.5" x14ac:dyDescent="0.7">
      <c r="B244" s="63" t="s">
        <v>72</v>
      </c>
      <c r="E244" s="4">
        <f>'Composite Cost Allocation'!E117</f>
        <v>42195281.281316541</v>
      </c>
      <c r="H244" s="4">
        <f>'Composite Cost Allocation'!H117</f>
        <v>40633899.29999999</v>
      </c>
      <c r="L244" s="142"/>
    </row>
    <row r="245" spans="1:14" ht="15.5" x14ac:dyDescent="0.7">
      <c r="B245" s="63" t="s">
        <v>73</v>
      </c>
      <c r="E245" s="4">
        <f>'Composite Cost Allocation'!E118</f>
        <v>75291876.524501979</v>
      </c>
      <c r="H245" s="4">
        <f>'Composite Cost Allocation'!H118</f>
        <v>55495100.70000001</v>
      </c>
      <c r="L245" s="142"/>
    </row>
    <row r="246" spans="1:14" ht="15.5" x14ac:dyDescent="0.7">
      <c r="J246" s="2" t="s">
        <v>13</v>
      </c>
      <c r="K246" s="2"/>
      <c r="M246" s="222" t="s">
        <v>274</v>
      </c>
      <c r="N246" s="222" t="s">
        <v>275</v>
      </c>
    </row>
    <row r="247" spans="1:14" x14ac:dyDescent="0.6">
      <c r="B247" s="73" t="s">
        <v>162</v>
      </c>
      <c r="E247" s="4">
        <f>SUM(E237:E241)</f>
        <v>63333000</v>
      </c>
      <c r="F247" s="4">
        <f>SUM(F237:F241)</f>
        <v>4094064000</v>
      </c>
      <c r="G247" s="4">
        <f>SUM(G237:G241)</f>
        <v>2176849000</v>
      </c>
      <c r="H247" s="4">
        <f>SUM(H237:H241)</f>
        <v>55477000</v>
      </c>
      <c r="I247" s="4">
        <f>SUM(I237:I241)</f>
        <v>45335000</v>
      </c>
      <c r="J247" s="4">
        <f>SUM(E247:I247)</f>
        <v>6435058000</v>
      </c>
      <c r="K247" s="4"/>
      <c r="M247" s="237">
        <f>ROUND(J247*$E$95/1000,0)</f>
        <v>7194390</v>
      </c>
      <c r="N247" s="237">
        <f>ROUND(J247*$E$98/1000,0)</f>
        <v>7122868</v>
      </c>
    </row>
    <row r="248" spans="1:14" x14ac:dyDescent="0.6">
      <c r="B248" s="73" t="s">
        <v>163</v>
      </c>
      <c r="E248" s="116">
        <f>SUM(E243:E245)</f>
        <v>122419000</v>
      </c>
      <c r="F248" s="116">
        <f>SUM(F243:F245)</f>
        <v>5568269000</v>
      </c>
      <c r="G248" s="10">
        <f>SUM(G243:G245)</f>
        <v>3857947000</v>
      </c>
      <c r="H248" s="10">
        <f>SUM(H243:H245)</f>
        <v>96129000</v>
      </c>
      <c r="I248" s="10">
        <f>SUM(I243:I245)</f>
        <v>90653000</v>
      </c>
      <c r="J248" s="116">
        <f>SUM(E248:I248)</f>
        <v>9735417000</v>
      </c>
      <c r="K248" s="116"/>
      <c r="M248" s="237">
        <f>ROUND(J248*$E$95/1000,0)</f>
        <v>10884189</v>
      </c>
      <c r="N248" s="237">
        <f>ROUND(J248*$E$98/1000,0)</f>
        <v>10775985</v>
      </c>
    </row>
    <row r="249" spans="1:14" x14ac:dyDescent="0.6">
      <c r="B249" s="73" t="s">
        <v>164</v>
      </c>
      <c r="E249" s="4">
        <f>SUM(E247:E248)</f>
        <v>185752000</v>
      </c>
      <c r="F249" s="4">
        <f>SUM(F247:F248)</f>
        <v>9662333000</v>
      </c>
      <c r="G249" s="4">
        <f>SUM(G247:G248)</f>
        <v>6034796000</v>
      </c>
      <c r="H249" s="4">
        <f>SUM(H247:H248)</f>
        <v>151606000</v>
      </c>
      <c r="I249" s="4">
        <f>SUM(I247:I248)</f>
        <v>135988000</v>
      </c>
      <c r="J249" s="4">
        <f>SUM(E249:I249)</f>
        <v>16170475000</v>
      </c>
      <c r="K249" s="4"/>
      <c r="M249" s="238">
        <f>SUM(M247:M248)</f>
        <v>18078579</v>
      </c>
      <c r="N249" s="238">
        <f>SUM(N247:N248)</f>
        <v>17898853</v>
      </c>
    </row>
    <row r="250" spans="1:14" ht="15.5" x14ac:dyDescent="0.7">
      <c r="A250" s="7"/>
      <c r="B250" s="142"/>
      <c r="C250" s="142"/>
      <c r="D250" s="142"/>
      <c r="E250" s="142"/>
      <c r="F250" s="142"/>
      <c r="G250" s="142"/>
      <c r="H250" s="142"/>
      <c r="I250" s="142"/>
      <c r="J250" s="236" t="s">
        <v>251</v>
      </c>
      <c r="K250" s="236"/>
      <c r="L250" s="142"/>
    </row>
    <row r="251" spans="1:14" ht="15.5" x14ac:dyDescent="0.7">
      <c r="A251" s="7"/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</row>
    <row r="253" spans="1:14" x14ac:dyDescent="0.6">
      <c r="A253" s="6" t="s">
        <v>133</v>
      </c>
      <c r="B253" s="1" t="s">
        <v>168</v>
      </c>
    </row>
    <row r="254" spans="1:14" x14ac:dyDescent="0.6">
      <c r="A254" s="7"/>
      <c r="B254" s="1"/>
    </row>
    <row r="255" spans="1:14" x14ac:dyDescent="0.6">
      <c r="A255" s="7"/>
      <c r="C255" s="2"/>
      <c r="D255" s="2"/>
      <c r="E255" s="2" t="str">
        <f>+E$13</f>
        <v>RT{1}</v>
      </c>
      <c r="F255" s="2" t="str">
        <f>+F$13</f>
        <v>RS{2}</v>
      </c>
      <c r="G255" s="2" t="str">
        <f>+G$13</f>
        <v>GS{3}</v>
      </c>
      <c r="H255" s="133" t="str">
        <f>+H$58</f>
        <v>GST {4}</v>
      </c>
      <c r="I255" s="2" t="str">
        <f>+I$13</f>
        <v>OL/SL</v>
      </c>
      <c r="J255" s="2" t="s">
        <v>13</v>
      </c>
      <c r="K255" s="2"/>
      <c r="L255" s="2"/>
    </row>
    <row r="256" spans="1:14" x14ac:dyDescent="0.6">
      <c r="A256" s="7"/>
      <c r="B256" t="s">
        <v>134</v>
      </c>
    </row>
    <row r="257" spans="1:15" x14ac:dyDescent="0.6">
      <c r="A257" s="7"/>
      <c r="B257" s="23" t="s">
        <v>17</v>
      </c>
      <c r="C257" s="127"/>
      <c r="D257" s="127"/>
      <c r="E257" s="127">
        <f>+E211*E237/1000000</f>
        <v>164.37230929637803</v>
      </c>
      <c r="F257" s="127"/>
      <c r="G257" s="127">
        <f>+G211*G237/1000000</f>
        <v>178488.03804914962</v>
      </c>
      <c r="H257" s="122"/>
      <c r="I257" s="127">
        <f>+I211*I237/1000000</f>
        <v>3291.8289541820109</v>
      </c>
      <c r="J257" s="127"/>
      <c r="K257" s="127"/>
      <c r="L257" s="127"/>
    </row>
    <row r="258" spans="1:15" x14ac:dyDescent="0.6">
      <c r="A258" s="7"/>
      <c r="B258" s="63" t="s">
        <v>72</v>
      </c>
      <c r="C258" s="127"/>
      <c r="D258" s="127"/>
      <c r="E258" s="127">
        <f>+E212*E238/1000000</f>
        <v>2618.489708830693</v>
      </c>
      <c r="F258" s="127"/>
      <c r="G258" s="127"/>
      <c r="H258" s="127">
        <f>+H212*H238/1000000</f>
        <v>2318.492240761715</v>
      </c>
      <c r="I258" s="127"/>
      <c r="J258" s="127"/>
      <c r="K258" s="127"/>
      <c r="L258" s="127"/>
    </row>
    <row r="259" spans="1:15" x14ac:dyDescent="0.6">
      <c r="A259" s="7"/>
      <c r="B259" s="63" t="s">
        <v>73</v>
      </c>
      <c r="C259" s="127"/>
      <c r="D259" s="127"/>
      <c r="E259" s="127">
        <f>+E213*E239/1000000</f>
        <v>2457.5202812170801</v>
      </c>
      <c r="F259" s="127"/>
      <c r="G259" s="127"/>
      <c r="H259" s="127">
        <f>+H213*H239/1000000</f>
        <v>2114.418749654461</v>
      </c>
      <c r="I259" s="127"/>
      <c r="J259" s="127"/>
      <c r="K259" s="127"/>
      <c r="L259" s="3"/>
      <c r="M259" s="3"/>
      <c r="N259" s="3"/>
    </row>
    <row r="260" spans="1:15" x14ac:dyDescent="0.6">
      <c r="A260" s="7"/>
      <c r="B260" s="73" t="s">
        <v>142</v>
      </c>
      <c r="C260" s="127"/>
      <c r="D260" s="127"/>
      <c r="E260" s="127"/>
      <c r="F260" s="127">
        <f>+F214*F240/1000000</f>
        <v>156043.76682968653</v>
      </c>
      <c r="G260" s="127"/>
      <c r="H260" s="122"/>
      <c r="I260" s="127"/>
      <c r="J260" s="127"/>
      <c r="K260" s="127"/>
      <c r="L260" s="127"/>
      <c r="O260" s="3"/>
    </row>
    <row r="261" spans="1:15" x14ac:dyDescent="0.6">
      <c r="A261" s="7"/>
      <c r="B261" s="73" t="s">
        <v>144</v>
      </c>
      <c r="C261" s="127"/>
      <c r="D261" s="127"/>
      <c r="E261" s="127"/>
      <c r="F261" s="127">
        <f>+F215*F241/1000000</f>
        <v>186149.24928630335</v>
      </c>
      <c r="G261" s="127"/>
      <c r="H261" s="122"/>
      <c r="I261" s="127"/>
      <c r="J261" s="127"/>
      <c r="K261" s="127"/>
      <c r="L261" s="127"/>
    </row>
    <row r="262" spans="1:15" x14ac:dyDescent="0.6">
      <c r="A262" s="7"/>
      <c r="C262" s="127"/>
      <c r="D262" s="127"/>
      <c r="E262" s="127"/>
      <c r="F262" s="127"/>
      <c r="G262" s="127"/>
      <c r="H262" s="122"/>
      <c r="I262" s="127"/>
      <c r="J262" s="127"/>
      <c r="K262" s="127"/>
      <c r="L262" s="127"/>
    </row>
    <row r="263" spans="1:15" x14ac:dyDescent="0.6">
      <c r="A263" s="7"/>
      <c r="B263" s="23" t="s">
        <v>18</v>
      </c>
      <c r="C263" s="127"/>
      <c r="D263" s="127"/>
      <c r="E263" s="127">
        <f>+E217*E243/1000000</f>
        <v>416.86922824464949</v>
      </c>
      <c r="F263" s="127">
        <f>+F217*F243/1000000</f>
        <v>483938.16668338492</v>
      </c>
      <c r="G263" s="127">
        <f>+G217*G243/1000000</f>
        <v>317826.38904692844</v>
      </c>
      <c r="I263" s="127">
        <f>+I217*I243/1000000</f>
        <v>6938.9398814885599</v>
      </c>
      <c r="J263" s="127"/>
      <c r="K263" s="127"/>
      <c r="L263" s="127"/>
    </row>
    <row r="264" spans="1:15" x14ac:dyDescent="0.6">
      <c r="A264" s="7"/>
      <c r="B264" s="63" t="s">
        <v>72</v>
      </c>
      <c r="C264" s="127"/>
      <c r="D264" s="127"/>
      <c r="E264" s="127">
        <f>+E218*E244/1000000</f>
        <v>4153.8783359219406</v>
      </c>
      <c r="F264" s="3"/>
      <c r="G264" s="3"/>
      <c r="H264" s="127">
        <f>+H218*H244/1000000</f>
        <v>3639.5324014482699</v>
      </c>
      <c r="I264" s="3"/>
      <c r="J264" s="127"/>
      <c r="K264" s="127"/>
      <c r="L264" s="127"/>
    </row>
    <row r="265" spans="1:15" x14ac:dyDescent="0.6">
      <c r="A265" s="7"/>
      <c r="B265" s="63" t="s">
        <v>73</v>
      </c>
      <c r="C265" s="3"/>
      <c r="D265" s="3"/>
      <c r="E265" s="127">
        <f>+E219*E245/1000000</f>
        <v>5776.7765182802295</v>
      </c>
      <c r="H265" s="127">
        <f>+H219*H245/1000000</f>
        <v>4244.7221337604014</v>
      </c>
      <c r="J265" s="127"/>
      <c r="K265" s="127"/>
      <c r="L265" s="127"/>
    </row>
    <row r="266" spans="1:15" x14ac:dyDescent="0.6">
      <c r="A266" s="7"/>
      <c r="B266" s="5"/>
    </row>
    <row r="267" spans="1:15" x14ac:dyDescent="0.6">
      <c r="A267" s="7"/>
      <c r="B267" t="s">
        <v>135</v>
      </c>
    </row>
    <row r="268" spans="1:15" x14ac:dyDescent="0.6">
      <c r="A268" s="7"/>
      <c r="B268" s="5" t="s">
        <v>25</v>
      </c>
      <c r="E268" s="3">
        <f>SUM(E257:E261)</f>
        <v>5240.3822993441509</v>
      </c>
      <c r="F268" s="3">
        <f>SUM(F257:F261)</f>
        <v>342193.01611598989</v>
      </c>
      <c r="G268" s="3">
        <f>SUM(G257:G261)</f>
        <v>178488.03804914962</v>
      </c>
      <c r="H268" s="3">
        <f>SUM(H257:H261)</f>
        <v>4432.910990416176</v>
      </c>
      <c r="I268" s="3">
        <f>SUM(I257:I261)</f>
        <v>3291.8289541820109</v>
      </c>
      <c r="J268" s="129">
        <f>SUM(E268:I268)</f>
        <v>533646.17640908179</v>
      </c>
      <c r="K268" s="129"/>
    </row>
    <row r="269" spans="1:15" x14ac:dyDescent="0.6">
      <c r="A269" s="7"/>
      <c r="B269" s="5" t="s">
        <v>26</v>
      </c>
      <c r="E269" s="3">
        <f>SUM(E263:E265)</f>
        <v>10347.52408244682</v>
      </c>
      <c r="F269" s="3">
        <f>SUM(F263:F265)</f>
        <v>483938.16668338492</v>
      </c>
      <c r="G269" s="3">
        <f>SUM(G263:G265)</f>
        <v>317826.38904692844</v>
      </c>
      <c r="H269" s="3">
        <f>SUM(H263:H265)</f>
        <v>7884.2545352086709</v>
      </c>
      <c r="I269" s="3">
        <f>SUM(I263:I265)</f>
        <v>6938.9398814885599</v>
      </c>
      <c r="J269" s="129">
        <f>SUM(E269:I269)</f>
        <v>826935.27422945749</v>
      </c>
      <c r="K269" s="129"/>
    </row>
    <row r="270" spans="1:15" x14ac:dyDescent="0.6">
      <c r="A270" s="7"/>
      <c r="B270" s="5" t="s">
        <v>13</v>
      </c>
      <c r="E270" s="3">
        <f>SUM(E268:E269)</f>
        <v>15587.90638179097</v>
      </c>
      <c r="F270" s="3">
        <f>SUM(F268:F269)</f>
        <v>826131.1827993748</v>
      </c>
      <c r="G270" s="3">
        <f>SUM(G268:G269)</f>
        <v>496314.42709607806</v>
      </c>
      <c r="H270" s="3">
        <f>SUM(H268:H269)</f>
        <v>12317.165525624847</v>
      </c>
      <c r="I270" s="3">
        <f>SUM(I268:I269)</f>
        <v>10230.768835670571</v>
      </c>
      <c r="J270" s="3">
        <f>SUM(E270:I270)</f>
        <v>1360581.4506385392</v>
      </c>
      <c r="K270" s="3"/>
    </row>
    <row r="271" spans="1:15" x14ac:dyDescent="0.6">
      <c r="A271" s="7"/>
    </row>
    <row r="272" spans="1:15" x14ac:dyDescent="0.6">
      <c r="A272" s="7"/>
      <c r="B272" t="s">
        <v>136</v>
      </c>
    </row>
    <row r="273" spans="1:14" x14ac:dyDescent="0.6">
      <c r="A273" s="7"/>
      <c r="B273" s="5" t="s">
        <v>25</v>
      </c>
      <c r="E273" s="128">
        <f t="shared" ref="E273:J273" si="30">+E268/E270</f>
        <v>0.33618256172398553</v>
      </c>
      <c r="F273" s="128">
        <f t="shared" si="30"/>
        <v>0.41421147541781045</v>
      </c>
      <c r="G273" s="128">
        <f t="shared" si="30"/>
        <v>0.3596269386998846</v>
      </c>
      <c r="H273" s="128">
        <f t="shared" si="30"/>
        <v>0.35989700562145327</v>
      </c>
      <c r="I273" s="128">
        <f t="shared" si="30"/>
        <v>0.32175772975191552</v>
      </c>
      <c r="J273" s="128">
        <f t="shared" si="30"/>
        <v>0.39221920610385691</v>
      </c>
      <c r="K273" s="128"/>
    </row>
    <row r="274" spans="1:14" x14ac:dyDescent="0.6">
      <c r="A274" s="7"/>
      <c r="B274" s="5" t="s">
        <v>26</v>
      </c>
      <c r="E274" s="128">
        <f t="shared" ref="E274:J274" si="31">+E269/E270</f>
        <v>0.66381743827601447</v>
      </c>
      <c r="F274" s="128">
        <f t="shared" si="31"/>
        <v>0.58578852458218955</v>
      </c>
      <c r="G274" s="128">
        <f t="shared" si="31"/>
        <v>0.6403730613001154</v>
      </c>
      <c r="H274" s="128">
        <f t="shared" si="31"/>
        <v>0.64010299437854667</v>
      </c>
      <c r="I274" s="128">
        <f t="shared" si="31"/>
        <v>0.67824227024808448</v>
      </c>
      <c r="J274" s="128">
        <f t="shared" si="31"/>
        <v>0.60778079389614315</v>
      </c>
      <c r="K274" s="128"/>
    </row>
    <row r="275" spans="1:14" x14ac:dyDescent="0.6">
      <c r="A275" s="7"/>
      <c r="B275" s="5"/>
      <c r="E275" s="128"/>
      <c r="F275" s="128"/>
      <c r="G275" s="128"/>
      <c r="H275" s="128"/>
      <c r="I275" s="128"/>
      <c r="J275" s="128"/>
      <c r="K275" s="128"/>
    </row>
    <row r="276" spans="1:14" ht="15.5" x14ac:dyDescent="0.7">
      <c r="A276" s="7"/>
      <c r="B276" s="570" t="str">
        <f>$B$1</f>
        <v xml:space="preserve">Jersey Central Power &amp; Light </v>
      </c>
      <c r="C276" s="570"/>
      <c r="D276" s="570"/>
      <c r="E276" s="570"/>
      <c r="F276" s="570"/>
      <c r="G276" s="570"/>
      <c r="H276" s="570"/>
      <c r="I276" s="570"/>
      <c r="J276" s="570"/>
      <c r="K276" s="570"/>
      <c r="L276" s="570"/>
    </row>
    <row r="277" spans="1:14" ht="15.5" x14ac:dyDescent="0.7">
      <c r="A277" s="7"/>
      <c r="B277" s="570" t="str">
        <f>$B$2</f>
        <v>Attachment 2</v>
      </c>
      <c r="C277" s="570"/>
      <c r="D277" s="570"/>
      <c r="E277" s="570"/>
      <c r="F277" s="570"/>
      <c r="G277" s="570"/>
      <c r="H277" s="570"/>
      <c r="I277" s="570"/>
      <c r="J277" s="570"/>
      <c r="K277" s="570"/>
      <c r="L277" s="570"/>
    </row>
    <row r="280" spans="1:14" x14ac:dyDescent="0.6">
      <c r="A280" s="6" t="s">
        <v>243</v>
      </c>
      <c r="C280" s="148" t="s">
        <v>458</v>
      </c>
      <c r="D280" s="197"/>
      <c r="E280" s="197"/>
    </row>
    <row r="282" spans="1:14" x14ac:dyDescent="0.6">
      <c r="A282"/>
    </row>
    <row r="283" spans="1:14" x14ac:dyDescent="0.6">
      <c r="A283"/>
    </row>
    <row r="284" spans="1:14" x14ac:dyDescent="0.6">
      <c r="A284" s="6" t="s">
        <v>241</v>
      </c>
      <c r="B284" s="1" t="s">
        <v>244</v>
      </c>
      <c r="G284" s="3"/>
    </row>
    <row r="285" spans="1:14" x14ac:dyDescent="0.6">
      <c r="A285" s="7"/>
      <c r="C285" s="60"/>
      <c r="D285" s="60"/>
    </row>
    <row r="286" spans="1:14" x14ac:dyDescent="0.6">
      <c r="A286" s="7"/>
      <c r="B286" s="1" t="s">
        <v>102</v>
      </c>
      <c r="C286" s="60"/>
      <c r="D286" s="60"/>
    </row>
    <row r="287" spans="1:14" x14ac:dyDescent="0.6">
      <c r="A287" s="7"/>
      <c r="B287" s="73" t="s">
        <v>103</v>
      </c>
      <c r="C287" s="122">
        <f>(+SUMPRODUCT(C221:I221,C72:I72))/1000</f>
        <v>1360581.4992466045</v>
      </c>
    </row>
    <row r="288" spans="1:14" x14ac:dyDescent="0.6">
      <c r="A288" s="7"/>
      <c r="C288" s="73" t="s">
        <v>104</v>
      </c>
      <c r="D288" s="123">
        <f>+C287/SUMPRODUCT(E72:I72,E95:I95)*1000</f>
        <v>75.259318288956976</v>
      </c>
      <c r="E288" t="s">
        <v>105</v>
      </c>
      <c r="M288" s="231" t="s">
        <v>266</v>
      </c>
      <c r="N288" s="232">
        <f>C287/SUMPRODUCT(E72:I72,E98:I98)*1000</f>
        <v>76.015008578800149</v>
      </c>
    </row>
    <row r="289" spans="1:21" x14ac:dyDescent="0.6">
      <c r="A289" s="7"/>
      <c r="O289" s="231" t="s">
        <v>264</v>
      </c>
      <c r="P289" s="231"/>
      <c r="Q289" s="231"/>
      <c r="R289" s="231"/>
    </row>
    <row r="290" spans="1:21" x14ac:dyDescent="0.6">
      <c r="A290" s="7"/>
      <c r="C290" s="73"/>
      <c r="D290" s="223"/>
      <c r="I290" t="s">
        <v>251</v>
      </c>
    </row>
    <row r="291" spans="1:21" x14ac:dyDescent="0.6">
      <c r="A291" s="6" t="s">
        <v>242</v>
      </c>
      <c r="B291" s="1" t="s">
        <v>219</v>
      </c>
      <c r="C291" s="73"/>
      <c r="D291" s="210"/>
    </row>
    <row r="292" spans="1:21" x14ac:dyDescent="0.6">
      <c r="A292" s="7"/>
    </row>
    <row r="293" spans="1:21" x14ac:dyDescent="0.6">
      <c r="A293" s="7"/>
      <c r="B293" t="s">
        <v>273</v>
      </c>
      <c r="G293" s="208" t="s">
        <v>176</v>
      </c>
      <c r="H293" s="10"/>
      <c r="I293" s="10"/>
      <c r="J293" s="10"/>
      <c r="K293" s="10"/>
      <c r="M293" t="s">
        <v>272</v>
      </c>
    </row>
    <row r="294" spans="1:21" x14ac:dyDescent="0.6">
      <c r="A294" s="7"/>
      <c r="B294" s="5" t="s">
        <v>25</v>
      </c>
      <c r="C294" s="120">
        <f>+J268/SUMPRODUCT(Q64:U64,E$95:I$95)*1000</f>
        <v>74.17532067620607</v>
      </c>
      <c r="D294" t="s">
        <v>137</v>
      </c>
      <c r="H294" s="2" t="s">
        <v>25</v>
      </c>
      <c r="I294" s="209">
        <f>ROUND(C294/$D$288,4)</f>
        <v>0.98560000000000003</v>
      </c>
      <c r="M294" s="200" t="s">
        <v>25</v>
      </c>
      <c r="N294" s="201">
        <f>J268/SUMPRODUCT(Q64:U64,E$98:I$98)*1000</f>
        <v>74.920126380740825</v>
      </c>
      <c r="R294" s="208" t="s">
        <v>176</v>
      </c>
      <c r="S294" s="10"/>
      <c r="T294" s="10"/>
      <c r="U294" s="10"/>
    </row>
    <row r="295" spans="1:21" x14ac:dyDescent="0.6">
      <c r="A295" s="7"/>
      <c r="B295" s="5" t="s">
        <v>26</v>
      </c>
      <c r="C295" s="120">
        <f>+J269/SUMPRODUCT(Q60:U60,E$95:I$95)*1000</f>
        <v>75.97583038414372</v>
      </c>
      <c r="D295" t="s">
        <v>137</v>
      </c>
      <c r="H295" s="2" t="s">
        <v>26</v>
      </c>
      <c r="I295" s="209">
        <f>ROUND(C295/$D$288,4)</f>
        <v>1.0095000000000001</v>
      </c>
      <c r="M295" s="200" t="s">
        <v>26</v>
      </c>
      <c r="N295" s="201">
        <f>J269/SUMPRODUCT(Q60:U60,E$98:I$98)*1000</f>
        <v>76.738715281182394</v>
      </c>
      <c r="O295" s="199" t="s">
        <v>265</v>
      </c>
      <c r="P295" s="199"/>
      <c r="Q295" s="207"/>
      <c r="S295" s="202" t="s">
        <v>25</v>
      </c>
      <c r="T295" s="203">
        <f>ROUND(N294/N288,4)</f>
        <v>0.98560000000000003</v>
      </c>
    </row>
    <row r="296" spans="1:21" x14ac:dyDescent="0.6">
      <c r="A296" s="7"/>
      <c r="O296" s="199" t="s">
        <v>265</v>
      </c>
      <c r="P296" s="199"/>
      <c r="Q296" s="207"/>
      <c r="S296" s="202" t="s">
        <v>26</v>
      </c>
      <c r="T296" s="203">
        <f>ROUND(N295/N288,4)</f>
        <v>1.0095000000000001</v>
      </c>
    </row>
    <row r="297" spans="1:21" x14ac:dyDescent="0.6">
      <c r="A297" s="7"/>
      <c r="G297" s="208" t="s">
        <v>312</v>
      </c>
    </row>
    <row r="298" spans="1:21" x14ac:dyDescent="0.6">
      <c r="A298" s="7"/>
      <c r="E298" s="115"/>
      <c r="F298" s="4"/>
      <c r="H298" s="2" t="s">
        <v>25</v>
      </c>
      <c r="I298" s="335">
        <f>IF(I295&gt;I294,1,I294)</f>
        <v>1</v>
      </c>
    </row>
    <row r="299" spans="1:21" x14ac:dyDescent="0.6">
      <c r="A299" s="1" t="s">
        <v>108</v>
      </c>
      <c r="E299" s="81"/>
      <c r="F299" s="84"/>
      <c r="H299" s="2" t="s">
        <v>26</v>
      </c>
      <c r="I299" s="335">
        <f>IF(I295&gt;I294,1,I295)</f>
        <v>1</v>
      </c>
    </row>
    <row r="300" spans="1:21" x14ac:dyDescent="0.6">
      <c r="A300" s="7"/>
      <c r="B300" s="73" t="s">
        <v>132</v>
      </c>
      <c r="C300" s="85">
        <f>D173</f>
        <v>53.76</v>
      </c>
      <c r="D300" s="77" t="s">
        <v>160</v>
      </c>
      <c r="E300" s="81"/>
      <c r="F300" s="84"/>
    </row>
    <row r="301" spans="1:21" x14ac:dyDescent="0.6">
      <c r="A301" s="7"/>
      <c r="B301" s="73"/>
      <c r="C301" s="85">
        <f>D174</f>
        <v>53.76</v>
      </c>
      <c r="D301" s="77" t="s">
        <v>161</v>
      </c>
      <c r="E301" s="81"/>
      <c r="F301" s="84"/>
    </row>
    <row r="302" spans="1:21" x14ac:dyDescent="0.6">
      <c r="A302" s="7"/>
      <c r="B302" s="73" t="s">
        <v>159</v>
      </c>
      <c r="C302" s="440" t="s">
        <v>357</v>
      </c>
      <c r="D302" s="77"/>
      <c r="E302" s="81"/>
      <c r="F302" s="84"/>
    </row>
    <row r="303" spans="1:21" x14ac:dyDescent="0.6">
      <c r="A303" s="7"/>
      <c r="B303" s="73" t="s">
        <v>109</v>
      </c>
      <c r="C303" s="126">
        <f>+H168</f>
        <v>4</v>
      </c>
      <c r="D303" t="s">
        <v>110</v>
      </c>
      <c r="E303" s="81"/>
      <c r="F303" s="84"/>
    </row>
    <row r="304" spans="1:21" x14ac:dyDescent="0.6">
      <c r="A304" s="7"/>
      <c r="B304" s="73"/>
      <c r="C304" s="126">
        <f>+H169</f>
        <v>8</v>
      </c>
      <c r="D304" t="s">
        <v>111</v>
      </c>
      <c r="E304" s="81"/>
      <c r="F304" s="84"/>
    </row>
    <row r="305" spans="1:13" x14ac:dyDescent="0.6">
      <c r="A305" s="7"/>
      <c r="B305" s="306" t="s">
        <v>315</v>
      </c>
      <c r="C305" s="85">
        <f>+F187</f>
        <v>24.64</v>
      </c>
      <c r="D305" t="s">
        <v>113</v>
      </c>
      <c r="E305" s="81"/>
      <c r="F305" s="84"/>
    </row>
    <row r="306" spans="1:13" x14ac:dyDescent="0.6">
      <c r="A306" s="7"/>
      <c r="B306" s="73" t="s">
        <v>114</v>
      </c>
      <c r="C306" s="273" t="s">
        <v>489</v>
      </c>
      <c r="E306" s="81"/>
      <c r="F306" s="84"/>
      <c r="M306" s="273" t="s">
        <v>251</v>
      </c>
    </row>
    <row r="307" spans="1:13" x14ac:dyDescent="0.6">
      <c r="A307" s="7"/>
      <c r="B307" s="73" t="s">
        <v>115</v>
      </c>
      <c r="C307" s="346" t="s">
        <v>488</v>
      </c>
      <c r="E307" s="81"/>
      <c r="F307" s="84"/>
    </row>
    <row r="308" spans="1:13" x14ac:dyDescent="0.6">
      <c r="A308" s="7"/>
      <c r="B308" s="73"/>
      <c r="C308" s="346" t="s">
        <v>456</v>
      </c>
      <c r="E308" s="81"/>
      <c r="F308" s="84"/>
    </row>
    <row r="309" spans="1:13" x14ac:dyDescent="0.6">
      <c r="A309" s="7"/>
      <c r="B309" s="73" t="s">
        <v>116</v>
      </c>
      <c r="C309" s="273" t="s">
        <v>457</v>
      </c>
      <c r="E309" s="81"/>
      <c r="F309" s="84"/>
    </row>
    <row r="310" spans="1:13" x14ac:dyDescent="0.6">
      <c r="A310" s="7"/>
      <c r="B310" s="73" t="s">
        <v>270</v>
      </c>
      <c r="C310" t="s">
        <v>271</v>
      </c>
      <c r="E310" s="81"/>
      <c r="F310" s="84"/>
    </row>
    <row r="311" spans="1:13" x14ac:dyDescent="0.6">
      <c r="A311" s="7"/>
      <c r="B311" s="73" t="s">
        <v>267</v>
      </c>
      <c r="C311" t="s">
        <v>268</v>
      </c>
      <c r="E311" s="81"/>
      <c r="F311" s="84"/>
    </row>
    <row r="312" spans="1:13" x14ac:dyDescent="0.6">
      <c r="A312" s="7"/>
      <c r="B312" s="73" t="s">
        <v>118</v>
      </c>
      <c r="C312" t="s">
        <v>214</v>
      </c>
      <c r="E312" s="83"/>
      <c r="F312" s="84"/>
    </row>
    <row r="313" spans="1:13" x14ac:dyDescent="0.6">
      <c r="C313" t="s">
        <v>119</v>
      </c>
      <c r="E313" s="81"/>
      <c r="F313" s="84"/>
    </row>
    <row r="314" spans="1:13" x14ac:dyDescent="0.6">
      <c r="B314" s="73" t="s">
        <v>120</v>
      </c>
      <c r="C314" s="86" t="s">
        <v>189</v>
      </c>
      <c r="E314" s="81"/>
      <c r="F314" s="84"/>
    </row>
    <row r="315" spans="1:13" x14ac:dyDescent="0.6">
      <c r="A315" s="7"/>
      <c r="C315" s="86" t="s">
        <v>121</v>
      </c>
      <c r="E315" s="82"/>
    </row>
    <row r="316" spans="1:13" x14ac:dyDescent="0.6">
      <c r="C316" s="86" t="s">
        <v>188</v>
      </c>
    </row>
    <row r="317" spans="1:13" x14ac:dyDescent="0.6">
      <c r="A317" s="7"/>
      <c r="B317" s="306" t="s">
        <v>318</v>
      </c>
      <c r="C317" s="362" t="s">
        <v>319</v>
      </c>
      <c r="E317" s="115"/>
      <c r="F317" s="4"/>
    </row>
    <row r="318" spans="1:13" x14ac:dyDescent="0.6">
      <c r="A318" s="7"/>
      <c r="B318" s="342" t="s">
        <v>251</v>
      </c>
      <c r="C318" s="9"/>
      <c r="E318" s="115"/>
      <c r="F318" s="115"/>
    </row>
  </sheetData>
  <mergeCells count="17">
    <mergeCell ref="M30:N30"/>
    <mergeCell ref="B276:L276"/>
    <mergeCell ref="B277:L277"/>
    <mergeCell ref="B3:L3"/>
    <mergeCell ref="B230:L230"/>
    <mergeCell ref="B231:L231"/>
    <mergeCell ref="B103:L103"/>
    <mergeCell ref="B104:L104"/>
    <mergeCell ref="B143:L143"/>
    <mergeCell ref="B144:L144"/>
    <mergeCell ref="B200:L200"/>
    <mergeCell ref="B201:L201"/>
    <mergeCell ref="B1:L1"/>
    <mergeCell ref="B2:L2"/>
    <mergeCell ref="B52:L52"/>
    <mergeCell ref="B53:L53"/>
    <mergeCell ref="B5:L5"/>
  </mergeCells>
  <phoneticPr fontId="34" type="noConversion"/>
  <pageMargins left="0.97" right="0.79" top="0.69" bottom="0.69" header="0.33" footer="0.5"/>
  <pageSetup scale="66" fitToHeight="0" orientation="landscape" r:id="rId1"/>
  <headerFooter alignWithMargins="0">
    <oddFooter>&amp;L&amp;F    &amp;A&amp;CPage &amp;P of &amp;N&amp;R&amp;D</oddFooter>
  </headerFooter>
  <rowBreaks count="6" manualBreakCount="6">
    <brk id="51" max="11" man="1"/>
    <brk id="102" max="11" man="1"/>
    <brk id="142" max="11" man="1"/>
    <brk id="198" max="11" man="1"/>
    <brk id="229" max="11" man="1"/>
    <brk id="275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F188"/>
  <sheetViews>
    <sheetView view="pageBreakPreview" zoomScaleNormal="88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1.90625" customWidth="1"/>
    <col min="4" max="4" width="9.54296875" customWidth="1"/>
    <col min="5" max="5" width="14.453125" customWidth="1"/>
    <col min="6" max="6" width="15" customWidth="1"/>
    <col min="7" max="7" width="15.1796875" customWidth="1"/>
    <col min="8" max="8" width="16.1796875" customWidth="1"/>
    <col min="9" max="9" width="14.08984375" customWidth="1"/>
    <col min="10" max="10" width="20.6328125" customWidth="1"/>
    <col min="11" max="11" width="3.08984375" hidden="1" customWidth="1"/>
    <col min="12" max="12" width="5.54296875" hidden="1" customWidth="1"/>
    <col min="13" max="14" width="4.54296875" hidden="1" customWidth="1"/>
    <col min="15" max="15" width="20.1796875" hidden="1" customWidth="1"/>
    <col min="16" max="16" width="21.453125" hidden="1" customWidth="1"/>
    <col min="17" max="17" width="18.26953125" hidden="1" customWidth="1"/>
    <col min="18" max="19" width="13.6328125" hidden="1" customWidth="1"/>
    <col min="20" max="20" width="14.1796875" hidden="1" customWidth="1"/>
    <col min="21" max="21" width="14.08984375" hidden="1" customWidth="1"/>
    <col min="22" max="22" width="13.6328125" customWidth="1"/>
    <col min="23" max="23" width="14.90625" bestFit="1" customWidth="1"/>
    <col min="24" max="24" width="17.90625" customWidth="1"/>
    <col min="25" max="25" width="16.453125" bestFit="1" customWidth="1"/>
    <col min="26" max="26" width="14.08984375" customWidth="1"/>
    <col min="27" max="27" width="13.6328125" customWidth="1"/>
    <col min="28" max="28" width="13.54296875" customWidth="1"/>
    <col min="29" max="29" width="13.6328125" customWidth="1"/>
    <col min="30" max="30" width="17.54296875" customWidth="1"/>
    <col min="31" max="31" width="16.6328125" customWidth="1"/>
    <col min="32" max="32" width="14.453125" customWidth="1"/>
  </cols>
  <sheetData>
    <row r="1" spans="1:16" ht="15.5" x14ac:dyDescent="0.7">
      <c r="B1" s="570" t="s">
        <v>69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</row>
    <row r="2" spans="1:16" ht="15.5" x14ac:dyDescent="0.7">
      <c r="B2" s="570" t="s">
        <v>187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</row>
    <row r="3" spans="1:16" ht="15.5" x14ac:dyDescent="0.7">
      <c r="B3" s="570" t="str">
        <f>'BGS PTY23 Cost Alloc'!$B$3</f>
        <v>2025 BGS Auction Cost and Bid Factor Tables</v>
      </c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</row>
    <row r="4" spans="1:16" ht="3.5" customHeight="1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6" ht="15.5" x14ac:dyDescent="0.7">
      <c r="B5" s="570" t="s">
        <v>310</v>
      </c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</row>
    <row r="6" spans="1:16" ht="4" customHeight="1" x14ac:dyDescent="0.6">
      <c r="N6" s="102" t="s">
        <v>251</v>
      </c>
    </row>
    <row r="7" spans="1:16" x14ac:dyDescent="0.6">
      <c r="A7" s="6" t="s">
        <v>252</v>
      </c>
      <c r="B7" s="148" t="s">
        <v>426</v>
      </c>
      <c r="C7" s="17"/>
      <c r="E7" s="141" t="s">
        <v>282</v>
      </c>
      <c r="F7" s="257">
        <v>15</v>
      </c>
      <c r="G7" s="1"/>
      <c r="P7" s="244" t="s">
        <v>251</v>
      </c>
    </row>
    <row r="8" spans="1:16" ht="14.25" customHeight="1" x14ac:dyDescent="0.6">
      <c r="A8" s="7"/>
      <c r="B8" t="s">
        <v>237</v>
      </c>
      <c r="C8" s="19"/>
      <c r="D8" s="19"/>
      <c r="M8" s="19"/>
      <c r="N8" s="19"/>
    </row>
    <row r="9" spans="1:16" ht="7.5" customHeight="1" x14ac:dyDescent="0.6">
      <c r="A9" s="7"/>
    </row>
    <row r="10" spans="1:16" x14ac:dyDescent="0.6">
      <c r="A10" s="7"/>
      <c r="B10" t="s">
        <v>134</v>
      </c>
      <c r="E10" s="2" t="s">
        <v>61</v>
      </c>
      <c r="F10" s="2" t="s">
        <v>62</v>
      </c>
      <c r="G10" s="2" t="s">
        <v>65</v>
      </c>
      <c r="H10" s="2" t="s">
        <v>203</v>
      </c>
      <c r="I10" s="2" t="s">
        <v>55</v>
      </c>
      <c r="M10" s="25"/>
      <c r="N10" s="25"/>
    </row>
    <row r="11" spans="1:16" x14ac:dyDescent="0.6">
      <c r="A11" s="7"/>
      <c r="B11" s="23" t="s">
        <v>17</v>
      </c>
      <c r="C11" s="127"/>
      <c r="D11" s="127"/>
      <c r="E11" s="127">
        <f>'BGS PTY21 Cost Alloc'!E265</f>
        <v>208.94863932857305</v>
      </c>
      <c r="F11" s="127"/>
      <c r="G11" s="127">
        <f>'BGS PTY21 Cost Alloc'!G265</f>
        <v>230931.24489634263</v>
      </c>
      <c r="H11" s="122"/>
      <c r="I11" s="127">
        <f>'BGS PTY21 Cost Alloc'!I265</f>
        <v>3786.7945048228939</v>
      </c>
      <c r="J11" s="127"/>
      <c r="K11" s="127"/>
      <c r="L11" s="127"/>
      <c r="M11" s="25"/>
      <c r="N11" s="25"/>
    </row>
    <row r="12" spans="1:16" x14ac:dyDescent="0.6">
      <c r="A12" s="7"/>
      <c r="B12" s="63" t="s">
        <v>72</v>
      </c>
      <c r="C12" s="127"/>
      <c r="D12" s="127"/>
      <c r="E12" s="127">
        <f>'BGS PTY21 Cost Alloc'!E266</f>
        <v>3920.6764550205298</v>
      </c>
      <c r="F12" s="127"/>
      <c r="G12" s="127"/>
      <c r="H12" s="127">
        <f>'BGS PTY21 Cost Alloc'!H266</f>
        <v>3517.8946011400049</v>
      </c>
      <c r="I12" s="127"/>
      <c r="J12" s="127"/>
      <c r="K12" s="127"/>
      <c r="L12" s="127"/>
      <c r="M12" s="25"/>
      <c r="N12" s="25"/>
    </row>
    <row r="13" spans="1:16" x14ac:dyDescent="0.6">
      <c r="A13" s="7"/>
      <c r="B13" s="63" t="s">
        <v>73</v>
      </c>
      <c r="C13" s="127"/>
      <c r="D13" s="127"/>
      <c r="E13" s="127">
        <f>'BGS PTY21 Cost Alloc'!E267</f>
        <v>2531.9611284747148</v>
      </c>
      <c r="F13" s="127"/>
      <c r="G13" s="127"/>
      <c r="H13" s="127">
        <f>'BGS PTY21 Cost Alloc'!H267</f>
        <v>2214.0484661082232</v>
      </c>
      <c r="I13" s="127"/>
      <c r="J13" s="127"/>
      <c r="K13" s="127"/>
      <c r="L13" s="127"/>
      <c r="M13" s="25"/>
      <c r="N13" s="25"/>
    </row>
    <row r="14" spans="1:16" x14ac:dyDescent="0.6">
      <c r="A14" s="7"/>
      <c r="B14" s="73" t="s">
        <v>142</v>
      </c>
      <c r="C14" s="127"/>
      <c r="D14" s="127"/>
      <c r="E14" s="127"/>
      <c r="F14" s="127">
        <f>'BGS PTY21 Cost Alloc'!F268</f>
        <v>200758.49447061837</v>
      </c>
      <c r="G14" s="127"/>
      <c r="H14" s="122"/>
      <c r="I14" s="127"/>
      <c r="J14" s="127"/>
      <c r="K14" s="127"/>
      <c r="L14" s="127"/>
      <c r="M14" s="25"/>
      <c r="N14" s="25"/>
    </row>
    <row r="15" spans="1:16" x14ac:dyDescent="0.6">
      <c r="A15" s="7"/>
      <c r="B15" s="73" t="s">
        <v>144</v>
      </c>
      <c r="C15" s="127"/>
      <c r="D15" s="127"/>
      <c r="E15" s="127"/>
      <c r="F15" s="127">
        <f>'BGS PTY21 Cost Alloc'!F269</f>
        <v>234231.49799588375</v>
      </c>
      <c r="G15" s="127"/>
      <c r="H15" s="122"/>
      <c r="I15" s="127"/>
      <c r="J15" s="127"/>
      <c r="K15" s="127"/>
      <c r="L15" s="127"/>
      <c r="M15" s="25"/>
      <c r="N15" s="25"/>
    </row>
    <row r="16" spans="1:16" x14ac:dyDescent="0.6">
      <c r="A16" s="7"/>
      <c r="C16" s="127"/>
      <c r="D16" s="127"/>
      <c r="E16" s="127"/>
      <c r="F16" s="127"/>
      <c r="G16" s="127"/>
      <c r="H16" s="122"/>
      <c r="I16" s="127"/>
      <c r="J16" s="127"/>
      <c r="K16" s="127"/>
      <c r="L16" s="127"/>
      <c r="M16" s="25"/>
      <c r="N16" s="25"/>
    </row>
    <row r="17" spans="1:16" x14ac:dyDescent="0.6">
      <c r="A17" s="7"/>
      <c r="B17" s="23" t="s">
        <v>18</v>
      </c>
      <c r="C17" s="127"/>
      <c r="D17" s="127"/>
      <c r="E17" s="127">
        <f>'BGS PTY21 Cost Alloc'!E271</f>
        <v>513.12791534285486</v>
      </c>
      <c r="F17" s="127">
        <f>'BGS PTY21 Cost Alloc'!F271</f>
        <v>601040.1345594757</v>
      </c>
      <c r="G17" s="127">
        <f>'BGS PTY21 Cost Alloc'!G271</f>
        <v>400518.70125998143</v>
      </c>
      <c r="I17" s="127">
        <f>'BGS PTY21 Cost Alloc'!I271</f>
        <v>7731.3890356143274</v>
      </c>
      <c r="J17" s="127"/>
      <c r="K17" s="127"/>
      <c r="L17" s="127"/>
      <c r="M17" s="25"/>
      <c r="N17" s="25"/>
    </row>
    <row r="18" spans="1:16" x14ac:dyDescent="0.6">
      <c r="A18" s="7"/>
      <c r="B18" s="63" t="s">
        <v>72</v>
      </c>
      <c r="C18" s="127"/>
      <c r="D18" s="127"/>
      <c r="E18" s="127">
        <f>'BGS PTY21 Cost Alloc'!E272</f>
        <v>6536.7431037410306</v>
      </c>
      <c r="F18" s="3"/>
      <c r="G18" s="3"/>
      <c r="H18" s="127">
        <f>'BGS PTY21 Cost Alloc'!H272</f>
        <v>5718.4051958353148</v>
      </c>
      <c r="I18" s="3"/>
      <c r="J18" s="127"/>
      <c r="K18" s="127"/>
      <c r="L18" s="127"/>
      <c r="M18" s="25"/>
      <c r="N18" s="25"/>
    </row>
    <row r="19" spans="1:16" x14ac:dyDescent="0.6">
      <c r="A19" s="7"/>
      <c r="B19" s="63" t="s">
        <v>73</v>
      </c>
      <c r="C19" s="3"/>
      <c r="D19" s="3"/>
      <c r="E19" s="127">
        <f>'BGS PTY21 Cost Alloc'!E273</f>
        <v>5686.7162213339861</v>
      </c>
      <c r="H19" s="127">
        <f>'BGS PTY21 Cost Alloc'!H273</f>
        <v>4183.0132759449789</v>
      </c>
      <c r="J19" s="127"/>
      <c r="K19" s="127"/>
      <c r="L19" s="127"/>
      <c r="M19" s="25"/>
      <c r="N19" s="25"/>
    </row>
    <row r="20" spans="1:16" x14ac:dyDescent="0.6">
      <c r="A20" s="7"/>
      <c r="B20" s="5"/>
      <c r="M20" s="25"/>
      <c r="N20" s="25"/>
    </row>
    <row r="21" spans="1:16" x14ac:dyDescent="0.6">
      <c r="A21" s="7"/>
      <c r="B21" t="s">
        <v>135</v>
      </c>
      <c r="M21" s="25"/>
      <c r="N21" s="25"/>
    </row>
    <row r="22" spans="1:16" x14ac:dyDescent="0.6">
      <c r="A22" s="7"/>
      <c r="B22" s="5" t="s">
        <v>25</v>
      </c>
      <c r="E22" s="3">
        <f>SUM(E11:E15)</f>
        <v>6661.5862228238184</v>
      </c>
      <c r="F22" s="3">
        <f>SUM(F11:F15)</f>
        <v>434989.99246650212</v>
      </c>
      <c r="G22" s="3">
        <f>SUM(G11:G15)</f>
        <v>230931.24489634263</v>
      </c>
      <c r="H22" s="3">
        <f>SUM(H11:H15)</f>
        <v>5731.9430672482285</v>
      </c>
      <c r="I22" s="3">
        <f>SUM(I11:I15)</f>
        <v>3786.7945048228939</v>
      </c>
      <c r="J22" s="129">
        <f>SUM(E22:I22)</f>
        <v>682101.56115773972</v>
      </c>
      <c r="K22" s="129"/>
      <c r="L22" s="129"/>
      <c r="M22" s="26"/>
      <c r="N22" s="26"/>
    </row>
    <row r="23" spans="1:16" x14ac:dyDescent="0.6">
      <c r="A23" s="7"/>
      <c r="B23" s="5" t="s">
        <v>26</v>
      </c>
      <c r="E23" s="3">
        <f>SUM(E17:E19)</f>
        <v>12736.587240417872</v>
      </c>
      <c r="F23" s="3">
        <f>SUM(F17:F19)</f>
        <v>601040.1345594757</v>
      </c>
      <c r="G23" s="3">
        <f>SUM(G17:G19)</f>
        <v>400518.70125998143</v>
      </c>
      <c r="H23" s="3">
        <f>SUM(H17:H19)</f>
        <v>9901.4184717802927</v>
      </c>
      <c r="I23" s="3">
        <f>SUM(I17:I19)</f>
        <v>7731.3890356143274</v>
      </c>
      <c r="J23" s="129">
        <f>SUM(E23:I23)</f>
        <v>1031928.2305672695</v>
      </c>
      <c r="K23" s="129"/>
      <c r="L23" s="129"/>
      <c r="M23" s="26"/>
      <c r="N23" s="26"/>
    </row>
    <row r="24" spans="1:16" x14ac:dyDescent="0.6">
      <c r="A24" s="6"/>
      <c r="B24" s="5" t="s">
        <v>13</v>
      </c>
      <c r="E24" s="3">
        <f>SUM(E22:E23)</f>
        <v>19398.173463241692</v>
      </c>
      <c r="F24" s="3">
        <f>SUM(F22:F23)</f>
        <v>1036030.1270259778</v>
      </c>
      <c r="G24" s="3">
        <f>SUM(G22:G23)</f>
        <v>631449.94615632412</v>
      </c>
      <c r="H24" s="3">
        <f>SUM(H22:H23)</f>
        <v>15633.361539028521</v>
      </c>
      <c r="I24" s="3">
        <f>SUM(I22:I23)</f>
        <v>11518.183540437221</v>
      </c>
      <c r="J24" s="3">
        <f>SUM(E24:I24)</f>
        <v>1714029.7917250094</v>
      </c>
      <c r="K24" s="3"/>
      <c r="L24" s="3"/>
      <c r="M24" s="26"/>
      <c r="N24" s="26"/>
    </row>
    <row r="25" spans="1:16" ht="3.5" customHeight="1" x14ac:dyDescent="0.6">
      <c r="A25" s="7"/>
      <c r="B25" s="2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3.5" customHeight="1" x14ac:dyDescent="0.6">
      <c r="A26" s="7"/>
      <c r="B26" s="2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6" ht="3.5" customHeight="1" x14ac:dyDescent="0.6">
      <c r="A27" s="7"/>
    </row>
    <row r="28" spans="1:16" x14ac:dyDescent="0.6">
      <c r="A28" s="6" t="s">
        <v>253</v>
      </c>
      <c r="B28" s="148" t="s">
        <v>434</v>
      </c>
      <c r="C28" s="17"/>
      <c r="E28" s="141" t="s">
        <v>282</v>
      </c>
      <c r="F28" s="257">
        <v>20</v>
      </c>
      <c r="G28" s="1" t="s">
        <v>251</v>
      </c>
      <c r="P28" s="244" t="s">
        <v>251</v>
      </c>
    </row>
    <row r="29" spans="1:16" x14ac:dyDescent="0.6">
      <c r="A29" s="7"/>
      <c r="B29" t="s">
        <v>237</v>
      </c>
      <c r="C29" s="19"/>
      <c r="D29" s="19"/>
    </row>
    <row r="30" spans="1:16" x14ac:dyDescent="0.6">
      <c r="A30" s="7"/>
    </row>
    <row r="31" spans="1:16" x14ac:dyDescent="0.6">
      <c r="A31" s="7"/>
      <c r="B31" t="s">
        <v>134</v>
      </c>
      <c r="E31" s="2" t="s">
        <v>61</v>
      </c>
      <c r="F31" s="2" t="s">
        <v>62</v>
      </c>
      <c r="G31" s="2" t="s">
        <v>65</v>
      </c>
      <c r="H31" s="2" t="s">
        <v>203</v>
      </c>
      <c r="I31" s="2" t="s">
        <v>55</v>
      </c>
    </row>
    <row r="32" spans="1:16" x14ac:dyDescent="0.6">
      <c r="A32" s="7"/>
      <c r="B32" s="23" t="s">
        <v>17</v>
      </c>
      <c r="C32" s="127"/>
      <c r="D32" s="127"/>
      <c r="E32" s="127">
        <f>'BGS PTY22 Cost Alloc'!E265</f>
        <v>184.49285445421461</v>
      </c>
      <c r="F32" s="127"/>
      <c r="G32" s="127">
        <f>'BGS PTY22 Cost Alloc'!G265</f>
        <v>200270.57284591068</v>
      </c>
      <c r="H32" s="122"/>
      <c r="I32" s="127">
        <f>'BGS PTY22 Cost Alloc'!I265</f>
        <v>3668.4526974159703</v>
      </c>
      <c r="J32" s="127"/>
      <c r="K32" s="127"/>
      <c r="L32" s="127"/>
    </row>
    <row r="33" spans="1:12" x14ac:dyDescent="0.6">
      <c r="A33" s="7"/>
      <c r="B33" s="63" t="s">
        <v>72</v>
      </c>
      <c r="C33" s="127"/>
      <c r="D33" s="127"/>
      <c r="E33" s="127">
        <f>'BGS PTY22 Cost Alloc'!E266</f>
        <v>2976.6031704990874</v>
      </c>
      <c r="F33" s="127"/>
      <c r="G33" s="127"/>
      <c r="H33" s="127">
        <f>'BGS PTY22 Cost Alloc'!H266</f>
        <v>2632.4796992832603</v>
      </c>
      <c r="I33" s="127"/>
      <c r="J33" s="127"/>
      <c r="K33" s="127"/>
      <c r="L33" s="127"/>
    </row>
    <row r="34" spans="1:12" x14ac:dyDescent="0.6">
      <c r="A34" s="7"/>
      <c r="B34" s="63" t="s">
        <v>73</v>
      </c>
      <c r="C34" s="127"/>
      <c r="D34" s="127"/>
      <c r="E34" s="127">
        <f>'BGS PTY22 Cost Alloc'!E267</f>
        <v>2720.7573015951948</v>
      </c>
      <c r="F34" s="127"/>
      <c r="G34" s="127"/>
      <c r="H34" s="127">
        <f>'BGS PTY22 Cost Alloc'!H267</f>
        <v>2358.1262454458611</v>
      </c>
      <c r="I34" s="127"/>
      <c r="J34" s="127"/>
      <c r="K34" s="127"/>
      <c r="L34" s="127"/>
    </row>
    <row r="35" spans="1:12" x14ac:dyDescent="0.6">
      <c r="A35" s="7"/>
      <c r="B35" s="73" t="s">
        <v>142</v>
      </c>
      <c r="C35" s="127"/>
      <c r="D35" s="127"/>
      <c r="E35" s="127"/>
      <c r="F35" s="127">
        <f>'BGS PTY22 Cost Alloc'!F268</f>
        <v>176073.79428259929</v>
      </c>
      <c r="G35" s="127"/>
      <c r="H35" s="122"/>
      <c r="I35" s="127"/>
      <c r="J35" s="127"/>
      <c r="K35" s="127"/>
      <c r="L35" s="127"/>
    </row>
    <row r="36" spans="1:12" x14ac:dyDescent="0.6">
      <c r="A36" s="7"/>
      <c r="B36" s="73" t="s">
        <v>144</v>
      </c>
      <c r="C36" s="127"/>
      <c r="D36" s="127"/>
      <c r="E36" s="127"/>
      <c r="F36" s="127">
        <f>'BGS PTY22 Cost Alloc'!F269</f>
        <v>207687.76271267305</v>
      </c>
      <c r="G36" s="127"/>
      <c r="H36" s="122"/>
      <c r="I36" s="127"/>
      <c r="J36" s="127"/>
      <c r="K36" s="127"/>
      <c r="L36" s="127"/>
    </row>
    <row r="37" spans="1:12" x14ac:dyDescent="0.6">
      <c r="A37" s="7"/>
      <c r="C37" s="127"/>
      <c r="D37" s="127"/>
      <c r="E37" s="127"/>
      <c r="F37" s="127"/>
      <c r="G37" s="127"/>
      <c r="H37" s="122"/>
      <c r="I37" s="127"/>
      <c r="J37" s="127"/>
      <c r="K37" s="127"/>
      <c r="L37" s="127"/>
    </row>
    <row r="38" spans="1:12" x14ac:dyDescent="0.6">
      <c r="A38" s="7"/>
      <c r="B38" s="23" t="s">
        <v>18</v>
      </c>
      <c r="C38" s="127"/>
      <c r="D38" s="127"/>
      <c r="E38" s="127">
        <f>'BGS PTY22 Cost Alloc'!E271</f>
        <v>453.4461927721124</v>
      </c>
      <c r="F38" s="127">
        <f>'BGS PTY22 Cost Alloc'!F271</f>
        <v>530700.96857708192</v>
      </c>
      <c r="G38" s="127">
        <f>'BGS PTY22 Cost Alloc'!G271</f>
        <v>347564.01921538071</v>
      </c>
      <c r="I38" s="127">
        <f>'BGS PTY22 Cost Alloc'!I271</f>
        <v>7457.0982809392935</v>
      </c>
      <c r="J38" s="127"/>
      <c r="K38" s="127"/>
      <c r="L38" s="127"/>
    </row>
    <row r="39" spans="1:12" x14ac:dyDescent="0.6">
      <c r="A39" s="7"/>
      <c r="B39" s="63" t="s">
        <v>72</v>
      </c>
      <c r="C39" s="127"/>
      <c r="D39" s="127"/>
      <c r="E39" s="127">
        <f>'BGS PTY22 Cost Alloc'!E272</f>
        <v>4633.3460050769891</v>
      </c>
      <c r="F39" s="3"/>
      <c r="G39" s="3"/>
      <c r="H39" s="127">
        <f>'BGS PTY22 Cost Alloc'!H272</f>
        <v>4070.6855179580757</v>
      </c>
      <c r="I39" s="3"/>
      <c r="J39" s="127"/>
      <c r="K39" s="127"/>
      <c r="L39" s="127"/>
    </row>
    <row r="40" spans="1:12" x14ac:dyDescent="0.6">
      <c r="A40" s="7"/>
      <c r="B40" s="63" t="s">
        <v>73</v>
      </c>
      <c r="C40" s="3"/>
      <c r="D40" s="3"/>
      <c r="E40" s="127">
        <f>'BGS PTY22 Cost Alloc'!E273</f>
        <v>6168.6231201752671</v>
      </c>
      <c r="H40" s="127">
        <f>'BGS PTY22 Cost Alloc'!H273</f>
        <v>4515.1633781126984</v>
      </c>
      <c r="J40" s="127"/>
      <c r="K40" s="127"/>
      <c r="L40" s="127"/>
    </row>
    <row r="41" spans="1:12" x14ac:dyDescent="0.6">
      <c r="A41" s="7"/>
      <c r="B41" s="5"/>
    </row>
    <row r="42" spans="1:12" x14ac:dyDescent="0.6">
      <c r="A42" s="7"/>
      <c r="B42" t="s">
        <v>135</v>
      </c>
    </row>
    <row r="43" spans="1:12" x14ac:dyDescent="0.6">
      <c r="A43" s="7"/>
      <c r="B43" s="5" t="s">
        <v>25</v>
      </c>
      <c r="E43" s="3">
        <f>SUM(E32:E36)</f>
        <v>5881.8533265484966</v>
      </c>
      <c r="F43" s="3">
        <f>SUM(F32:F36)</f>
        <v>383761.55699527235</v>
      </c>
      <c r="G43" s="3">
        <f>SUM(G32:G36)</f>
        <v>200270.57284591068</v>
      </c>
      <c r="H43" s="3">
        <f>SUM(H32:H36)</f>
        <v>4990.6059447291209</v>
      </c>
      <c r="I43" s="3">
        <f>SUM(I32:I36)</f>
        <v>3668.4526974159703</v>
      </c>
      <c r="J43" s="129">
        <f>SUM(E43:I43)</f>
        <v>598573.04180987657</v>
      </c>
      <c r="K43" s="129"/>
      <c r="L43" s="129"/>
    </row>
    <row r="44" spans="1:12" x14ac:dyDescent="0.6">
      <c r="A44" s="7"/>
      <c r="B44" s="5" t="s">
        <v>26</v>
      </c>
      <c r="E44" s="3">
        <f>SUM(E38:E40)</f>
        <v>11255.415318024368</v>
      </c>
      <c r="F44" s="3">
        <f>SUM(F38:F40)</f>
        <v>530700.96857708192</v>
      </c>
      <c r="G44" s="3">
        <f>SUM(G38:G40)</f>
        <v>347564.01921538071</v>
      </c>
      <c r="H44" s="3">
        <f>SUM(H38:H40)</f>
        <v>8585.8488960707746</v>
      </c>
      <c r="I44" s="3">
        <f>SUM(I38:I40)</f>
        <v>7457.0982809392935</v>
      </c>
      <c r="J44" s="129">
        <f>SUM(E44:I44)</f>
        <v>905563.35028749693</v>
      </c>
      <c r="K44" s="129"/>
      <c r="L44" s="129"/>
    </row>
    <row r="45" spans="1:12" x14ac:dyDescent="0.6">
      <c r="A45" s="6"/>
      <c r="B45" s="5" t="s">
        <v>13</v>
      </c>
      <c r="E45" s="3">
        <f>SUM(E43:E44)</f>
        <v>17137.268644572865</v>
      </c>
      <c r="F45" s="3">
        <f>SUM(F43:F44)</f>
        <v>914462.52557235421</v>
      </c>
      <c r="G45" s="3">
        <f>SUM(G43:G44)</f>
        <v>547834.59206129145</v>
      </c>
      <c r="H45" s="3">
        <f>SUM(H43:H44)</f>
        <v>13576.454840799895</v>
      </c>
      <c r="I45" s="3">
        <f>SUM(I43:I44)</f>
        <v>11125.550978355264</v>
      </c>
      <c r="J45" s="3">
        <f>SUM(E45:I45)</f>
        <v>1504136.3920973737</v>
      </c>
      <c r="K45" s="3"/>
      <c r="L45" s="3"/>
    </row>
    <row r="46" spans="1:12" ht="4.5" customHeight="1" x14ac:dyDescent="0.6">
      <c r="A46" s="6"/>
      <c r="B46" s="5"/>
      <c r="E46" s="3"/>
      <c r="F46" s="3"/>
      <c r="G46" s="3"/>
      <c r="H46" s="3"/>
      <c r="I46" s="3"/>
      <c r="J46" s="3"/>
      <c r="K46" s="3"/>
      <c r="L46" s="3"/>
    </row>
    <row r="47" spans="1:12" x14ac:dyDescent="0.6">
      <c r="A47"/>
      <c r="B47" s="31" t="str">
        <f>'BGS PTY23 Cost Alloc'!B46</f>
        <v>{1} For BGS purposes the RT rate class includes the RS and GS rate class Off-Peak (OPWH) and Controlled Water Heating (CTWH) provisions.  The RT rate class also includes the</v>
      </c>
      <c r="E47" s="3"/>
      <c r="F47" s="3"/>
      <c r="G47" s="3"/>
      <c r="H47" s="3"/>
      <c r="I47" s="3"/>
      <c r="J47" s="3"/>
      <c r="K47" s="3"/>
      <c r="L47" s="3"/>
    </row>
    <row r="48" spans="1:12" x14ac:dyDescent="0.6">
      <c r="A48"/>
      <c r="B48" s="31" t="str">
        <f>'BGS PTY23 Cost Alloc'!B47</f>
        <v xml:space="preserve">  summer billing month RGT rate class usage.  OPWH and CTWH is billed on the average RT rates, while RT and Summer RGT use is billed at on-peak and off-peak rates.</v>
      </c>
      <c r="E48" s="3"/>
      <c r="F48" s="3"/>
      <c r="G48" s="3"/>
      <c r="H48" s="3"/>
      <c r="I48" s="3"/>
      <c r="J48" s="3"/>
      <c r="K48" s="3"/>
      <c r="L48" s="3"/>
    </row>
    <row r="49" spans="1:16" x14ac:dyDescent="0.6">
      <c r="A49"/>
      <c r="B49" s="31" t="str">
        <f>'BGS PTY23 Cost Alloc'!B48</f>
        <v xml:space="preserve">{2} For BGS purposes the RS rate class excludes the Off-Peak and Controlled Water Heating provisions and includes  </v>
      </c>
      <c r="E49" s="3"/>
      <c r="F49" s="3"/>
      <c r="G49" s="3"/>
      <c r="H49" s="3"/>
      <c r="I49" s="3"/>
      <c r="J49" s="3"/>
      <c r="K49" s="3"/>
      <c r="L49" s="3"/>
    </row>
    <row r="50" spans="1:16" x14ac:dyDescent="0.6">
      <c r="A50"/>
      <c r="B50" s="31" t="str">
        <f>'BGS PTY23 Cost Alloc'!B49</f>
        <v xml:space="preserve">     the winter billing month RGT rate class usage</v>
      </c>
      <c r="E50" s="3"/>
      <c r="F50" s="3"/>
      <c r="G50" s="3"/>
      <c r="H50" s="3"/>
      <c r="I50" s="3"/>
      <c r="J50" s="3"/>
      <c r="K50" s="3"/>
      <c r="L50" s="3"/>
    </row>
    <row r="51" spans="1:16" x14ac:dyDescent="0.6">
      <c r="A51"/>
      <c r="B51" s="31" t="str">
        <f>'BGS PTY23 Cost Alloc'!B50</f>
        <v>{3} For BGS purposes the GS rate class excludes the Off-Peak and Controlled Water Heating provisions</v>
      </c>
      <c r="E51" s="3"/>
      <c r="F51" s="3"/>
      <c r="G51" s="3"/>
      <c r="H51" s="3"/>
      <c r="I51" s="3"/>
      <c r="J51" s="3"/>
      <c r="K51" s="3"/>
      <c r="L51" s="3"/>
    </row>
    <row r="52" spans="1:16" x14ac:dyDescent="0.6">
      <c r="A52" s="31"/>
      <c r="B52" s="140" t="str">
        <f>'BGS PTY23 Cost Alloc'!B101</f>
        <v>{4} The GS and GST units exclude the units associated with the 500 kW and above PLS accounts that will be required to take service under BGS-CIEP</v>
      </c>
      <c r="E52" s="3"/>
      <c r="F52" s="3"/>
      <c r="G52" s="3"/>
      <c r="H52" s="3"/>
      <c r="I52" s="3"/>
      <c r="J52" s="3"/>
      <c r="K52" s="3"/>
      <c r="L52" s="3"/>
    </row>
    <row r="53" spans="1:16" ht="2.5" customHeight="1" x14ac:dyDescent="0.6">
      <c r="A53"/>
      <c r="B53" s="140" t="str">
        <f>'BGS PTY23 Cost Alloc'!B102</f>
        <v xml:space="preserve"> </v>
      </c>
    </row>
    <row r="54" spans="1:16" ht="15.5" x14ac:dyDescent="0.7">
      <c r="B54" s="570" t="s">
        <v>69</v>
      </c>
      <c r="C54" s="570"/>
      <c r="D54" s="570"/>
      <c r="E54" s="570"/>
      <c r="F54" s="570"/>
      <c r="G54" s="570"/>
      <c r="H54" s="570"/>
      <c r="I54" s="570"/>
      <c r="J54" s="570"/>
      <c r="K54" s="570"/>
      <c r="L54" s="570"/>
      <c r="M54" s="570"/>
      <c r="N54" s="570"/>
    </row>
    <row r="55" spans="1:16" ht="15.5" x14ac:dyDescent="0.7">
      <c r="B55" s="570" t="s">
        <v>187</v>
      </c>
      <c r="C55" s="570"/>
      <c r="D55" s="570"/>
      <c r="E55" s="570"/>
      <c r="F55" s="570"/>
      <c r="G55" s="570"/>
      <c r="H55" s="570"/>
      <c r="I55" s="570"/>
      <c r="J55" s="570"/>
      <c r="K55" s="570"/>
      <c r="L55" s="570"/>
      <c r="M55" s="570"/>
      <c r="N55" s="570"/>
    </row>
    <row r="56" spans="1:16" ht="15.5" x14ac:dyDescent="0.7">
      <c r="B56" s="570"/>
      <c r="C56" s="570"/>
      <c r="D56" s="570"/>
      <c r="E56" s="570"/>
      <c r="F56" s="570"/>
      <c r="G56" s="570"/>
      <c r="H56" s="570"/>
      <c r="I56" s="570"/>
      <c r="J56" s="570"/>
      <c r="K56" s="570"/>
      <c r="L56" s="570"/>
      <c r="M56" s="570"/>
      <c r="N56" s="570"/>
    </row>
    <row r="57" spans="1:16" x14ac:dyDescent="0.6">
      <c r="N57" s="102" t="s">
        <v>251</v>
      </c>
    </row>
    <row r="59" spans="1:16" x14ac:dyDescent="0.6">
      <c r="E59" s="15"/>
    </row>
    <row r="60" spans="1:16" x14ac:dyDescent="0.6">
      <c r="A60" s="6" t="s">
        <v>254</v>
      </c>
      <c r="B60" s="148" t="s">
        <v>462</v>
      </c>
      <c r="C60" s="17"/>
      <c r="E60" s="141" t="s">
        <v>282</v>
      </c>
      <c r="F60" s="257">
        <v>18</v>
      </c>
      <c r="G60" s="273" t="s">
        <v>251</v>
      </c>
      <c r="P60" s="244" t="s">
        <v>251</v>
      </c>
    </row>
    <row r="61" spans="1:16" x14ac:dyDescent="0.6">
      <c r="A61" s="7"/>
      <c r="B61" t="s">
        <v>237</v>
      </c>
      <c r="C61" s="19"/>
      <c r="D61" s="19"/>
    </row>
    <row r="62" spans="1:16" x14ac:dyDescent="0.6">
      <c r="A62" s="7"/>
    </row>
    <row r="63" spans="1:16" x14ac:dyDescent="0.6">
      <c r="A63" s="7"/>
      <c r="B63" t="s">
        <v>134</v>
      </c>
      <c r="E63" s="2" t="s">
        <v>61</v>
      </c>
      <c r="F63" s="2" t="s">
        <v>62</v>
      </c>
      <c r="G63" s="2" t="s">
        <v>65</v>
      </c>
      <c r="H63" s="2" t="s">
        <v>203</v>
      </c>
      <c r="I63" s="2" t="s">
        <v>55</v>
      </c>
    </row>
    <row r="64" spans="1:16" x14ac:dyDescent="0.6">
      <c r="A64" s="7"/>
      <c r="B64" s="23" t="s">
        <v>17</v>
      </c>
      <c r="C64" s="127"/>
      <c r="D64" s="127"/>
      <c r="E64" s="127">
        <f>'BGS PTY23 Cost Alloc'!E257</f>
        <v>164.37230929637803</v>
      </c>
      <c r="F64" s="127"/>
      <c r="G64" s="127">
        <f>'BGS PTY23 Cost Alloc'!G257</f>
        <v>178488.03804914962</v>
      </c>
      <c r="H64" s="122"/>
      <c r="I64" s="127">
        <f>'BGS PTY23 Cost Alloc'!I257</f>
        <v>3291.8289541820109</v>
      </c>
      <c r="J64" s="127"/>
      <c r="K64" s="127"/>
      <c r="L64" s="127"/>
    </row>
    <row r="65" spans="1:12" x14ac:dyDescent="0.6">
      <c r="A65" s="7"/>
      <c r="B65" s="63" t="s">
        <v>72</v>
      </c>
      <c r="C65" s="127"/>
      <c r="D65" s="127"/>
      <c r="E65" s="127">
        <f>'BGS PTY23 Cost Alloc'!E258</f>
        <v>2618.489708830693</v>
      </c>
      <c r="F65" s="127"/>
      <c r="G65" s="127"/>
      <c r="H65" s="127">
        <f>'BGS PTY23 Cost Alloc'!H258</f>
        <v>2318.492240761715</v>
      </c>
      <c r="I65" s="127"/>
      <c r="J65" s="127"/>
      <c r="K65" s="127"/>
      <c r="L65" s="127"/>
    </row>
    <row r="66" spans="1:12" x14ac:dyDescent="0.6">
      <c r="A66" s="7"/>
      <c r="B66" s="63" t="s">
        <v>73</v>
      </c>
      <c r="C66" s="127"/>
      <c r="D66" s="127"/>
      <c r="E66" s="127">
        <f>'BGS PTY23 Cost Alloc'!E259</f>
        <v>2457.5202812170801</v>
      </c>
      <c r="F66" s="127"/>
      <c r="G66" s="127"/>
      <c r="H66" s="127">
        <f>'BGS PTY23 Cost Alloc'!H259</f>
        <v>2114.418749654461</v>
      </c>
      <c r="I66" s="127"/>
      <c r="J66" s="127"/>
      <c r="K66" s="127"/>
      <c r="L66" s="127"/>
    </row>
    <row r="67" spans="1:12" x14ac:dyDescent="0.6">
      <c r="A67" s="7"/>
      <c r="B67" s="73" t="s">
        <v>142</v>
      </c>
      <c r="C67" s="127"/>
      <c r="D67" s="127"/>
      <c r="E67" s="127"/>
      <c r="F67" s="127">
        <f>'BGS PTY23 Cost Alloc'!F260</f>
        <v>156043.76682968653</v>
      </c>
      <c r="G67" s="127"/>
      <c r="H67" s="122"/>
      <c r="I67" s="127"/>
      <c r="J67" s="127"/>
      <c r="K67" s="127"/>
      <c r="L67" s="127"/>
    </row>
    <row r="68" spans="1:12" x14ac:dyDescent="0.6">
      <c r="A68" s="7"/>
      <c r="B68" s="73" t="s">
        <v>144</v>
      </c>
      <c r="C68" s="127"/>
      <c r="D68" s="127"/>
      <c r="E68" s="127"/>
      <c r="F68" s="127">
        <f>'BGS PTY23 Cost Alloc'!F261</f>
        <v>186149.24928630335</v>
      </c>
      <c r="G68" s="127"/>
      <c r="H68" s="122"/>
      <c r="I68" s="127"/>
      <c r="J68" s="127"/>
      <c r="K68" s="127"/>
      <c r="L68" s="127"/>
    </row>
    <row r="69" spans="1:12" x14ac:dyDescent="0.6">
      <c r="A69" s="7"/>
      <c r="C69" s="127"/>
      <c r="D69" s="127"/>
      <c r="E69" s="127"/>
      <c r="F69" s="127"/>
      <c r="G69" s="127"/>
      <c r="H69" s="122"/>
      <c r="I69" s="127"/>
      <c r="J69" s="127"/>
      <c r="K69" s="127"/>
      <c r="L69" s="127"/>
    </row>
    <row r="70" spans="1:12" x14ac:dyDescent="0.6">
      <c r="A70" s="7"/>
      <c r="B70" s="23" t="s">
        <v>18</v>
      </c>
      <c r="C70" s="127"/>
      <c r="D70" s="127"/>
      <c r="E70" s="127">
        <f>'BGS PTY23 Cost Alloc'!E263</f>
        <v>416.86922824464949</v>
      </c>
      <c r="F70" s="127">
        <f>'BGS PTY23 Cost Alloc'!F263</f>
        <v>483938.16668338492</v>
      </c>
      <c r="G70" s="127">
        <f>'BGS PTY23 Cost Alloc'!G263</f>
        <v>317826.38904692844</v>
      </c>
      <c r="I70" s="127">
        <f>'BGS PTY23 Cost Alloc'!I263</f>
        <v>6938.9398814885599</v>
      </c>
      <c r="J70" s="127"/>
      <c r="K70" s="127"/>
      <c r="L70" s="127"/>
    </row>
    <row r="71" spans="1:12" x14ac:dyDescent="0.6">
      <c r="A71" s="7"/>
      <c r="B71" s="63" t="s">
        <v>72</v>
      </c>
      <c r="C71" s="127"/>
      <c r="D71" s="127"/>
      <c r="E71" s="127">
        <f>'BGS PTY23 Cost Alloc'!E264</f>
        <v>4153.8783359219406</v>
      </c>
      <c r="F71" s="3"/>
      <c r="G71" s="3"/>
      <c r="H71" s="127">
        <f>'BGS PTY23 Cost Alloc'!H264</f>
        <v>3639.5324014482699</v>
      </c>
      <c r="I71" s="3"/>
      <c r="J71" s="127"/>
      <c r="K71" s="127"/>
      <c r="L71" s="127"/>
    </row>
    <row r="72" spans="1:12" x14ac:dyDescent="0.6">
      <c r="A72" s="7"/>
      <c r="B72" s="63" t="s">
        <v>73</v>
      </c>
      <c r="C72" s="3"/>
      <c r="D72" s="3"/>
      <c r="E72" s="127">
        <f>'BGS PTY23 Cost Alloc'!E265</f>
        <v>5776.7765182802295</v>
      </c>
      <c r="H72" s="127">
        <f>'BGS PTY23 Cost Alloc'!H265</f>
        <v>4244.7221337604014</v>
      </c>
      <c r="J72" s="127"/>
      <c r="K72" s="127"/>
      <c r="L72" s="127"/>
    </row>
    <row r="73" spans="1:12" x14ac:dyDescent="0.6">
      <c r="A73" s="7"/>
      <c r="B73" s="5"/>
    </row>
    <row r="74" spans="1:12" x14ac:dyDescent="0.6">
      <c r="A74" s="7"/>
      <c r="B74" t="s">
        <v>135</v>
      </c>
    </row>
    <row r="75" spans="1:12" x14ac:dyDescent="0.6">
      <c r="A75" s="7"/>
      <c r="B75" s="5" t="s">
        <v>25</v>
      </c>
      <c r="E75" s="3">
        <f>SUM(E64:E68)</f>
        <v>5240.3822993441509</v>
      </c>
      <c r="F75" s="3">
        <f>SUM(F64:F68)</f>
        <v>342193.01611598989</v>
      </c>
      <c r="G75" s="3">
        <f>SUM(G64:G68)</f>
        <v>178488.03804914962</v>
      </c>
      <c r="H75" s="3">
        <f>SUM(H64:H68)</f>
        <v>4432.910990416176</v>
      </c>
      <c r="I75" s="3">
        <f>SUM(I64:I68)</f>
        <v>3291.8289541820109</v>
      </c>
      <c r="J75" s="129">
        <f>SUM(E75:I75)</f>
        <v>533646.17640908179</v>
      </c>
      <c r="K75" s="129"/>
      <c r="L75" s="129"/>
    </row>
    <row r="76" spans="1:12" x14ac:dyDescent="0.6">
      <c r="A76" s="7"/>
      <c r="B76" s="5" t="s">
        <v>26</v>
      </c>
      <c r="E76" s="3">
        <f>SUM(E70:E72)</f>
        <v>10347.52408244682</v>
      </c>
      <c r="F76" s="3">
        <f>SUM(F70:F72)</f>
        <v>483938.16668338492</v>
      </c>
      <c r="G76" s="3">
        <f>SUM(G70:G72)</f>
        <v>317826.38904692844</v>
      </c>
      <c r="H76" s="3">
        <f>SUM(H70:H72)</f>
        <v>7884.2545352086709</v>
      </c>
      <c r="I76" s="3">
        <f>SUM(I70:I72)</f>
        <v>6938.9398814885599</v>
      </c>
      <c r="J76" s="129">
        <f>SUM(E76:I76)</f>
        <v>826935.27422945749</v>
      </c>
      <c r="K76" s="129"/>
      <c r="L76" s="129"/>
    </row>
    <row r="77" spans="1:12" x14ac:dyDescent="0.6">
      <c r="A77" s="6"/>
      <c r="B77" s="5" t="s">
        <v>13</v>
      </c>
      <c r="E77" s="3">
        <f>SUM(E75:E76)</f>
        <v>15587.90638179097</v>
      </c>
      <c r="F77" s="3">
        <f>SUM(F75:F76)</f>
        <v>826131.1827993748</v>
      </c>
      <c r="G77" s="3">
        <f>SUM(G75:G76)</f>
        <v>496314.42709607806</v>
      </c>
      <c r="H77" s="3">
        <f>SUM(H75:H76)</f>
        <v>12317.165525624847</v>
      </c>
      <c r="I77" s="3">
        <f>SUM(I75:I76)</f>
        <v>10230.768835670571</v>
      </c>
      <c r="J77" s="3">
        <f>SUM(E77:I77)</f>
        <v>1360581.4506385392</v>
      </c>
      <c r="K77" s="3"/>
      <c r="L77" s="3"/>
    </row>
    <row r="81" spans="1:30" x14ac:dyDescent="0.6">
      <c r="A81" s="6" t="s">
        <v>255</v>
      </c>
      <c r="B81" s="1" t="s">
        <v>364</v>
      </c>
      <c r="C81" s="17"/>
      <c r="E81" s="15"/>
    </row>
    <row r="82" spans="1:30" x14ac:dyDescent="0.6">
      <c r="A82" s="7"/>
      <c r="B82" t="s">
        <v>237</v>
      </c>
      <c r="C82" s="19"/>
      <c r="D82" s="19"/>
    </row>
    <row r="83" spans="1:30" x14ac:dyDescent="0.6">
      <c r="A83" s="7"/>
    </row>
    <row r="84" spans="1:30" x14ac:dyDescent="0.6">
      <c r="A84" s="7"/>
      <c r="B84" t="s">
        <v>134</v>
      </c>
      <c r="E84" s="2" t="s">
        <v>61</v>
      </c>
      <c r="F84" s="2" t="s">
        <v>62</v>
      </c>
      <c r="G84" s="2" t="s">
        <v>65</v>
      </c>
      <c r="H84" s="2" t="s">
        <v>203</v>
      </c>
      <c r="I84" s="2" t="s">
        <v>55</v>
      </c>
    </row>
    <row r="85" spans="1:30" x14ac:dyDescent="0.6">
      <c r="A85" s="7"/>
      <c r="B85" s="23" t="s">
        <v>17</v>
      </c>
      <c r="C85" s="127"/>
      <c r="D85" s="127"/>
      <c r="E85" s="127">
        <f>(E11*$F$7+E32*$F$28+E64*$F$60)/($F$7+$F$28+$F$60)</f>
        <v>184.58091030844702</v>
      </c>
      <c r="F85" s="127"/>
      <c r="G85" s="127">
        <f>(G11*$F$7+G32*$F$28+G64*$F$60)/($F$7+$F$28+$F$60)</f>
        <v>201550.27953298201</v>
      </c>
      <c r="H85" s="122"/>
      <c r="I85" s="127">
        <f>(I11*$F$7+I32*$F$28+I64*$F$60)/($F$7+$F$28+$F$60)</f>
        <v>3574.035711244132</v>
      </c>
      <c r="J85" s="127"/>
      <c r="K85" s="127"/>
      <c r="L85" s="127"/>
    </row>
    <row r="86" spans="1:30" x14ac:dyDescent="0.6">
      <c r="A86" s="7"/>
      <c r="B86" s="63" t="s">
        <v>72</v>
      </c>
      <c r="C86" s="127"/>
      <c r="D86" s="127"/>
      <c r="E86" s="127">
        <f>(E12*$F$7+E33*$F$28+E65*$F$60)/($F$7+$F$28+$F$60)</f>
        <v>3122.1702829102296</v>
      </c>
      <c r="F86" s="127"/>
      <c r="G86" s="127"/>
      <c r="H86" s="127">
        <f>(H12*$F$7+H33*$F$28+H65*$F$60)/($F$7+$F$28+$F$60)</f>
        <v>2776.4315723863424</v>
      </c>
      <c r="I86" s="127"/>
      <c r="J86" s="127"/>
      <c r="K86" s="127"/>
      <c r="L86" s="127"/>
    </row>
    <row r="87" spans="1:30" x14ac:dyDescent="0.6">
      <c r="A87" s="7"/>
      <c r="B87" s="63" t="s">
        <v>73</v>
      </c>
      <c r="C87" s="127"/>
      <c r="D87" s="127"/>
      <c r="E87" s="127">
        <f>(E13*$F$7+E34*$F$28+E66*$F$60)/($F$7+$F$28+$F$60)</f>
        <v>2577.9231702062657</v>
      </c>
      <c r="F87" s="127"/>
      <c r="G87" s="127"/>
      <c r="H87" s="127">
        <f>(H13*$F$7+H34*$F$28+H66*$F$60)/($F$7+$F$28+$F$60)</f>
        <v>2234.5809319683185</v>
      </c>
      <c r="I87" s="127"/>
      <c r="J87" s="127"/>
      <c r="K87" s="127"/>
      <c r="L87" s="127"/>
      <c r="Q87" s="2"/>
      <c r="R87" s="2"/>
      <c r="S87" s="2"/>
      <c r="V87" s="2"/>
      <c r="W87" s="2"/>
      <c r="X87" s="2"/>
      <c r="AA87" s="2"/>
      <c r="AB87" s="2"/>
      <c r="AC87" s="2"/>
    </row>
    <row r="88" spans="1:30" x14ac:dyDescent="0.6">
      <c r="A88" s="7"/>
      <c r="B88" s="73" t="s">
        <v>142</v>
      </c>
      <c r="C88" s="127"/>
      <c r="D88" s="127"/>
      <c r="E88" s="127"/>
      <c r="F88" s="127">
        <f>(F14*$F$7+F35*$F$28+F67*$F$60)/($F$7+$F$28+$F$60)</f>
        <v>176257.37935180415</v>
      </c>
      <c r="G88" s="127"/>
      <c r="H88" s="122"/>
      <c r="I88" s="127"/>
      <c r="J88" s="127"/>
      <c r="K88" s="127"/>
      <c r="L88" s="127"/>
      <c r="V88" s="100"/>
      <c r="W88" s="100"/>
      <c r="X88" s="100"/>
      <c r="AA88" s="100"/>
      <c r="AB88" s="100"/>
      <c r="AC88" s="100"/>
    </row>
    <row r="89" spans="1:30" x14ac:dyDescent="0.6">
      <c r="A89" s="7"/>
      <c r="B89" s="73" t="s">
        <v>144</v>
      </c>
      <c r="C89" s="127"/>
      <c r="D89" s="127"/>
      <c r="E89" s="127"/>
      <c r="F89" s="127">
        <f>(F15*$F$7+F36*$F$28+F68*$F$60)/($F$7+$F$28+$F$60)</f>
        <v>207885.17379896561</v>
      </c>
      <c r="G89" s="127"/>
      <c r="H89" s="122"/>
      <c r="I89" s="127"/>
      <c r="J89" s="127"/>
      <c r="K89" s="127"/>
      <c r="L89" s="127"/>
      <c r="O89" s="1"/>
    </row>
    <row r="90" spans="1:30" x14ac:dyDescent="0.6">
      <c r="A90" s="7"/>
      <c r="C90" s="127"/>
      <c r="D90" s="127"/>
      <c r="E90" s="127"/>
      <c r="F90" s="127"/>
      <c r="G90" s="127"/>
      <c r="H90" s="122"/>
      <c r="I90" s="127"/>
      <c r="J90" s="127"/>
      <c r="K90" s="127"/>
      <c r="L90" s="127"/>
      <c r="O90" s="77"/>
      <c r="Q90" s="349"/>
      <c r="R90" s="349"/>
      <c r="S90" s="349"/>
      <c r="T90" s="349"/>
    </row>
    <row r="91" spans="1:30" x14ac:dyDescent="0.6">
      <c r="A91" s="7"/>
      <c r="B91" s="23" t="s">
        <v>18</v>
      </c>
      <c r="C91" s="127"/>
      <c r="D91" s="127"/>
      <c r="E91" s="127">
        <f>(E17*$F$7+E38*$F$28+E70*$F$60)/($F$7+$F$28+$F$60)</f>
        <v>457.91488101865593</v>
      </c>
      <c r="F91" s="127">
        <f>(F17*$F$7+F38*$F$28+F70*$F$60)/($F$7+$F$28+$F$60)</f>
        <v>534726.57340065471</v>
      </c>
      <c r="G91" s="127">
        <f>(G17*$F$7+G38*$F$28+G70*$F$60)/($F$7+$F$28+$F$60)</f>
        <v>352451.6208689065</v>
      </c>
      <c r="I91" s="127">
        <f>(I17*$F$7+I38*$F$28+I70*$F$60)/($F$7+$F$28+$F$60)</f>
        <v>7358.749415467827</v>
      </c>
      <c r="J91" s="127"/>
      <c r="K91" s="127"/>
      <c r="L91" s="127"/>
      <c r="O91" s="77"/>
      <c r="Q91" s="349"/>
      <c r="R91" s="349"/>
      <c r="S91" s="349"/>
      <c r="T91" s="349"/>
      <c r="V91" s="1"/>
      <c r="AA91" s="1"/>
    </row>
    <row r="92" spans="1:30" x14ac:dyDescent="0.6">
      <c r="A92" s="7"/>
      <c r="B92" s="63" t="s">
        <v>72</v>
      </c>
      <c r="C92" s="127"/>
      <c r="D92" s="127"/>
      <c r="E92" s="127">
        <f>(E18*$F$7+E39*$F$28+E71*$F$60)/($F$7+$F$28+$F$60)</f>
        <v>5009.2052208349087</v>
      </c>
      <c r="F92" s="3"/>
      <c r="G92" s="3"/>
      <c r="H92" s="127">
        <f>(H18*$F$7+H39*$F$28+H71*$F$60)/($F$7+$F$28+$F$60)</f>
        <v>4390.5919155237752</v>
      </c>
      <c r="I92" s="3"/>
      <c r="J92" s="127"/>
      <c r="K92" s="127"/>
      <c r="L92" s="127"/>
      <c r="Q92" s="2"/>
      <c r="R92" s="2"/>
      <c r="S92" s="2"/>
      <c r="V92" s="2"/>
      <c r="W92" s="2"/>
      <c r="X92" s="2"/>
      <c r="AA92" s="2"/>
      <c r="AB92" s="2"/>
      <c r="AC92" s="2"/>
    </row>
    <row r="93" spans="1:30" x14ac:dyDescent="0.6">
      <c r="A93" s="7"/>
      <c r="B93" s="63" t="s">
        <v>73</v>
      </c>
      <c r="C93" s="3"/>
      <c r="D93" s="3"/>
      <c r="E93" s="127">
        <f>(E19*$F$7+E40*$F$28+E72*$F$60)/($F$7+$F$28+$F$60)</f>
        <v>5899.1543972180998</v>
      </c>
      <c r="H93" s="127">
        <f>(H19*$F$7+H40*$F$28+H72*$F$60)/($F$7+$F$28+$F$60)</f>
        <v>4329.310662436149</v>
      </c>
      <c r="J93" s="127"/>
      <c r="K93" s="127"/>
      <c r="L93" s="127"/>
      <c r="P93" s="306"/>
      <c r="Q93" s="4"/>
      <c r="R93" s="4"/>
      <c r="S93" s="4"/>
      <c r="V93" s="345"/>
      <c r="W93" s="345"/>
      <c r="X93" s="345"/>
      <c r="Y93" s="346"/>
      <c r="AA93" s="347"/>
      <c r="AB93" s="347"/>
      <c r="AC93" s="347"/>
      <c r="AD93" s="346"/>
    </row>
    <row r="94" spans="1:30" x14ac:dyDescent="0.6">
      <c r="A94" s="7"/>
      <c r="B94" s="5"/>
      <c r="T94" s="4"/>
      <c r="X94" s="348"/>
      <c r="Y94" s="348"/>
      <c r="AD94" s="348"/>
    </row>
    <row r="95" spans="1:30" x14ac:dyDescent="0.6">
      <c r="A95" s="7"/>
      <c r="B95" t="s">
        <v>135</v>
      </c>
      <c r="P95" s="325" t="s">
        <v>311</v>
      </c>
      <c r="R95" s="77"/>
      <c r="T95" s="349"/>
    </row>
    <row r="96" spans="1:30" x14ac:dyDescent="0.6">
      <c r="A96" s="7"/>
      <c r="B96" s="5" t="s">
        <v>25</v>
      </c>
      <c r="E96" s="3">
        <f>SUM(E85:E89)</f>
        <v>5884.6743634249424</v>
      </c>
      <c r="F96" s="3">
        <f>SUM(F85:F89)</f>
        <v>384142.55315076979</v>
      </c>
      <c r="G96" s="3">
        <f>SUM(G85:G89)</f>
        <v>201550.27953298201</v>
      </c>
      <c r="H96" s="3">
        <f>SUM(H85:H89)</f>
        <v>5011.0125043546614</v>
      </c>
      <c r="I96" s="3">
        <f>SUM(I85:I89)</f>
        <v>3574.035711244132</v>
      </c>
      <c r="J96" s="129">
        <f>SUM(E96:I96)</f>
        <v>600162.55526277551</v>
      </c>
      <c r="K96" s="129"/>
      <c r="L96" s="129"/>
      <c r="P96" s="325"/>
      <c r="R96" s="77"/>
      <c r="T96" s="349"/>
      <c r="U96" s="325"/>
      <c r="Z96" s="325"/>
    </row>
    <row r="97" spans="1:30" x14ac:dyDescent="0.6">
      <c r="A97" s="7"/>
      <c r="B97" s="5" t="s">
        <v>26</v>
      </c>
      <c r="E97" s="3">
        <f>SUM(E91:E93)</f>
        <v>11366.274499071664</v>
      </c>
      <c r="F97" s="3">
        <f>SUM(F91:F93)</f>
        <v>534726.57340065471</v>
      </c>
      <c r="G97" s="3">
        <f>SUM(G91:G93)</f>
        <v>352451.6208689065</v>
      </c>
      <c r="H97" s="3">
        <f>SUM(H91:H93)</f>
        <v>8719.9025779599251</v>
      </c>
      <c r="I97" s="3">
        <f>SUM(I91:I93)</f>
        <v>7358.749415467827</v>
      </c>
      <c r="J97" s="129">
        <f>SUM(E97:I97)</f>
        <v>914623.12076206063</v>
      </c>
      <c r="K97" s="129"/>
      <c r="L97" s="129"/>
      <c r="P97" s="273"/>
      <c r="Q97" s="242"/>
      <c r="R97" s="242"/>
      <c r="S97" s="242"/>
      <c r="U97" s="273"/>
      <c r="V97" s="349"/>
      <c r="W97" s="349"/>
      <c r="X97" s="349"/>
      <c r="Z97" s="273"/>
      <c r="AA97" s="349"/>
      <c r="AB97" s="349"/>
      <c r="AC97" s="349"/>
    </row>
    <row r="98" spans="1:30" x14ac:dyDescent="0.6">
      <c r="A98" s="6"/>
      <c r="B98" s="5" t="s">
        <v>13</v>
      </c>
      <c r="E98" s="3">
        <f>SUM(E96:E97)</f>
        <v>17250.948862496607</v>
      </c>
      <c r="F98" s="3">
        <f>SUM(F96:F97)</f>
        <v>918869.1265514245</v>
      </c>
      <c r="G98" s="3">
        <f>SUM(G96:G97)</f>
        <v>554001.90040188853</v>
      </c>
      <c r="H98" s="3">
        <f>SUM(H96:H97)</f>
        <v>13730.915082314586</v>
      </c>
      <c r="I98" s="3">
        <f>SUM(I96:I97)</f>
        <v>10932.785126711959</v>
      </c>
      <c r="J98" s="3">
        <f>SUM(E98:I98)</f>
        <v>1514785.6760248363</v>
      </c>
      <c r="K98" s="3"/>
      <c r="L98" s="3"/>
      <c r="P98" s="273"/>
      <c r="Q98" s="242"/>
      <c r="R98" s="242"/>
      <c r="S98" s="242"/>
      <c r="U98" s="273"/>
      <c r="V98" s="349"/>
      <c r="W98" s="349"/>
      <c r="X98" s="349"/>
      <c r="Z98" s="273"/>
      <c r="AA98" s="349"/>
      <c r="AB98" s="349"/>
      <c r="AC98" s="349"/>
    </row>
    <row r="99" spans="1:30" ht="6.5" customHeight="1" x14ac:dyDescent="0.6">
      <c r="B99" s="254"/>
      <c r="U99" s="16"/>
      <c r="Z99" s="16"/>
    </row>
    <row r="100" spans="1:30" ht="15.5" x14ac:dyDescent="0.7">
      <c r="B100" s="570" t="s">
        <v>69</v>
      </c>
      <c r="C100" s="570"/>
      <c r="D100" s="570"/>
      <c r="E100" s="570"/>
      <c r="F100" s="570"/>
      <c r="G100" s="570"/>
      <c r="H100" s="570"/>
      <c r="I100" s="570"/>
      <c r="J100" s="570"/>
      <c r="K100" s="570"/>
      <c r="L100" s="570"/>
      <c r="M100" s="570"/>
      <c r="N100" s="570"/>
      <c r="P100" s="273"/>
      <c r="Q100" s="2"/>
      <c r="R100" s="2"/>
      <c r="S100" s="2"/>
      <c r="U100" s="2"/>
      <c r="V100" s="2"/>
      <c r="W100" s="2"/>
      <c r="X100" s="2"/>
      <c r="Z100" s="2"/>
      <c r="AA100" s="2"/>
      <c r="AB100" s="2"/>
      <c r="AC100" s="2"/>
    </row>
    <row r="101" spans="1:30" ht="15.5" x14ac:dyDescent="0.7">
      <c r="B101" s="570" t="s">
        <v>187</v>
      </c>
      <c r="C101" s="570"/>
      <c r="D101" s="570"/>
      <c r="E101" s="570"/>
      <c r="F101" s="570"/>
      <c r="G101" s="570"/>
      <c r="H101" s="570"/>
      <c r="I101" s="570"/>
      <c r="J101" s="570"/>
      <c r="K101" s="570"/>
      <c r="L101" s="570"/>
      <c r="M101" s="570"/>
      <c r="N101" s="570"/>
      <c r="P101" s="306"/>
      <c r="Q101" s="309"/>
      <c r="R101" s="309"/>
      <c r="S101" s="309"/>
      <c r="T101" s="307"/>
      <c r="U101" s="356"/>
      <c r="V101" s="350"/>
      <c r="W101" s="350"/>
      <c r="X101" s="350"/>
      <c r="Y101" s="307"/>
      <c r="Z101" s="356"/>
      <c r="AA101" s="350"/>
      <c r="AB101" s="350"/>
      <c r="AC101" s="350"/>
      <c r="AD101" s="307"/>
    </row>
    <row r="102" spans="1:30" ht="7" customHeight="1" x14ac:dyDescent="0.7">
      <c r="B102" s="570"/>
      <c r="C102" s="570"/>
      <c r="D102" s="570"/>
      <c r="E102" s="570"/>
      <c r="F102" s="570"/>
      <c r="G102" s="570"/>
      <c r="H102" s="570"/>
      <c r="I102" s="570"/>
      <c r="J102" s="570"/>
      <c r="K102" s="570"/>
      <c r="L102" s="570"/>
      <c r="M102" s="570"/>
      <c r="N102" s="570"/>
      <c r="P102" s="306"/>
      <c r="Q102" s="309"/>
      <c r="R102" s="309"/>
      <c r="S102" s="309"/>
      <c r="T102" s="307"/>
      <c r="U102" s="356"/>
      <c r="V102" s="350"/>
      <c r="W102" s="350"/>
      <c r="X102" s="350"/>
      <c r="Y102" s="307"/>
      <c r="Z102" s="356"/>
      <c r="AA102" s="350"/>
      <c r="AB102" s="350"/>
      <c r="AC102" s="350"/>
      <c r="AD102" s="307"/>
    </row>
    <row r="103" spans="1:30" ht="7" customHeight="1" x14ac:dyDescent="0.6">
      <c r="N103" s="102"/>
    </row>
    <row r="104" spans="1:30" ht="7" customHeight="1" x14ac:dyDescent="0.6">
      <c r="P104" s="306"/>
      <c r="Q104" s="242"/>
      <c r="R104" s="242"/>
      <c r="S104" s="242"/>
      <c r="T104" s="242"/>
      <c r="V104" s="351"/>
      <c r="W104" s="351"/>
      <c r="X104" s="351"/>
      <c r="AA104" s="351"/>
      <c r="AB104" s="351"/>
      <c r="AC104" s="351"/>
    </row>
    <row r="105" spans="1:30" ht="7" customHeight="1" x14ac:dyDescent="0.6">
      <c r="E105" s="15"/>
      <c r="O105" s="16"/>
      <c r="P105" s="1"/>
      <c r="Q105" s="358"/>
      <c r="R105" s="358"/>
      <c r="S105" s="358"/>
    </row>
    <row r="106" spans="1:30" x14ac:dyDescent="0.6">
      <c r="A106" s="6" t="s">
        <v>256</v>
      </c>
      <c r="B106" s="1" t="s">
        <v>238</v>
      </c>
      <c r="C106" s="17"/>
      <c r="E106" s="141"/>
      <c r="F106" s="8"/>
      <c r="P106" s="306"/>
      <c r="Q106" s="363"/>
      <c r="R106" s="363"/>
      <c r="S106" s="363"/>
      <c r="T106" s="342"/>
      <c r="V106" s="456"/>
      <c r="W106" s="456"/>
      <c r="X106" s="456"/>
      <c r="Y106" s="457"/>
      <c r="AA106" s="351"/>
      <c r="AB106" s="351"/>
      <c r="AC106" s="351"/>
      <c r="AD106" s="273"/>
    </row>
    <row r="107" spans="1:30" x14ac:dyDescent="0.6">
      <c r="B107" s="15" t="s">
        <v>492</v>
      </c>
      <c r="P107" s="306"/>
      <c r="Q107" s="307"/>
      <c r="R107" s="307"/>
      <c r="S107" s="307"/>
      <c r="AA107" s="307"/>
      <c r="AB107" s="307"/>
      <c r="AC107" s="307"/>
    </row>
    <row r="108" spans="1:30" x14ac:dyDescent="0.6">
      <c r="E108" s="2" t="s">
        <v>61</v>
      </c>
      <c r="F108" s="2" t="s">
        <v>62</v>
      </c>
      <c r="G108" s="2" t="s">
        <v>65</v>
      </c>
      <c r="H108" s="2" t="s">
        <v>203</v>
      </c>
      <c r="I108" s="2" t="s">
        <v>55</v>
      </c>
      <c r="P108" s="311"/>
      <c r="Q108" s="312"/>
      <c r="R108" s="312"/>
      <c r="S108" s="312"/>
      <c r="T108" s="273"/>
      <c r="V108" s="5"/>
      <c r="W108" s="5"/>
      <c r="X108" s="5"/>
      <c r="AA108" s="5"/>
      <c r="AB108" s="5"/>
      <c r="AC108" s="5"/>
    </row>
    <row r="109" spans="1:30" ht="7" customHeight="1" x14ac:dyDescent="0.6">
      <c r="P109" s="311"/>
      <c r="Q109" s="546"/>
      <c r="R109" s="546"/>
      <c r="S109" s="546"/>
      <c r="T109" s="547"/>
      <c r="U109" s="547"/>
      <c r="V109" s="352"/>
      <c r="W109" s="425"/>
      <c r="X109" s="425"/>
      <c r="Y109" s="425"/>
      <c r="Z109" s="273"/>
      <c r="AA109" s="352"/>
      <c r="AB109" s="352"/>
      <c r="AC109" s="352"/>
      <c r="AD109" s="273"/>
    </row>
    <row r="110" spans="1:30" x14ac:dyDescent="0.6">
      <c r="B110" s="23" t="s">
        <v>17</v>
      </c>
      <c r="E110" s="4">
        <f>SUM('BGS PTY23 Cost Alloc'!W65:W68)</f>
        <v>1986542.9326479128</v>
      </c>
      <c r="G110" s="4">
        <f>SUM('BGS PTY23 Cost Alloc'!G65:G68)*1000</f>
        <v>2176849000</v>
      </c>
      <c r="I110" s="4">
        <f>SUM('BGS PTY23 Cost Alloc'!I65:I68)*1000</f>
        <v>45335000</v>
      </c>
      <c r="P110" s="306"/>
      <c r="Q110" s="313"/>
      <c r="R110" s="313"/>
      <c r="S110" s="313"/>
      <c r="T110" s="273"/>
      <c r="U110" s="306"/>
      <c r="V110" s="353"/>
      <c r="W110" s="426"/>
      <c r="X110" s="426"/>
      <c r="Z110" s="273"/>
      <c r="AA110" s="353"/>
      <c r="AB110" s="353"/>
      <c r="AC110" s="353"/>
    </row>
    <row r="111" spans="1:30" x14ac:dyDescent="0.6">
      <c r="B111" s="63" t="s">
        <v>72</v>
      </c>
      <c r="E111" s="4">
        <f>ROUND(SUMPRODUCT('BGS PTY23 Cost Alloc'!E65:E68,'BGS PTY23 Cost Alloc'!E38:E41)*1000-AVERAGE('BGS PTY23 Cost Alloc'!E38:E41)*E110,0)</f>
        <v>25810490</v>
      </c>
      <c r="H111" s="4">
        <f>SUMPRODUCT('BGS PTY23 Cost Alloc'!H65:H68,'BGS PTY23 Cost Alloc'!H38:H41)*1000</f>
        <v>24685819.600000001</v>
      </c>
      <c r="O111" s="4"/>
      <c r="P111" s="306"/>
      <c r="Q111" s="314"/>
      <c r="R111" s="314"/>
      <c r="S111" s="314"/>
      <c r="U111" s="306"/>
      <c r="V111" s="353"/>
      <c r="W111" s="353"/>
      <c r="X111" s="353"/>
      <c r="AA111" s="353"/>
      <c r="AB111" s="353"/>
      <c r="AC111" s="353"/>
    </row>
    <row r="112" spans="1:30" x14ac:dyDescent="0.6">
      <c r="B112" s="63" t="s">
        <v>73</v>
      </c>
      <c r="E112" s="4">
        <f>ROUND(SUM('BGS PTY23 Cost Alloc'!E65:E68)*1000,0)-E110-E111</f>
        <v>35535967.067352086</v>
      </c>
      <c r="H112" s="4">
        <f>SUM('BGS PTY23 Cost Alloc'!H65:H68)*1000-H111</f>
        <v>30791180.399999999</v>
      </c>
      <c r="P112" s="306"/>
      <c r="Q112" s="207"/>
      <c r="R112" s="207"/>
      <c r="S112" s="207"/>
      <c r="T112" s="324"/>
      <c r="V112" s="354"/>
      <c r="W112" s="354"/>
      <c r="X112" s="354"/>
      <c r="AA112" s="354"/>
      <c r="AB112" s="354"/>
      <c r="AC112" s="354"/>
    </row>
    <row r="113" spans="1:32" x14ac:dyDescent="0.6">
      <c r="B113" s="73" t="s">
        <v>142</v>
      </c>
      <c r="F113" s="4">
        <f>ROUND('BGS PTY23 Cost Alloc'!R65,0)*1000</f>
        <v>1972747000</v>
      </c>
      <c r="P113" s="306"/>
      <c r="Q113" s="92"/>
      <c r="R113" s="92"/>
      <c r="S113" s="92"/>
      <c r="V113" s="92"/>
      <c r="W113" s="92"/>
      <c r="X113" s="92"/>
      <c r="AA113" s="92"/>
      <c r="AB113" s="92"/>
      <c r="AC113" s="92"/>
    </row>
    <row r="114" spans="1:32" x14ac:dyDescent="0.6">
      <c r="B114" s="73" t="s">
        <v>144</v>
      </c>
      <c r="F114" s="4">
        <f>ROUND('BGS PTY23 Cost Alloc'!R66,0)*1000</f>
        <v>2121317000</v>
      </c>
      <c r="O114" s="16"/>
    </row>
    <row r="115" spans="1:32" x14ac:dyDescent="0.6">
      <c r="O115" s="16"/>
      <c r="P115" s="1"/>
      <c r="Q115" s="358"/>
      <c r="R115" s="358"/>
      <c r="S115" s="358"/>
    </row>
    <row r="116" spans="1:32" x14ac:dyDescent="0.6">
      <c r="B116" s="23" t="s">
        <v>18</v>
      </c>
      <c r="E116" s="4">
        <f>'BGS PTY23 Cost Alloc'!W72-E110</f>
        <v>4931842.1941814804</v>
      </c>
      <c r="F116" s="4">
        <f>ROUND('BGS PTY23 Cost Alloc'!F72,0)*1000-SUM(F113:F114)</f>
        <v>5568269000</v>
      </c>
      <c r="G116" s="4">
        <f>'BGS PTY23 Cost Alloc'!G72*1000-G110</f>
        <v>3857947000</v>
      </c>
      <c r="I116" s="4">
        <f>'BGS PTY23 Cost Alloc'!I72*1000-'Composite Cost Allocation'!I110</f>
        <v>90653000</v>
      </c>
      <c r="P116" s="141"/>
      <c r="Q116" s="515"/>
      <c r="R116" s="515"/>
      <c r="S116" s="515"/>
      <c r="T116" s="273"/>
      <c r="U116" s="326"/>
      <c r="V116" s="355"/>
      <c r="W116" s="355"/>
      <c r="X116" s="355"/>
      <c r="AA116" s="355"/>
      <c r="AB116" s="355"/>
      <c r="AC116" s="355"/>
    </row>
    <row r="117" spans="1:32" x14ac:dyDescent="0.6">
      <c r="B117" s="63" t="s">
        <v>72</v>
      </c>
      <c r="E117" s="4">
        <f>SUMPRODUCT('BGS PTY23 Cost Alloc'!E60:E71,'BGS PTY23 Cost Alloc'!E33:E44)*1000-E111-SUMPRODUCT('BGS PTY23 Cost Alloc'!W60:W71,'BGS PTY23 Cost Alloc'!E33:E44)</f>
        <v>42195281.281316541</v>
      </c>
      <c r="H117" s="4">
        <f>SUMPRODUCT('BGS PTY23 Cost Alloc'!H60:H71,'BGS PTY23 Cost Alloc'!H33:H44)*1000-H111</f>
        <v>40633899.29999999</v>
      </c>
      <c r="P117" s="306"/>
      <c r="Q117" s="242"/>
      <c r="R117" s="242"/>
      <c r="S117" s="242"/>
      <c r="T117" s="326"/>
      <c r="U117" s="326"/>
      <c r="V117" s="355"/>
      <c r="W117" s="355"/>
      <c r="X117" s="355"/>
      <c r="Z117" s="235"/>
      <c r="AA117" s="355"/>
      <c r="AB117" s="355"/>
      <c r="AC117" s="355"/>
    </row>
    <row r="118" spans="1:32" x14ac:dyDescent="0.6">
      <c r="B118" s="63" t="s">
        <v>73</v>
      </c>
      <c r="E118" s="4">
        <f>'BGS PTY23 Cost Alloc'!E72*1000-E110-E111-E112-E116-E117</f>
        <v>75291876.524501979</v>
      </c>
      <c r="H118" s="4">
        <f>'BGS PTY23 Cost Alloc'!H72*1000-H111-H112-H117</f>
        <v>55495100.70000001</v>
      </c>
      <c r="Z118" s="235"/>
      <c r="AA118" s="235"/>
      <c r="AB118" s="235"/>
      <c r="AC118" s="235"/>
      <c r="AD118" s="235"/>
      <c r="AE118" s="235"/>
    </row>
    <row r="119" spans="1:32" x14ac:dyDescent="0.6">
      <c r="J119" s="2" t="s">
        <v>13</v>
      </c>
      <c r="K119" s="2"/>
      <c r="L119" s="2"/>
      <c r="V119" s="273"/>
      <c r="Z119" s="235"/>
      <c r="AA119" s="235"/>
      <c r="AB119" s="235"/>
      <c r="AC119" s="235"/>
      <c r="AD119" s="235"/>
      <c r="AE119" s="235"/>
    </row>
    <row r="120" spans="1:32" x14ac:dyDescent="0.6">
      <c r="B120" s="73" t="s">
        <v>162</v>
      </c>
      <c r="E120" s="4">
        <f>SUM(E110:E114)</f>
        <v>63333000</v>
      </c>
      <c r="F120" s="4">
        <f>SUM(F110:F114)</f>
        <v>4094064000</v>
      </c>
      <c r="G120" s="4">
        <f>SUM(G110:G114)</f>
        <v>2176849000</v>
      </c>
      <c r="H120" s="4">
        <f>SUM(H110:H114)</f>
        <v>55477000</v>
      </c>
      <c r="I120" s="4">
        <f>SUM(I110:I114)</f>
        <v>45335000</v>
      </c>
      <c r="J120" s="4">
        <f>SUM(E120:I120)</f>
        <v>6435058000</v>
      </c>
      <c r="K120" s="4"/>
      <c r="L120" s="4"/>
      <c r="Q120" s="323"/>
      <c r="R120" s="324"/>
      <c r="V120" s="273"/>
      <c r="W120" s="357"/>
      <c r="Z120" s="235"/>
      <c r="AA120" s="235"/>
      <c r="AB120" s="235"/>
      <c r="AC120" s="235"/>
      <c r="AD120" s="235"/>
      <c r="AE120" s="235"/>
    </row>
    <row r="121" spans="1:32" x14ac:dyDescent="0.6">
      <c r="B121" s="73" t="s">
        <v>163</v>
      </c>
      <c r="E121" s="116">
        <f>SUM(E116:E118)</f>
        <v>122419000</v>
      </c>
      <c r="F121" s="116">
        <f>SUM(F116:F118)</f>
        <v>5568269000</v>
      </c>
      <c r="G121" s="241">
        <f>SUM(G116:G118)</f>
        <v>3857947000</v>
      </c>
      <c r="H121" s="241">
        <f>SUM(H116:H118)</f>
        <v>96129000</v>
      </c>
      <c r="I121" s="241">
        <f>SUM(I116:I118)</f>
        <v>90653000</v>
      </c>
      <c r="J121" s="116">
        <f>SUM(E121:I121)</f>
        <v>9735417000</v>
      </c>
      <c r="K121" s="116"/>
      <c r="L121" s="116"/>
      <c r="V121" s="273"/>
      <c r="W121" s="357"/>
      <c r="AA121" s="235"/>
      <c r="AB121" s="235"/>
      <c r="AC121" s="235"/>
      <c r="AD121" s="235"/>
      <c r="AE121" s="235"/>
    </row>
    <row r="122" spans="1:32" ht="13.75" thickBot="1" x14ac:dyDescent="0.75">
      <c r="B122" s="73" t="s">
        <v>164</v>
      </c>
      <c r="E122" s="4">
        <f>SUM(E120:E121)</f>
        <v>185752000</v>
      </c>
      <c r="F122" s="4">
        <f>SUM(F120:F121)</f>
        <v>9662333000</v>
      </c>
      <c r="G122" s="4">
        <f>SUM(G120:G121)</f>
        <v>6034796000</v>
      </c>
      <c r="H122" s="4">
        <f>SUM(H120:H121)</f>
        <v>151606000</v>
      </c>
      <c r="I122" s="4">
        <f>SUM(I120:I121)</f>
        <v>135988000</v>
      </c>
      <c r="J122" s="4">
        <f>SUM(E122:I122)</f>
        <v>16170475000</v>
      </c>
      <c r="K122" s="4"/>
      <c r="L122" s="4"/>
      <c r="O122" s="327"/>
      <c r="P122" s="328" t="s">
        <v>316</v>
      </c>
      <c r="Q122" s="477">
        <v>0.99516218676096213</v>
      </c>
      <c r="R122" s="477">
        <v>0.99474137332860357</v>
      </c>
      <c r="S122" s="477">
        <v>0.99529402312331527</v>
      </c>
      <c r="T122" s="333" t="s">
        <v>320</v>
      </c>
      <c r="U122" s="501"/>
      <c r="V122" s="273"/>
      <c r="W122" s="349"/>
      <c r="X122" s="273"/>
      <c r="AF122" s="307"/>
    </row>
    <row r="123" spans="1:32" ht="2.5" customHeight="1" thickBot="1" x14ac:dyDescent="0.75">
      <c r="P123" s="141"/>
      <c r="Q123" s="329"/>
      <c r="R123" s="307"/>
      <c r="S123" s="273"/>
      <c r="U123" s="273"/>
      <c r="V123" s="4"/>
      <c r="W123" s="306"/>
      <c r="X123" s="502"/>
      <c r="Y123" s="503"/>
      <c r="AF123" s="307"/>
    </row>
    <row r="124" spans="1:32" ht="2.5" customHeight="1" x14ac:dyDescent="0.6">
      <c r="T124" s="273"/>
      <c r="U124" s="273"/>
      <c r="V124" s="504"/>
      <c r="W124" s="306"/>
      <c r="X124" s="502"/>
      <c r="Y124" s="503"/>
      <c r="AF124" s="307"/>
    </row>
    <row r="125" spans="1:32" ht="2.5" customHeight="1" x14ac:dyDescent="0.6">
      <c r="Q125" s="1"/>
      <c r="V125" s="307"/>
      <c r="X125" s="502"/>
    </row>
    <row r="126" spans="1:32" x14ac:dyDescent="0.6">
      <c r="A126" s="6" t="s">
        <v>257</v>
      </c>
      <c r="B126" s="1" t="s">
        <v>96</v>
      </c>
      <c r="P126" s="6"/>
      <c r="Q126" s="1"/>
    </row>
    <row r="127" spans="1:32" x14ac:dyDescent="0.6">
      <c r="A127" s="7"/>
      <c r="B127" s="1"/>
      <c r="P127" s="7"/>
      <c r="Q127" s="1"/>
    </row>
    <row r="128" spans="1:32" x14ac:dyDescent="0.6">
      <c r="A128" s="7"/>
      <c r="B128" s="1" t="s">
        <v>97</v>
      </c>
      <c r="P128" s="6"/>
      <c r="Q128" s="1"/>
    </row>
    <row r="129" spans="1:28" x14ac:dyDescent="0.6">
      <c r="A129" s="7"/>
      <c r="B129" s="15" t="s">
        <v>358</v>
      </c>
      <c r="P129" s="7"/>
      <c r="Q129" s="15"/>
    </row>
    <row r="130" spans="1:28" x14ac:dyDescent="0.6">
      <c r="A130" s="7"/>
      <c r="B130" s="15" t="s">
        <v>21</v>
      </c>
      <c r="P130" s="7"/>
      <c r="Q130" s="15"/>
    </row>
    <row r="131" spans="1:28" x14ac:dyDescent="0.6">
      <c r="A131" s="7"/>
      <c r="C131" s="2"/>
      <c r="D131" s="2"/>
      <c r="E131" s="2" t="str">
        <f>E108</f>
        <v>RT{1}</v>
      </c>
      <c r="F131" s="2" t="str">
        <f>F108</f>
        <v>RS{2}</v>
      </c>
      <c r="G131" s="2" t="str">
        <f>G108</f>
        <v>GS{3}</v>
      </c>
      <c r="H131" s="2" t="str">
        <f>H108</f>
        <v>GST {4}</v>
      </c>
      <c r="I131" s="2" t="str">
        <f>I108</f>
        <v>OL/SL</v>
      </c>
      <c r="J131" s="2"/>
      <c r="K131" s="2"/>
      <c r="L131" s="2"/>
      <c r="P131" s="7"/>
      <c r="R131" s="2"/>
      <c r="S131" s="2"/>
      <c r="T131" s="2"/>
      <c r="U131" s="2"/>
      <c r="V131" s="2"/>
      <c r="W131" s="2"/>
      <c r="X131" s="2"/>
      <c r="Y131" s="2"/>
      <c r="Z131" s="2"/>
    </row>
    <row r="132" spans="1:28" ht="3.5" customHeight="1" x14ac:dyDescent="0.6">
      <c r="A132" s="7"/>
      <c r="C132" s="2"/>
      <c r="D132" s="2"/>
      <c r="E132" s="60"/>
      <c r="F132" s="2"/>
      <c r="G132" s="2"/>
      <c r="P132" s="7"/>
      <c r="R132" s="2"/>
      <c r="S132" s="2"/>
      <c r="T132" s="60"/>
      <c r="U132" s="2"/>
      <c r="V132" s="2"/>
      <c r="AA132" s="2"/>
    </row>
    <row r="133" spans="1:28" x14ac:dyDescent="0.6">
      <c r="A133" s="7"/>
      <c r="B133" s="23" t="s">
        <v>17</v>
      </c>
      <c r="C133" s="60"/>
      <c r="D133" s="60"/>
      <c r="E133" s="60">
        <f>E85*1000/(E110/1000)</f>
        <v>92.915641174900017</v>
      </c>
      <c r="F133" s="60"/>
      <c r="G133" s="60">
        <f>G85*1000/(G110/1000)*S122</f>
        <v>92.152367287768001</v>
      </c>
      <c r="H133" s="60"/>
      <c r="I133" s="60">
        <f>I85*1000/(I110/1000)</f>
        <v>78.836124655214121</v>
      </c>
      <c r="J133" s="60"/>
      <c r="K133" s="60"/>
      <c r="L133" s="60"/>
      <c r="M133" s="60"/>
      <c r="P133" s="7"/>
      <c r="Q133" s="23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8" x14ac:dyDescent="0.6">
      <c r="A134" s="7"/>
      <c r="B134" s="63" t="s">
        <v>72</v>
      </c>
      <c r="C134" s="60"/>
      <c r="D134" s="60"/>
      <c r="E134" s="60">
        <f>E86*1000/(E111/1000)*Q122</f>
        <v>120.37996203020693</v>
      </c>
      <c r="F134" s="60"/>
      <c r="G134" s="60"/>
      <c r="H134" s="60">
        <f>H86*1000/(H111/1000)</f>
        <v>112.47070655844631</v>
      </c>
      <c r="I134" s="60"/>
      <c r="J134" s="60"/>
      <c r="K134" s="60"/>
      <c r="L134" s="60"/>
      <c r="P134" s="7"/>
      <c r="Q134" s="63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</row>
    <row r="135" spans="1:28" x14ac:dyDescent="0.6">
      <c r="A135" s="7"/>
      <c r="B135" s="63" t="s">
        <v>73</v>
      </c>
      <c r="C135" s="60"/>
      <c r="D135" s="60"/>
      <c r="E135" s="60">
        <f>E87*1000/(E112/1000)*Q122</f>
        <v>72.193100992632708</v>
      </c>
      <c r="F135" s="60"/>
      <c r="G135" s="60"/>
      <c r="H135" s="60">
        <f>H87*1000/(H112/1000)</f>
        <v>72.572110030842424</v>
      </c>
      <c r="I135" s="60"/>
      <c r="J135" s="60"/>
      <c r="K135" s="60"/>
      <c r="L135" s="60"/>
      <c r="P135" s="7"/>
      <c r="Q135" s="63"/>
      <c r="R135" s="60"/>
      <c r="S135" s="60"/>
      <c r="T135" s="60"/>
      <c r="U135" s="60"/>
      <c r="V135" s="60"/>
      <c r="W135" s="60"/>
      <c r="X135" s="60"/>
      <c r="Y135" s="60"/>
      <c r="Z135" s="60"/>
      <c r="AA135" s="60"/>
    </row>
    <row r="136" spans="1:28" x14ac:dyDescent="0.6">
      <c r="A136" s="7"/>
      <c r="B136" s="73" t="s">
        <v>142</v>
      </c>
      <c r="C136" s="60"/>
      <c r="D136" s="60"/>
      <c r="E136" s="60"/>
      <c r="F136" s="60">
        <f>F88*1000/(F113/1000)*R122</f>
        <v>88.876327068658227</v>
      </c>
      <c r="G136" s="60"/>
      <c r="H136" s="60"/>
      <c r="I136" s="60"/>
      <c r="J136" s="60"/>
      <c r="K136" s="60"/>
      <c r="L136" s="60"/>
      <c r="P136" s="7"/>
      <c r="Q136" s="73"/>
      <c r="R136" s="60"/>
      <c r="S136" s="60"/>
      <c r="T136" s="60"/>
      <c r="U136" s="60"/>
      <c r="V136" s="60"/>
      <c r="W136" s="60"/>
      <c r="X136" s="60"/>
      <c r="Y136" s="60"/>
      <c r="Z136" s="60"/>
      <c r="AA136" s="60"/>
    </row>
    <row r="137" spans="1:28" x14ac:dyDescent="0.6">
      <c r="A137" s="7"/>
      <c r="B137" s="73" t="s">
        <v>144</v>
      </c>
      <c r="C137" s="60"/>
      <c r="D137" s="60"/>
      <c r="E137" s="60"/>
      <c r="F137" s="60">
        <f>F89*1000/(F114/1000)*R122</f>
        <v>97.482829430697294</v>
      </c>
      <c r="G137" s="60"/>
      <c r="H137" s="60"/>
      <c r="I137" s="60"/>
      <c r="J137" s="60"/>
      <c r="K137" s="60"/>
      <c r="L137" s="60"/>
      <c r="P137" s="7"/>
      <c r="Q137" s="73"/>
      <c r="R137" s="60"/>
      <c r="S137" s="60"/>
      <c r="T137" s="60"/>
      <c r="U137" s="60"/>
      <c r="V137" s="101"/>
      <c r="W137" s="60"/>
      <c r="X137" s="60"/>
      <c r="Y137" s="60"/>
      <c r="Z137" s="60"/>
      <c r="AA137" s="60"/>
    </row>
    <row r="138" spans="1:28" x14ac:dyDescent="0.6">
      <c r="A138" s="7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P138" s="7"/>
      <c r="R138" s="60"/>
      <c r="S138" s="60"/>
      <c r="T138" s="60"/>
      <c r="U138" s="60"/>
      <c r="V138" s="60"/>
      <c r="W138" s="60"/>
      <c r="X138" s="60"/>
      <c r="Y138" s="60"/>
      <c r="Z138" s="60"/>
      <c r="AA138" s="60"/>
    </row>
    <row r="139" spans="1:28" x14ac:dyDescent="0.6">
      <c r="A139" s="7"/>
      <c r="B139" s="23" t="s">
        <v>18</v>
      </c>
      <c r="C139" s="60"/>
      <c r="D139" s="60"/>
      <c r="E139" s="60">
        <f>E91*1000/(E116/1000)</f>
        <v>92.84864823106011</v>
      </c>
      <c r="F139" s="60">
        <f>F91*1000/(F116/1000)*R122</f>
        <v>95.52603259286964</v>
      </c>
      <c r="G139" s="60">
        <f>G91*1000/(G116/1000)*S122</f>
        <v>90.927374505390404</v>
      </c>
      <c r="H139" s="60"/>
      <c r="I139" s="60">
        <f>I91*1000/(I116/1000)</f>
        <v>81.174913300914767</v>
      </c>
      <c r="J139" s="60"/>
      <c r="K139" s="60"/>
      <c r="L139" s="60"/>
      <c r="M139" s="60"/>
      <c r="P139" s="7"/>
      <c r="Q139" s="23"/>
      <c r="R139" s="60"/>
      <c r="S139" s="60"/>
      <c r="T139" s="60"/>
      <c r="U139" s="60"/>
      <c r="V139" s="60"/>
      <c r="W139" s="60"/>
      <c r="X139" s="60"/>
      <c r="Y139" s="60"/>
      <c r="Z139" s="60"/>
      <c r="AA139" s="60"/>
    </row>
    <row r="140" spans="1:28" x14ac:dyDescent="0.6">
      <c r="A140" s="7"/>
      <c r="B140" s="63" t="s">
        <v>72</v>
      </c>
      <c r="C140" s="60"/>
      <c r="D140" s="60"/>
      <c r="E140" s="60">
        <f>E92*1000/(E117/1000)*Q122</f>
        <v>118.14049984086181</v>
      </c>
      <c r="F140" s="60"/>
      <c r="G140" s="60"/>
      <c r="H140" s="60">
        <f>H92*1000/(H117/1000)</f>
        <v>108.05243875582907</v>
      </c>
      <c r="I140" s="60"/>
      <c r="J140" s="60"/>
      <c r="K140" s="60"/>
      <c r="L140" s="60"/>
      <c r="P140" s="7"/>
      <c r="Q140" s="63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</row>
    <row r="141" spans="1:28" x14ac:dyDescent="0.6">
      <c r="A141" s="7"/>
      <c r="B141" s="63" t="s">
        <v>73</v>
      </c>
      <c r="C141" s="60"/>
      <c r="D141" s="60"/>
      <c r="E141" s="60">
        <f>E93*1000/(E118/1000)*Q122</f>
        <v>77.971431460678971</v>
      </c>
      <c r="F141" s="60"/>
      <c r="G141" s="60"/>
      <c r="H141" s="60">
        <f>H93*1000/(H118/1000)</f>
        <v>78.012484126119418</v>
      </c>
      <c r="I141" s="60"/>
      <c r="J141" s="60"/>
      <c r="K141" s="60"/>
      <c r="L141" s="60"/>
      <c r="P141" s="7"/>
      <c r="Q141" s="63"/>
      <c r="R141" s="60"/>
      <c r="S141" s="60"/>
      <c r="T141" s="60"/>
      <c r="U141" s="60"/>
      <c r="V141" s="60"/>
      <c r="W141" s="60"/>
      <c r="X141" s="60"/>
      <c r="Y141" s="60"/>
      <c r="Z141" s="60"/>
      <c r="AA141" s="60"/>
    </row>
    <row r="142" spans="1:28" x14ac:dyDescent="0.6">
      <c r="A142" s="7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P142" s="7"/>
      <c r="R142" s="60"/>
      <c r="S142" s="60"/>
      <c r="T142" s="60"/>
      <c r="U142" s="60"/>
      <c r="V142" s="60"/>
      <c r="W142" s="60"/>
      <c r="X142" s="60"/>
      <c r="Y142" s="60"/>
      <c r="Z142" s="60"/>
      <c r="AA142" s="60"/>
    </row>
    <row r="143" spans="1:28" x14ac:dyDescent="0.6">
      <c r="A143" s="7"/>
      <c r="B143" t="s">
        <v>98</v>
      </c>
      <c r="C143" s="60"/>
      <c r="D143" s="60"/>
      <c r="E143" s="60">
        <f>E98*1000/(E122/1000)*Q122</f>
        <v>92.421572815924762</v>
      </c>
      <c r="F143" s="60">
        <f>F98*1000/(F122/1000)*R122</f>
        <v>94.597975132405224</v>
      </c>
      <c r="G143" s="60">
        <f>G98*1000/(G122/1000)*S122</f>
        <v>91.3692493116516</v>
      </c>
      <c r="H143" s="60">
        <f>H98*1000/(H122/1000)</f>
        <v>90.569733930811353</v>
      </c>
      <c r="I143" s="60">
        <f>I98*1000/(I122/1000)</f>
        <v>80.395219627555065</v>
      </c>
      <c r="J143" s="60"/>
      <c r="K143" s="60"/>
      <c r="L143" s="60"/>
      <c r="M143" s="60"/>
      <c r="P143" s="7"/>
      <c r="R143" s="60"/>
      <c r="S143" s="60"/>
      <c r="T143" s="60"/>
      <c r="U143" s="60"/>
      <c r="V143" s="60"/>
      <c r="W143" s="60"/>
      <c r="X143" s="60"/>
      <c r="Y143" s="60"/>
      <c r="Z143" s="60"/>
      <c r="AA143" s="60"/>
    </row>
    <row r="144" spans="1:28" ht="6.5" customHeight="1" x14ac:dyDescent="0.6">
      <c r="A144" s="7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P144" s="7"/>
      <c r="R144" s="60"/>
      <c r="S144" s="60"/>
      <c r="T144" s="330"/>
      <c r="U144" s="330"/>
      <c r="V144" s="330"/>
      <c r="W144" s="331"/>
      <c r="X144" s="331"/>
      <c r="Y144" s="60"/>
      <c r="Z144" s="60"/>
      <c r="AA144" s="60"/>
      <c r="AB144" s="60"/>
    </row>
    <row r="145" spans="1:29" x14ac:dyDescent="0.6">
      <c r="A145" s="7"/>
      <c r="B145" s="1" t="s">
        <v>99</v>
      </c>
      <c r="P145" s="7"/>
      <c r="Q145" s="1"/>
      <c r="T145" s="332"/>
      <c r="U145" s="332"/>
      <c r="V145" s="332"/>
      <c r="W145" s="332"/>
      <c r="X145" s="332"/>
      <c r="AA145" s="60"/>
      <c r="AB145" s="60"/>
    </row>
    <row r="146" spans="1:29" x14ac:dyDescent="0.6">
      <c r="A146" s="7"/>
      <c r="B146" s="15" t="s">
        <v>491</v>
      </c>
      <c r="P146" s="7"/>
      <c r="Q146" s="15"/>
    </row>
    <row r="147" spans="1:29" ht="7.5" customHeight="1" x14ac:dyDescent="0.6">
      <c r="A147" s="7"/>
      <c r="B147" s="15"/>
      <c r="R147" s="273"/>
      <c r="S147" s="273"/>
    </row>
    <row r="148" spans="1:29" ht="7.5" customHeight="1" x14ac:dyDescent="0.6">
      <c r="A148" s="7"/>
      <c r="C148" s="60"/>
      <c r="D148" s="60"/>
      <c r="Q148" s="186"/>
      <c r="R148" s="316"/>
      <c r="S148" s="316"/>
      <c r="T148" s="186"/>
      <c r="U148" s="186"/>
      <c r="V148" s="186"/>
      <c r="W148" s="186"/>
      <c r="X148" s="186"/>
      <c r="Y148" s="186"/>
      <c r="Z148" s="186"/>
      <c r="AA148" s="60"/>
      <c r="AB148" s="77"/>
    </row>
    <row r="149" spans="1:29" x14ac:dyDescent="0.6">
      <c r="A149" s="7"/>
      <c r="B149" s="32" t="s">
        <v>101</v>
      </c>
      <c r="C149" s="60"/>
      <c r="D149" s="60"/>
      <c r="I149" s="80"/>
      <c r="M149" s="77"/>
      <c r="Q149" s="318"/>
      <c r="R149" s="316"/>
      <c r="S149" s="316"/>
      <c r="T149" s="186"/>
      <c r="U149" s="186"/>
      <c r="V149" s="186"/>
      <c r="W149" s="186"/>
      <c r="X149" s="186"/>
      <c r="Y149" s="186"/>
      <c r="Z149" s="186"/>
    </row>
    <row r="150" spans="1:29" ht="5" customHeight="1" x14ac:dyDescent="0.6">
      <c r="A150" s="7"/>
      <c r="B150" s="63"/>
      <c r="C150" s="60"/>
      <c r="D150" s="60"/>
      <c r="I150" s="73"/>
      <c r="J150" s="64"/>
      <c r="K150" s="64"/>
      <c r="L150" s="64"/>
      <c r="M150" s="77"/>
      <c r="Q150" s="315"/>
      <c r="R150" s="316"/>
      <c r="S150" s="316"/>
      <c r="T150" s="186"/>
      <c r="U150" s="186"/>
      <c r="V150" s="186"/>
      <c r="W150" s="186"/>
      <c r="X150" s="186"/>
      <c r="Y150" s="186"/>
      <c r="Z150" s="186"/>
      <c r="AB150" s="77"/>
    </row>
    <row r="151" spans="1:29" x14ac:dyDescent="0.6">
      <c r="A151" s="7"/>
      <c r="B151" s="1" t="s">
        <v>102</v>
      </c>
      <c r="C151" s="60"/>
      <c r="D151" s="60"/>
      <c r="Q151" s="315"/>
      <c r="R151" s="316"/>
      <c r="S151" s="316"/>
      <c r="T151" s="186"/>
      <c r="U151" s="186"/>
      <c r="V151" s="186"/>
      <c r="W151" s="186"/>
      <c r="X151" s="186"/>
      <c r="Y151" s="186"/>
      <c r="Z151" s="186"/>
    </row>
    <row r="152" spans="1:29" x14ac:dyDescent="0.6">
      <c r="A152" s="7"/>
      <c r="B152" s="73" t="s">
        <v>103</v>
      </c>
      <c r="C152" s="68">
        <f>J98</f>
        <v>1514785.6760248363</v>
      </c>
      <c r="G152" s="3"/>
      <c r="Q152" s="315"/>
      <c r="R152" s="316"/>
      <c r="S152" s="316"/>
      <c r="T152" s="186"/>
      <c r="U152" s="186"/>
      <c r="V152" s="186"/>
      <c r="W152" s="186"/>
      <c r="X152" s="186"/>
      <c r="Y152" s="186"/>
      <c r="Z152" s="186"/>
    </row>
    <row r="153" spans="1:29" x14ac:dyDescent="0.6">
      <c r="A153" s="7"/>
      <c r="C153" s="73" t="s">
        <v>104</v>
      </c>
      <c r="D153" s="79">
        <f>+C152/SUMPRODUCT('BGS PTY23 Cost Alloc'!E72:I72,'BGS PTY23 Cost Alloc'!E95:I95)*1000</f>
        <v>83.788980957504023</v>
      </c>
      <c r="E153" t="s">
        <v>105</v>
      </c>
      <c r="I153" t="s">
        <v>251</v>
      </c>
      <c r="Q153" s="315"/>
      <c r="R153" s="316"/>
      <c r="S153" s="316"/>
      <c r="T153" s="186"/>
      <c r="U153" s="186"/>
      <c r="V153" s="186"/>
      <c r="W153" s="186"/>
      <c r="X153" s="186"/>
      <c r="Y153" s="186"/>
      <c r="Z153" s="186"/>
    </row>
    <row r="154" spans="1:29" x14ac:dyDescent="0.6">
      <c r="A154" s="7"/>
      <c r="B154" s="199"/>
      <c r="C154" s="205" t="s">
        <v>266</v>
      </c>
      <c r="D154" s="206">
        <f>C152/SUMPRODUCT('BGS PTY23 Cost Alloc'!E72:I72,'BGS PTY23 Cost Alloc'!E98:I98)*1000</f>
        <v>84.630318890732838</v>
      </c>
      <c r="E154" s="199" t="s">
        <v>264</v>
      </c>
      <c r="F154" s="199"/>
      <c r="G154" s="199"/>
      <c r="H154" s="199"/>
      <c r="I154" s="199"/>
      <c r="J154" s="207"/>
      <c r="K154" s="207"/>
      <c r="L154" s="207"/>
      <c r="Q154" s="199"/>
      <c r="R154" s="205"/>
      <c r="S154" s="206"/>
      <c r="T154" s="199"/>
      <c r="U154" s="199"/>
      <c r="V154" s="199"/>
      <c r="W154" s="199"/>
      <c r="X154" s="199"/>
      <c r="Y154" s="207"/>
      <c r="Z154" s="207"/>
    </row>
    <row r="155" spans="1:29" ht="15.5" x14ac:dyDescent="0.7">
      <c r="A155" s="7"/>
      <c r="B155" s="570" t="str">
        <f>$B$1</f>
        <v xml:space="preserve">Jersey Central Power &amp; Light </v>
      </c>
      <c r="C155" s="570"/>
      <c r="D155" s="570"/>
      <c r="E155" s="570"/>
      <c r="F155" s="570"/>
      <c r="G155" s="570"/>
      <c r="H155" s="570"/>
      <c r="I155" s="570"/>
      <c r="J155" s="570"/>
      <c r="K155" s="570"/>
      <c r="L155" s="570"/>
      <c r="M155" s="570"/>
      <c r="N155" s="570"/>
      <c r="P155" s="7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207"/>
    </row>
    <row r="156" spans="1:29" ht="15.5" x14ac:dyDescent="0.7">
      <c r="A156" s="7"/>
      <c r="B156" s="570" t="str">
        <f>$B$2</f>
        <v>Attachment 2</v>
      </c>
      <c r="C156" s="570"/>
      <c r="D156" s="570"/>
      <c r="E156" s="570"/>
      <c r="F156" s="570"/>
      <c r="G156" s="570"/>
      <c r="H156" s="570"/>
      <c r="I156" s="570"/>
      <c r="J156" s="570"/>
      <c r="K156" s="570"/>
      <c r="L156" s="570"/>
      <c r="M156" s="570"/>
      <c r="N156" s="570"/>
      <c r="P156" s="7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</row>
    <row r="157" spans="1:29" ht="15.5" x14ac:dyDescent="0.7">
      <c r="A157" s="7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P157" s="7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</row>
    <row r="158" spans="1:29" x14ac:dyDescent="0.6">
      <c r="A158" s="6" t="s">
        <v>258</v>
      </c>
      <c r="B158" s="1" t="s">
        <v>269</v>
      </c>
      <c r="J158" s="1" t="s">
        <v>251</v>
      </c>
      <c r="K158" s="1"/>
      <c r="L158" s="1"/>
      <c r="M158" s="1"/>
      <c r="N158" s="1"/>
      <c r="P158" s="6"/>
      <c r="Q158" s="204"/>
      <c r="R158" s="199"/>
      <c r="S158" s="199"/>
      <c r="T158" s="199"/>
      <c r="U158" s="199"/>
      <c r="V158" s="199"/>
      <c r="W158" s="199"/>
      <c r="X158" s="199"/>
      <c r="Y158" s="1"/>
      <c r="Z158" s="1"/>
    </row>
    <row r="159" spans="1:29" x14ac:dyDescent="0.6">
      <c r="A159" s="7"/>
      <c r="B159" s="1"/>
      <c r="P159" s="7"/>
      <c r="Q159" s="204"/>
      <c r="R159" s="199"/>
      <c r="S159" s="199"/>
      <c r="T159" s="199"/>
      <c r="U159" s="199"/>
      <c r="V159" s="199"/>
      <c r="W159" s="199"/>
      <c r="X159" s="199"/>
      <c r="AA159" s="1"/>
      <c r="AB159" s="1"/>
      <c r="AC159" s="1"/>
    </row>
    <row r="160" spans="1:29" x14ac:dyDescent="0.6">
      <c r="A160" s="7"/>
      <c r="B160" s="1" t="s">
        <v>97</v>
      </c>
      <c r="P160" s="7"/>
      <c r="Q160" s="204"/>
      <c r="R160" s="199"/>
      <c r="S160" s="199"/>
      <c r="T160" s="199"/>
      <c r="U160" s="199"/>
      <c r="V160" s="199"/>
      <c r="W160" s="199"/>
      <c r="X160" s="199"/>
    </row>
    <row r="161" spans="1:29" x14ac:dyDescent="0.6">
      <c r="A161" s="7"/>
      <c r="B161" s="15" t="s">
        <v>359</v>
      </c>
      <c r="P161" s="7"/>
      <c r="Q161" s="212"/>
      <c r="R161" s="199"/>
      <c r="S161" s="199"/>
      <c r="T161" s="199"/>
      <c r="U161" s="199"/>
      <c r="V161" s="199"/>
      <c r="W161" s="199"/>
      <c r="X161" s="199"/>
    </row>
    <row r="162" spans="1:29" x14ac:dyDescent="0.6">
      <c r="A162" s="7"/>
      <c r="B162" s="1"/>
      <c r="P162" s="7"/>
      <c r="Q162" s="204"/>
      <c r="R162" s="199"/>
      <c r="S162" s="199"/>
      <c r="T162" s="199"/>
      <c r="U162" s="199"/>
      <c r="V162" s="199"/>
      <c r="W162" s="199"/>
      <c r="X162" s="199"/>
    </row>
    <row r="163" spans="1:29" x14ac:dyDescent="0.6">
      <c r="A163" s="7"/>
      <c r="C163" s="2"/>
      <c r="D163" s="2"/>
      <c r="E163" s="2" t="str">
        <f>+E$10</f>
        <v>RT{1}</v>
      </c>
      <c r="F163" s="2" t="str">
        <f>+F$10</f>
        <v>RS{2}</v>
      </c>
      <c r="G163" s="2" t="str">
        <f>+G$10</f>
        <v>GS{3}</v>
      </c>
      <c r="H163" s="2" t="str">
        <f>+H$10</f>
        <v>GST {4}</v>
      </c>
      <c r="I163" s="2" t="str">
        <f>+I$10</f>
        <v>OL/SL</v>
      </c>
      <c r="J163" s="2"/>
      <c r="K163" s="2"/>
      <c r="L163" s="2"/>
      <c r="M163" s="2"/>
      <c r="N163" s="2"/>
      <c r="P163" s="7"/>
      <c r="Q163" s="199"/>
      <c r="R163" s="202"/>
      <c r="S163" s="202"/>
      <c r="T163" s="202"/>
      <c r="U163" s="202"/>
      <c r="V163" s="202"/>
      <c r="W163" s="202"/>
      <c r="X163" s="202"/>
      <c r="Y163" s="2"/>
      <c r="Z163" s="2"/>
    </row>
    <row r="164" spans="1:29" x14ac:dyDescent="0.6">
      <c r="A164" s="7"/>
      <c r="C164" s="2"/>
      <c r="D164" s="2"/>
      <c r="E164" s="2"/>
      <c r="F164" s="2"/>
      <c r="G164" s="2"/>
      <c r="P164" s="7"/>
      <c r="Q164" s="199"/>
      <c r="R164" s="202"/>
      <c r="S164" s="202"/>
      <c r="T164" s="202"/>
      <c r="U164" s="202"/>
      <c r="V164" s="202"/>
      <c r="W164" s="199"/>
      <c r="X164" s="199"/>
      <c r="AA164" s="2"/>
      <c r="AB164" s="2"/>
      <c r="AC164" s="2"/>
    </row>
    <row r="165" spans="1:29" x14ac:dyDescent="0.6">
      <c r="A165" s="7"/>
      <c r="B165" s="23" t="s">
        <v>17</v>
      </c>
      <c r="C165" s="81"/>
      <c r="D165" s="81"/>
      <c r="E165" s="105">
        <f>+ROUND(E133/$D$154,3)</f>
        <v>1.0980000000000001</v>
      </c>
      <c r="F165" s="105">
        <f>ROUND((F88+F89)*R122*1000000/(F113+F114)/D154,3)</f>
        <v>1.103</v>
      </c>
      <c r="G165" s="105">
        <f>+ROUND(G133/$D$154,3)</f>
        <v>1.089</v>
      </c>
      <c r="H165" s="105"/>
      <c r="I165" s="105">
        <f>+ROUND(I133/$D$154,3)</f>
        <v>0.93200000000000005</v>
      </c>
      <c r="J165" s="81"/>
      <c r="K165" s="81"/>
      <c r="L165" s="81"/>
      <c r="M165" s="81"/>
      <c r="N165" s="81"/>
      <c r="P165" s="7"/>
      <c r="Q165" s="213"/>
      <c r="R165" s="214"/>
      <c r="S165" s="214"/>
      <c r="T165" s="215"/>
      <c r="U165" s="215"/>
      <c r="V165" s="215"/>
      <c r="W165" s="215"/>
      <c r="X165" s="215"/>
      <c r="Y165" s="81"/>
      <c r="Z165" s="81"/>
    </row>
    <row r="166" spans="1:29" x14ac:dyDescent="0.6">
      <c r="A166" s="7"/>
      <c r="B166" s="63" t="s">
        <v>72</v>
      </c>
      <c r="C166" s="83"/>
      <c r="D166" s="83"/>
      <c r="E166" s="105">
        <f>+ROUND(E134/$D$154,3)</f>
        <v>1.4219999999999999</v>
      </c>
      <c r="F166" s="106"/>
      <c r="G166" s="106"/>
      <c r="H166" s="105">
        <f>+ROUND(H134/$D$154,3)</f>
        <v>1.329</v>
      </c>
      <c r="I166" s="106"/>
      <c r="J166" s="83"/>
      <c r="K166" s="83"/>
      <c r="L166" s="83"/>
      <c r="M166" s="83"/>
      <c r="N166" s="83"/>
      <c r="P166" s="7"/>
      <c r="Q166" s="216"/>
      <c r="R166" s="217"/>
      <c r="S166" s="217"/>
      <c r="T166" s="215"/>
      <c r="U166" s="218"/>
      <c r="V166" s="218"/>
      <c r="W166" s="215"/>
      <c r="X166" s="218"/>
      <c r="Y166" s="83"/>
      <c r="Z166" s="83"/>
      <c r="AA166" s="81"/>
      <c r="AB166" s="81"/>
      <c r="AC166" s="81"/>
    </row>
    <row r="167" spans="1:29" x14ac:dyDescent="0.6">
      <c r="A167" s="7"/>
      <c r="B167" s="63" t="s">
        <v>73</v>
      </c>
      <c r="C167" s="83"/>
      <c r="D167" s="83"/>
      <c r="E167" s="105">
        <f>+ROUND(E135/$D$154,3)</f>
        <v>0.85299999999999998</v>
      </c>
      <c r="F167" s="106"/>
      <c r="G167" s="106"/>
      <c r="H167" s="105">
        <f>+ROUND(H135/$D$154,3)</f>
        <v>0.85799999999999998</v>
      </c>
      <c r="I167" s="106"/>
      <c r="J167" s="83"/>
      <c r="K167" s="83"/>
      <c r="L167" s="83"/>
      <c r="M167" s="83"/>
      <c r="N167" s="83"/>
      <c r="O167" s="106"/>
      <c r="P167" s="7"/>
      <c r="Q167" s="216"/>
      <c r="R167" s="217"/>
      <c r="S167" s="217"/>
      <c r="T167" s="215"/>
      <c r="U167" s="218"/>
      <c r="V167" s="218"/>
      <c r="W167" s="215"/>
      <c r="X167" s="218"/>
      <c r="Y167" s="83"/>
      <c r="Z167" s="106"/>
      <c r="AA167" s="83"/>
      <c r="AB167" s="83"/>
      <c r="AC167" s="83"/>
    </row>
    <row r="168" spans="1:29" x14ac:dyDescent="0.6">
      <c r="A168" s="7"/>
      <c r="B168" s="63"/>
      <c r="C168" s="83"/>
      <c r="D168" s="83"/>
      <c r="E168" s="105"/>
      <c r="G168" s="106"/>
      <c r="H168" s="105"/>
      <c r="I168" s="106"/>
      <c r="K168" s="106"/>
      <c r="L168" s="106"/>
      <c r="M168" s="106"/>
      <c r="N168" s="106"/>
      <c r="O168" s="106"/>
      <c r="P168" s="7"/>
      <c r="Q168" s="63"/>
      <c r="R168" s="83"/>
      <c r="S168" s="83"/>
      <c r="T168" s="105"/>
      <c r="V168" s="106"/>
      <c r="W168" s="105"/>
      <c r="X168" s="106"/>
      <c r="Z168" s="106"/>
      <c r="AA168" s="83"/>
      <c r="AB168" s="83"/>
      <c r="AC168" s="83"/>
    </row>
    <row r="169" spans="1:29" x14ac:dyDescent="0.6">
      <c r="A169" s="7"/>
      <c r="B169" s="63"/>
      <c r="C169" s="83"/>
      <c r="D169" s="83"/>
      <c r="E169" s="105"/>
      <c r="G169" s="106"/>
      <c r="H169" s="105"/>
      <c r="I169" s="106"/>
      <c r="K169" s="106"/>
      <c r="L169" s="106"/>
      <c r="M169" s="106"/>
      <c r="N169" s="106"/>
      <c r="O169" s="106"/>
      <c r="P169" s="7"/>
      <c r="Q169" s="63"/>
      <c r="R169" s="83"/>
      <c r="S169" s="83"/>
      <c r="T169" s="105"/>
      <c r="V169" s="106"/>
      <c r="W169" s="105"/>
      <c r="X169" s="106"/>
      <c r="Z169" s="106"/>
      <c r="AA169" s="106"/>
      <c r="AB169" s="106"/>
      <c r="AC169" s="106"/>
    </row>
    <row r="170" spans="1:29" x14ac:dyDescent="0.6">
      <c r="A170" s="7"/>
      <c r="C170" s="96"/>
      <c r="D170" s="96"/>
      <c r="E170" s="107" t="s">
        <v>156</v>
      </c>
      <c r="F170" s="105">
        <f>ROUND(O168-O167,3)</f>
        <v>0</v>
      </c>
      <c r="G170" s="106"/>
      <c r="H170" s="105"/>
      <c r="I170" s="106"/>
      <c r="J170" s="83"/>
      <c r="K170" s="83"/>
      <c r="L170" s="83"/>
      <c r="M170" s="83"/>
      <c r="N170" s="83"/>
      <c r="P170" s="7"/>
      <c r="R170" s="96"/>
      <c r="S170" s="96"/>
      <c r="T170" s="107"/>
      <c r="U170" s="105"/>
      <c r="V170" s="106"/>
      <c r="W170" s="105"/>
      <c r="X170" s="106"/>
      <c r="Y170" s="83"/>
      <c r="Z170" s="83"/>
      <c r="AA170" s="83"/>
      <c r="AB170" s="83"/>
      <c r="AC170" s="83"/>
    </row>
    <row r="171" spans="1:29" x14ac:dyDescent="0.6">
      <c r="A171" s="7"/>
      <c r="C171" s="96"/>
      <c r="D171" s="96"/>
      <c r="E171" s="107" t="s">
        <v>157</v>
      </c>
      <c r="F171" s="105">
        <f>ROUND(O169-O167,3)</f>
        <v>0</v>
      </c>
      <c r="G171" s="106"/>
      <c r="H171" s="105"/>
      <c r="I171" s="106"/>
      <c r="J171" s="83"/>
      <c r="K171" s="83"/>
      <c r="L171" s="83"/>
      <c r="M171" s="83"/>
      <c r="N171" s="83"/>
      <c r="P171" s="7"/>
      <c r="R171" s="96"/>
      <c r="S171" s="96"/>
      <c r="T171" s="107"/>
      <c r="U171" s="105"/>
      <c r="V171" s="106"/>
      <c r="W171" s="105"/>
      <c r="X171" s="106"/>
      <c r="Y171" s="83"/>
      <c r="Z171" s="83"/>
      <c r="AA171" s="83"/>
      <c r="AB171" s="83"/>
      <c r="AC171" s="83"/>
    </row>
    <row r="172" spans="1:29" x14ac:dyDescent="0.6">
      <c r="A172" s="7"/>
      <c r="C172" s="83"/>
      <c r="D172" s="83"/>
      <c r="E172" s="106"/>
      <c r="F172" s="106"/>
      <c r="G172" s="106"/>
      <c r="H172" s="106"/>
      <c r="I172" s="106"/>
      <c r="J172" s="83"/>
      <c r="K172" s="83"/>
      <c r="L172" s="83"/>
      <c r="M172" s="83"/>
      <c r="N172" s="83"/>
      <c r="P172" s="7"/>
      <c r="R172" s="83"/>
      <c r="S172" s="83"/>
      <c r="T172" s="106"/>
      <c r="U172" s="106"/>
      <c r="V172" s="106"/>
      <c r="W172" s="106"/>
      <c r="X172" s="106"/>
      <c r="Y172" s="83"/>
      <c r="Z172" s="83"/>
      <c r="AA172" s="83"/>
      <c r="AB172" s="83"/>
      <c r="AC172" s="83"/>
    </row>
    <row r="173" spans="1:29" x14ac:dyDescent="0.6">
      <c r="A173" s="7"/>
      <c r="B173" s="23" t="s">
        <v>18</v>
      </c>
      <c r="C173" s="81"/>
      <c r="D173" s="81"/>
      <c r="E173" s="105">
        <f>ROUND(E139/$D$154,3)</f>
        <v>1.097</v>
      </c>
      <c r="F173" s="105">
        <f>ROUND(F139/$D$154,3)</f>
        <v>1.129</v>
      </c>
      <c r="G173" s="105">
        <f>ROUND(G139/$D$154,3)</f>
        <v>1.0740000000000001</v>
      </c>
      <c r="H173" s="105"/>
      <c r="I173" s="105">
        <f>ROUND(I139/$D$154,3)</f>
        <v>0.95899999999999996</v>
      </c>
      <c r="J173" s="81"/>
      <c r="K173" s="81"/>
      <c r="L173" s="81"/>
      <c r="M173" s="81"/>
      <c r="N173" s="81"/>
      <c r="P173" s="7"/>
      <c r="Q173" s="213"/>
      <c r="R173" s="214"/>
      <c r="S173" s="214"/>
      <c r="T173" s="215"/>
      <c r="U173" s="215"/>
      <c r="V173" s="215"/>
      <c r="W173" s="215"/>
      <c r="X173" s="215"/>
      <c r="Y173" s="81"/>
      <c r="Z173" s="81"/>
      <c r="AA173" s="83"/>
      <c r="AB173" s="83"/>
      <c r="AC173" s="83"/>
    </row>
    <row r="174" spans="1:29" x14ac:dyDescent="0.6">
      <c r="A174" s="7"/>
      <c r="B174" s="63" t="s">
        <v>72</v>
      </c>
      <c r="C174" s="83"/>
      <c r="D174" s="83"/>
      <c r="E174" s="105">
        <f>ROUND(E140/$D$154,3)</f>
        <v>1.3959999999999999</v>
      </c>
      <c r="F174" s="106"/>
      <c r="G174" s="106"/>
      <c r="H174" s="105">
        <f>ROUND(H140/$D$154,3)</f>
        <v>1.2769999999999999</v>
      </c>
      <c r="I174" s="106"/>
      <c r="J174" s="83"/>
      <c r="K174" s="83"/>
      <c r="L174" s="83"/>
      <c r="M174" s="83"/>
      <c r="N174" s="83"/>
      <c r="P174" s="7"/>
      <c r="Q174" s="216"/>
      <c r="R174" s="217"/>
      <c r="S174" s="217"/>
      <c r="T174" s="215"/>
      <c r="U174" s="218"/>
      <c r="V174" s="218"/>
      <c r="W174" s="215"/>
      <c r="X174" s="218"/>
      <c r="Y174" s="83"/>
      <c r="Z174" s="83"/>
      <c r="AA174" s="81"/>
      <c r="AB174" s="81"/>
      <c r="AC174" s="81"/>
    </row>
    <row r="175" spans="1:29" x14ac:dyDescent="0.6">
      <c r="A175" s="7"/>
      <c r="B175" s="63" t="s">
        <v>73</v>
      </c>
      <c r="C175" s="83"/>
      <c r="D175" s="83"/>
      <c r="E175" s="105">
        <f>ROUND(E141/$D$154,3)</f>
        <v>0.92100000000000004</v>
      </c>
      <c r="F175" s="106"/>
      <c r="G175" s="106"/>
      <c r="H175" s="105">
        <f>ROUND(H141/$D$154,3)</f>
        <v>0.92200000000000004</v>
      </c>
      <c r="I175" s="106"/>
      <c r="J175" s="83"/>
      <c r="K175" s="83"/>
      <c r="L175" s="83"/>
      <c r="M175" s="83"/>
      <c r="N175" s="83"/>
      <c r="P175" s="7"/>
      <c r="Q175" s="216"/>
      <c r="R175" s="217"/>
      <c r="S175" s="217"/>
      <c r="T175" s="215"/>
      <c r="U175" s="218"/>
      <c r="V175" s="218"/>
      <c r="W175" s="215"/>
      <c r="X175" s="218"/>
      <c r="Y175" s="83"/>
      <c r="Z175" s="83"/>
      <c r="AA175" s="83"/>
      <c r="AB175" s="83"/>
      <c r="AC175" s="83"/>
    </row>
    <row r="176" spans="1:29" x14ac:dyDescent="0.6">
      <c r="A176" s="7"/>
      <c r="C176" s="82"/>
      <c r="D176" s="82"/>
      <c r="E176" s="550"/>
      <c r="F176" s="550"/>
      <c r="G176" s="550"/>
      <c r="H176" s="550"/>
      <c r="I176" s="550"/>
      <c r="J176" s="82"/>
      <c r="K176" s="82"/>
      <c r="L176" s="82"/>
      <c r="M176" s="82"/>
      <c r="N176" s="82"/>
      <c r="P176" s="7"/>
      <c r="Q176" s="199"/>
      <c r="R176" s="219"/>
      <c r="S176" s="219"/>
      <c r="T176" s="220"/>
      <c r="U176" s="220"/>
      <c r="V176" s="220"/>
      <c r="W176" s="220"/>
      <c r="X176" s="220"/>
      <c r="Y176" s="82"/>
      <c r="Z176" s="82"/>
      <c r="AA176" s="83"/>
      <c r="AB176" s="83"/>
      <c r="AC176" s="83"/>
    </row>
    <row r="177" spans="1:29" x14ac:dyDescent="0.6">
      <c r="A177" s="7"/>
      <c r="B177" t="s">
        <v>107</v>
      </c>
      <c r="C177" s="82"/>
      <c r="D177" s="82"/>
      <c r="E177" s="551">
        <f>ROUND(E143/$D$154,3)</f>
        <v>1.0920000000000001</v>
      </c>
      <c r="F177" s="551">
        <f>ROUND(F143/$D$154,3)</f>
        <v>1.1180000000000001</v>
      </c>
      <c r="G177" s="551">
        <f>ROUND(G143/$D$154,3)</f>
        <v>1.08</v>
      </c>
      <c r="H177" s="551">
        <f>ROUND(H143/$D$154,3)</f>
        <v>1.07</v>
      </c>
      <c r="I177" s="551">
        <f>ROUND(I143/$D$154,3)</f>
        <v>0.95</v>
      </c>
      <c r="J177" s="82"/>
      <c r="K177" s="82"/>
      <c r="L177" s="82"/>
      <c r="M177" s="82"/>
      <c r="N177" s="82"/>
      <c r="P177" s="7"/>
      <c r="Q177" s="199"/>
      <c r="R177" s="219"/>
      <c r="S177" s="219"/>
      <c r="T177" s="221"/>
      <c r="U177" s="221"/>
      <c r="V177" s="221"/>
      <c r="W177" s="221"/>
      <c r="X177" s="221"/>
      <c r="Y177" s="82"/>
      <c r="Z177" s="82"/>
      <c r="AA177" s="82"/>
      <c r="AB177" s="82"/>
      <c r="AC177" s="82"/>
    </row>
    <row r="178" spans="1:29" x14ac:dyDescent="0.6">
      <c r="A178" s="7"/>
      <c r="D178" s="306"/>
      <c r="P178" s="7"/>
      <c r="AA178" s="82"/>
      <c r="AB178" s="82"/>
      <c r="AC178" s="82"/>
    </row>
    <row r="179" spans="1:29" x14ac:dyDescent="0.6">
      <c r="A179" s="7"/>
      <c r="E179" s="242"/>
      <c r="F179" s="242"/>
      <c r="G179" s="242"/>
      <c r="H179" s="242"/>
      <c r="I179" s="242"/>
      <c r="P179" s="7"/>
      <c r="X179" s="586"/>
    </row>
    <row r="180" spans="1:29" x14ac:dyDescent="0.6">
      <c r="A180" s="7"/>
      <c r="B180" s="1" t="s">
        <v>99</v>
      </c>
      <c r="P180" s="7"/>
      <c r="Q180" s="1"/>
      <c r="X180" s="586"/>
    </row>
    <row r="181" spans="1:29" x14ac:dyDescent="0.6">
      <c r="A181" s="7"/>
      <c r="B181" s="15" t="s">
        <v>365</v>
      </c>
      <c r="I181" s="1"/>
      <c r="P181" s="7"/>
      <c r="Q181" s="15"/>
      <c r="X181" s="587"/>
    </row>
    <row r="182" spans="1:29" x14ac:dyDescent="0.6">
      <c r="A182" s="7"/>
      <c r="B182" s="18"/>
      <c r="P182" s="7"/>
      <c r="Q182" s="18"/>
      <c r="X182" s="586"/>
    </row>
    <row r="183" spans="1:29" x14ac:dyDescent="0.6">
      <c r="A183" s="7"/>
      <c r="B183" s="32" t="s">
        <v>101</v>
      </c>
      <c r="C183" s="2"/>
      <c r="D183" s="2"/>
      <c r="E183" s="2"/>
      <c r="F183" s="2"/>
      <c r="I183" s="1"/>
      <c r="P183" s="7"/>
      <c r="Q183" s="32"/>
      <c r="R183" s="2"/>
      <c r="S183" s="2"/>
      <c r="T183" s="2"/>
      <c r="U183" s="2"/>
      <c r="X183" s="587"/>
    </row>
    <row r="184" spans="1:29" x14ac:dyDescent="0.6">
      <c r="J184" s="68"/>
      <c r="Y184" s="307"/>
      <c r="Z184" s="273"/>
    </row>
    <row r="185" spans="1:29" x14ac:dyDescent="0.6">
      <c r="J185" s="307"/>
    </row>
    <row r="186" spans="1:29" x14ac:dyDescent="0.6">
      <c r="J186" s="68"/>
      <c r="Y186" s="310"/>
      <c r="Z186" s="273"/>
      <c r="AA186" s="273"/>
    </row>
    <row r="187" spans="1:29" x14ac:dyDescent="0.6">
      <c r="J187" s="307"/>
    </row>
    <row r="188" spans="1:29" x14ac:dyDescent="0.6">
      <c r="J188" s="3"/>
      <c r="Z188" s="100"/>
    </row>
  </sheetData>
  <mergeCells count="12">
    <mergeCell ref="B155:N155"/>
    <mergeCell ref="B156:N156"/>
    <mergeCell ref="B1:N1"/>
    <mergeCell ref="B2:N2"/>
    <mergeCell ref="B5:N5"/>
    <mergeCell ref="B101:N101"/>
    <mergeCell ref="B54:N54"/>
    <mergeCell ref="B55:N55"/>
    <mergeCell ref="B56:N56"/>
    <mergeCell ref="B100:N100"/>
    <mergeCell ref="B3:N3"/>
    <mergeCell ref="B102:N102"/>
  </mergeCells>
  <phoneticPr fontId="34" type="noConversion"/>
  <pageMargins left="0.7" right="0.7" top="0.75" bottom="0.75" header="0.3" footer="0.3"/>
  <pageSetup scale="76" fitToHeight="0" orientation="landscape" r:id="rId1"/>
  <headerFooter alignWithMargins="0">
    <oddFooter>&amp;L&amp;F    &amp;A&amp;CPage &amp;P of &amp;N&amp;R&amp;D</oddFooter>
  </headerFooter>
  <rowBreaks count="3" manualBreakCount="3">
    <brk id="53" max="9" man="1"/>
    <brk id="98" max="9" man="1"/>
    <brk id="154" max="9" man="1"/>
  </rowBreaks>
  <colBreaks count="1" manualBreakCount="1">
    <brk id="15" max="2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D69A-AD4F-4920-82F7-AF558DCDAD01}">
  <sheetPr codeName="Sheet8"/>
  <dimension ref="A1:I23"/>
  <sheetViews>
    <sheetView workbookViewId="0">
      <selection activeCell="K4" sqref="K4"/>
    </sheetView>
  </sheetViews>
  <sheetFormatPr defaultRowHeight="13" x14ac:dyDescent="0.6"/>
  <cols>
    <col min="1" max="1" width="14.1796875" customWidth="1"/>
    <col min="2" max="3" width="11.81640625" hidden="1" customWidth="1"/>
    <col min="4" max="4" width="11.81640625" customWidth="1"/>
    <col min="7" max="7" width="16.453125" customWidth="1"/>
    <col min="8" max="8" width="19.36328125" customWidth="1"/>
    <col min="9" max="9" width="15.6328125" customWidth="1"/>
  </cols>
  <sheetData>
    <row r="1" spans="1:9" x14ac:dyDescent="0.6">
      <c r="A1" s="5" t="s">
        <v>380</v>
      </c>
      <c r="G1" s="273" t="s">
        <v>425</v>
      </c>
    </row>
    <row r="2" spans="1:9" ht="4.5" customHeight="1" x14ac:dyDescent="0.6">
      <c r="A2" s="5"/>
    </row>
    <row r="3" spans="1:9" x14ac:dyDescent="0.6">
      <c r="A3" s="494">
        <v>44958</v>
      </c>
      <c r="B3" s="243"/>
      <c r="C3" s="243"/>
      <c r="G3" s="494">
        <v>45078</v>
      </c>
      <c r="H3" s="494">
        <v>45444</v>
      </c>
      <c r="I3" s="494">
        <v>45809</v>
      </c>
    </row>
    <row r="4" spans="1:9" ht="49.5" customHeight="1" x14ac:dyDescent="0.6">
      <c r="A4" s="5"/>
      <c r="G4" s="481" t="s">
        <v>415</v>
      </c>
      <c r="H4" s="495" t="s">
        <v>422</v>
      </c>
      <c r="I4" s="496" t="s">
        <v>423</v>
      </c>
    </row>
    <row r="5" spans="1:9" x14ac:dyDescent="0.6">
      <c r="A5" s="494">
        <v>44593</v>
      </c>
      <c r="B5" s="243"/>
      <c r="C5" s="243"/>
      <c r="F5" s="243">
        <v>44713</v>
      </c>
    </row>
    <row r="6" spans="1:9" ht="62.5" customHeight="1" x14ac:dyDescent="0.6">
      <c r="A6" s="5"/>
      <c r="F6" s="458" t="s">
        <v>381</v>
      </c>
      <c r="G6" s="481" t="s">
        <v>420</v>
      </c>
      <c r="H6" s="458" t="s">
        <v>382</v>
      </c>
    </row>
    <row r="7" spans="1:9" x14ac:dyDescent="0.6">
      <c r="A7" s="494">
        <v>44228</v>
      </c>
      <c r="B7" s="243"/>
      <c r="C7" s="243"/>
      <c r="E7" s="243">
        <v>44348</v>
      </c>
    </row>
    <row r="8" spans="1:9" ht="60" customHeight="1" x14ac:dyDescent="0.6">
      <c r="A8" s="5"/>
      <c r="E8" s="461" t="s">
        <v>251</v>
      </c>
      <c r="F8" s="460" t="s">
        <v>383</v>
      </c>
      <c r="G8" s="481" t="s">
        <v>421</v>
      </c>
    </row>
    <row r="9" spans="1:9" x14ac:dyDescent="0.6">
      <c r="A9" s="494">
        <v>43862</v>
      </c>
      <c r="B9" s="243"/>
      <c r="C9" s="243"/>
      <c r="D9" s="243">
        <v>43983</v>
      </c>
    </row>
    <row r="10" spans="1:9" ht="52.5" customHeight="1" x14ac:dyDescent="0.6">
      <c r="A10" s="5"/>
      <c r="D10" s="459"/>
      <c r="E10" s="459"/>
      <c r="F10" s="460" t="s">
        <v>383</v>
      </c>
    </row>
    <row r="11" spans="1:9" x14ac:dyDescent="0.6">
      <c r="G11" s="497" t="s">
        <v>424</v>
      </c>
      <c r="H11" s="498"/>
      <c r="I11" s="498"/>
    </row>
    <row r="12" spans="1:9" x14ac:dyDescent="0.6">
      <c r="A12" s="273" t="s">
        <v>406</v>
      </c>
    </row>
    <row r="13" spans="1:9" ht="44.25" x14ac:dyDescent="0.6">
      <c r="A13" s="462" t="s">
        <v>380</v>
      </c>
      <c r="B13" s="467" t="s">
        <v>388</v>
      </c>
    </row>
    <row r="14" spans="1:9" ht="14.75" x14ac:dyDescent="0.6">
      <c r="A14" s="468" t="s">
        <v>389</v>
      </c>
      <c r="B14" s="469">
        <v>44720</v>
      </c>
    </row>
    <row r="15" spans="1:9" ht="14.75" x14ac:dyDescent="0.6">
      <c r="A15" s="463" t="s">
        <v>390</v>
      </c>
      <c r="B15" s="464">
        <v>44620</v>
      </c>
    </row>
    <row r="16" spans="1:9" ht="14.75" x14ac:dyDescent="0.6">
      <c r="A16" s="471" t="s">
        <v>391</v>
      </c>
      <c r="B16" s="472">
        <v>44902</v>
      </c>
    </row>
    <row r="17" spans="1:2" ht="14.75" x14ac:dyDescent="0.6">
      <c r="A17" s="474" t="s">
        <v>392</v>
      </c>
      <c r="B17" s="475" t="s">
        <v>393</v>
      </c>
    </row>
    <row r="18" spans="1:2" ht="14.75" x14ac:dyDescent="0.6">
      <c r="A18" s="468" t="s">
        <v>394</v>
      </c>
      <c r="B18" s="470" t="s">
        <v>395</v>
      </c>
    </row>
    <row r="19" spans="1:2" ht="14.75" x14ac:dyDescent="0.6">
      <c r="A19" s="463" t="s">
        <v>396</v>
      </c>
      <c r="B19" s="465" t="s">
        <v>397</v>
      </c>
    </row>
    <row r="20" spans="1:2" ht="14.75" x14ac:dyDescent="0.6">
      <c r="A20" s="471" t="s">
        <v>398</v>
      </c>
      <c r="B20" s="473" t="s">
        <v>399</v>
      </c>
    </row>
    <row r="21" spans="1:2" ht="14.75" x14ac:dyDescent="0.6">
      <c r="A21" s="474" t="s">
        <v>400</v>
      </c>
      <c r="B21" s="475" t="s">
        <v>401</v>
      </c>
    </row>
    <row r="22" spans="1:2" ht="14.75" x14ac:dyDescent="0.6">
      <c r="A22" s="463" t="s">
        <v>402</v>
      </c>
      <c r="B22" s="465" t="s">
        <v>403</v>
      </c>
    </row>
    <row r="23" spans="1:2" ht="14.75" x14ac:dyDescent="0.75">
      <c r="A23" s="466" t="s">
        <v>404</v>
      </c>
      <c r="B23" s="465" t="s">
        <v>405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0611-E7BD-4170-99CF-01C616A71A3C}">
  <sheetPr codeName="Sheet9">
    <pageSetUpPr fitToPage="1"/>
  </sheetPr>
  <dimension ref="A1:R86"/>
  <sheetViews>
    <sheetView view="pageBreakPreview" topLeftCell="A9" zoomScale="82" zoomScaleNormal="98" zoomScaleSheetLayoutView="82" workbookViewId="0">
      <selection activeCell="E37" sqref="E37"/>
    </sheetView>
  </sheetViews>
  <sheetFormatPr defaultColWidth="8.90625" defaultRowHeight="13" x14ac:dyDescent="0.6"/>
  <cols>
    <col min="1" max="1" width="5.6328125" style="276" customWidth="1"/>
    <col min="2" max="2" width="39" style="276" customWidth="1"/>
    <col min="3" max="3" width="17" style="276" customWidth="1"/>
    <col min="4" max="4" width="17.6328125" style="276" customWidth="1"/>
    <col min="5" max="5" width="15.7265625" style="276" customWidth="1"/>
    <col min="6" max="6" width="17.26953125" style="276" customWidth="1"/>
    <col min="7" max="7" width="23.81640625" style="276" customWidth="1"/>
    <col min="8" max="8" width="23.453125" style="276" customWidth="1"/>
    <col min="9" max="16384" width="8.90625" style="276"/>
  </cols>
  <sheetData>
    <row r="1" spans="1:18" ht="15.5" x14ac:dyDescent="0.7">
      <c r="A1" s="12"/>
      <c r="B1" s="570" t="s">
        <v>69</v>
      </c>
      <c r="C1" s="570"/>
      <c r="D1" s="570"/>
      <c r="E1" s="570"/>
      <c r="F1" s="570"/>
    </row>
    <row r="2" spans="1:18" ht="15.5" x14ac:dyDescent="0.7">
      <c r="A2" s="12"/>
      <c r="B2" s="570" t="s">
        <v>360</v>
      </c>
      <c r="C2" s="570"/>
      <c r="D2" s="570"/>
      <c r="E2" s="570"/>
      <c r="F2" s="570"/>
    </row>
    <row r="3" spans="1:18" ht="33" customHeight="1" x14ac:dyDescent="0.7">
      <c r="A3" s="12"/>
      <c r="B3" s="576" t="s">
        <v>353</v>
      </c>
      <c r="C3" s="570"/>
      <c r="D3" s="570"/>
      <c r="E3" s="570"/>
      <c r="F3" s="570"/>
    </row>
    <row r="4" spans="1:18" ht="15.5" x14ac:dyDescent="0.7">
      <c r="A4" s="12"/>
      <c r="B4" s="142"/>
      <c r="C4" s="142"/>
      <c r="D4" s="142"/>
      <c r="E4" s="142"/>
      <c r="F4" s="142"/>
    </row>
    <row r="5" spans="1:18" ht="18.5" customHeight="1" x14ac:dyDescent="0.8">
      <c r="A5" s="577" t="s">
        <v>354</v>
      </c>
      <c r="B5" s="577"/>
      <c r="C5" s="577"/>
      <c r="D5" s="577"/>
      <c r="E5" s="577"/>
      <c r="F5" s="577"/>
    </row>
    <row r="7" spans="1:18" ht="86.5" customHeight="1" x14ac:dyDescent="0.6">
      <c r="C7" s="394" t="s">
        <v>378</v>
      </c>
      <c r="D7" s="394" t="s">
        <v>379</v>
      </c>
      <c r="E7" s="395" t="s">
        <v>323</v>
      </c>
      <c r="F7" s="396"/>
      <c r="I7" s="276" t="s">
        <v>251</v>
      </c>
    </row>
    <row r="8" spans="1:18" ht="24.5" customHeight="1" x14ac:dyDescent="0.6">
      <c r="A8" s="336">
        <v>1</v>
      </c>
      <c r="B8" s="337" t="s">
        <v>366</v>
      </c>
      <c r="C8" s="476">
        <v>50.97</v>
      </c>
      <c r="D8" s="476">
        <v>50.97</v>
      </c>
      <c r="E8" s="578" t="s">
        <v>432</v>
      </c>
      <c r="F8" s="578"/>
      <c r="G8" s="578"/>
      <c r="H8" s="578"/>
    </row>
    <row r="9" spans="1:18" ht="37.5" customHeight="1" x14ac:dyDescent="0.6">
      <c r="A9" s="336">
        <v>2</v>
      </c>
      <c r="B9" s="454" t="s">
        <v>334</v>
      </c>
      <c r="C9" s="443">
        <v>146.51</v>
      </c>
      <c r="D9" s="443">
        <v>118.12</v>
      </c>
      <c r="E9" s="578" t="s">
        <v>416</v>
      </c>
      <c r="F9" s="578"/>
      <c r="G9" s="578"/>
      <c r="H9" s="371"/>
    </row>
    <row r="10" spans="1:18" ht="14.5" customHeight="1" x14ac:dyDescent="0.6">
      <c r="A10" s="336">
        <v>3</v>
      </c>
      <c r="B10" s="397" t="s">
        <v>335</v>
      </c>
      <c r="C10" s="444">
        <f>C8-C9</f>
        <v>-95.539999999999992</v>
      </c>
      <c r="D10" s="444">
        <f>D8-D9</f>
        <v>-67.150000000000006</v>
      </c>
      <c r="E10" s="453" t="s">
        <v>337</v>
      </c>
      <c r="F10" s="453"/>
      <c r="G10" s="453"/>
    </row>
    <row r="11" spans="1:18" ht="29" customHeight="1" x14ac:dyDescent="0.6">
      <c r="A11" s="336">
        <f>A10+1</f>
        <v>4</v>
      </c>
      <c r="B11" s="397" t="s">
        <v>324</v>
      </c>
      <c r="C11" s="445">
        <f>'BGS PTY23 Cost Alloc'!J164</f>
        <v>4797.5227236800001</v>
      </c>
      <c r="D11" s="445">
        <f>C11</f>
        <v>4797.5227236800001</v>
      </c>
      <c r="E11" s="579" t="s">
        <v>409</v>
      </c>
      <c r="F11" s="579"/>
      <c r="G11" s="579"/>
    </row>
    <row r="12" spans="1:18" x14ac:dyDescent="0.6">
      <c r="A12" s="336">
        <f t="shared" ref="A12:A20" si="0">A11+1</f>
        <v>5</v>
      </c>
      <c r="B12" s="397" t="s">
        <v>325</v>
      </c>
      <c r="C12" s="446">
        <v>366</v>
      </c>
      <c r="D12" s="446">
        <f>C12</f>
        <v>366</v>
      </c>
      <c r="E12" s="398"/>
      <c r="F12" s="398"/>
      <c r="G12" s="336"/>
      <c r="I12" s="276" t="s">
        <v>368</v>
      </c>
      <c r="N12" s="276" t="s">
        <v>367</v>
      </c>
    </row>
    <row r="13" spans="1:18" x14ac:dyDescent="0.6">
      <c r="A13" s="336">
        <f t="shared" si="0"/>
        <v>6</v>
      </c>
      <c r="B13" s="397" t="s">
        <v>340</v>
      </c>
      <c r="C13" s="447">
        <f>C10*C11*C12</f>
        <v>-167758047.4934617</v>
      </c>
      <c r="D13" s="447">
        <f>D10*D11*D12</f>
        <v>-117908236.22761101</v>
      </c>
      <c r="E13" s="339" t="s">
        <v>326</v>
      </c>
      <c r="F13" s="398"/>
      <c r="G13" s="336"/>
      <c r="J13" s="308" t="s">
        <v>345</v>
      </c>
      <c r="K13" s="276">
        <v>162.79070151749806</v>
      </c>
      <c r="P13" s="308" t="s">
        <v>345</v>
      </c>
      <c r="Q13" s="305">
        <v>162.79070151749806</v>
      </c>
    </row>
    <row r="14" spans="1:18" x14ac:dyDescent="0.6">
      <c r="A14" s="336">
        <f t="shared" si="0"/>
        <v>7</v>
      </c>
      <c r="B14" s="397" t="s">
        <v>327</v>
      </c>
      <c r="C14" s="448">
        <f>C39</f>
        <v>20</v>
      </c>
      <c r="D14" s="448">
        <f>D39</f>
        <v>18</v>
      </c>
      <c r="E14" s="398"/>
      <c r="F14" s="398"/>
      <c r="G14" s="336"/>
      <c r="J14" s="308" t="s">
        <v>346</v>
      </c>
      <c r="K14" s="405">
        <v>175.11</v>
      </c>
      <c r="P14" s="308"/>
      <c r="Q14" s="405"/>
    </row>
    <row r="15" spans="1:18" x14ac:dyDescent="0.6">
      <c r="A15" s="336">
        <f t="shared" si="0"/>
        <v>8</v>
      </c>
      <c r="B15" s="397" t="s">
        <v>328</v>
      </c>
      <c r="C15" s="449">
        <f>E40</f>
        <v>53</v>
      </c>
      <c r="D15" s="449">
        <f>C15</f>
        <v>53</v>
      </c>
      <c r="E15" s="398"/>
      <c r="F15" s="398"/>
      <c r="G15" s="336"/>
      <c r="J15" s="276" t="s">
        <v>347</v>
      </c>
      <c r="K15" s="405">
        <f>AVERAGE(K13,K14)</f>
        <v>168.95035075874904</v>
      </c>
      <c r="P15" s="276" t="s">
        <v>347</v>
      </c>
      <c r="Q15" s="405">
        <f>AVERAGE(Q13,Q14)</f>
        <v>162.79070151749806</v>
      </c>
    </row>
    <row r="16" spans="1:18" x14ac:dyDescent="0.6">
      <c r="A16" s="336">
        <f t="shared" si="0"/>
        <v>9</v>
      </c>
      <c r="B16" s="397" t="s">
        <v>341</v>
      </c>
      <c r="C16" s="450">
        <f>C14/C15</f>
        <v>0.37735849056603776</v>
      </c>
      <c r="D16" s="450">
        <f>D14/D15</f>
        <v>0.33962264150943394</v>
      </c>
      <c r="E16" s="339" t="s">
        <v>329</v>
      </c>
      <c r="F16" s="398"/>
      <c r="G16" s="336"/>
      <c r="J16" s="276" t="s">
        <v>348</v>
      </c>
      <c r="K16" s="405">
        <f>K15*0.9</f>
        <v>152.05531568287415</v>
      </c>
      <c r="P16" s="276" t="s">
        <v>348</v>
      </c>
      <c r="Q16" s="455">
        <f>Q13*0.9</f>
        <v>146.51163136574826</v>
      </c>
      <c r="R16" s="276" t="s">
        <v>375</v>
      </c>
    </row>
    <row r="17" spans="1:17" s="399" customFormat="1" ht="18" customHeight="1" x14ac:dyDescent="0.6">
      <c r="A17" s="399">
        <f t="shared" si="0"/>
        <v>10</v>
      </c>
      <c r="B17" s="337" t="s">
        <v>342</v>
      </c>
      <c r="C17" s="447">
        <f>C13*C16</f>
        <v>-63304923.58243838</v>
      </c>
      <c r="D17" s="447">
        <f>D13*D16</f>
        <v>-40044306.643339582</v>
      </c>
      <c r="E17" s="339" t="s">
        <v>330</v>
      </c>
      <c r="F17" s="398"/>
      <c r="H17" s="484">
        <f>C17+D17</f>
        <v>-103349230.22577795</v>
      </c>
    </row>
    <row r="18" spans="1:17" ht="26" x14ac:dyDescent="0.6">
      <c r="A18" s="336">
        <f t="shared" si="0"/>
        <v>11</v>
      </c>
      <c r="B18" s="337" t="s">
        <v>343</v>
      </c>
      <c r="C18" s="449">
        <f>F47+F48</f>
        <v>17898853</v>
      </c>
      <c r="D18" s="449">
        <f>C18</f>
        <v>17898853</v>
      </c>
      <c r="E18" s="579" t="s">
        <v>410</v>
      </c>
      <c r="F18" s="579"/>
      <c r="G18" s="579"/>
      <c r="H18" s="485">
        <v>1269023553.4160378</v>
      </c>
      <c r="N18" s="276" t="s">
        <v>369</v>
      </c>
      <c r="Q18" s="276" t="s">
        <v>251</v>
      </c>
    </row>
    <row r="19" spans="1:17" ht="26" x14ac:dyDescent="0.6">
      <c r="A19" s="336">
        <f t="shared" si="0"/>
        <v>12</v>
      </c>
      <c r="B19" s="337" t="s">
        <v>344</v>
      </c>
      <c r="C19" s="451">
        <f>C18*C16</f>
        <v>6754284.1509433966</v>
      </c>
      <c r="D19" s="451">
        <f>D18*D16</f>
        <v>6078855.7358490564</v>
      </c>
      <c r="E19" s="339" t="s">
        <v>331</v>
      </c>
      <c r="F19" s="398"/>
      <c r="G19" s="336"/>
      <c r="H19" s="304">
        <f>H18+H17</f>
        <v>1165674323.1902599</v>
      </c>
      <c r="N19" s="276" t="s">
        <v>376</v>
      </c>
      <c r="P19" s="276">
        <v>164.73</v>
      </c>
      <c r="Q19" s="276" t="s">
        <v>251</v>
      </c>
    </row>
    <row r="20" spans="1:17" ht="18" customHeight="1" x14ac:dyDescent="0.6">
      <c r="A20" s="276">
        <f t="shared" si="0"/>
        <v>13</v>
      </c>
      <c r="B20" s="337" t="s">
        <v>336</v>
      </c>
      <c r="C20" s="452">
        <f>ROUND(C17/C19,2)</f>
        <v>-9.3699999999999992</v>
      </c>
      <c r="D20" s="452">
        <f>ROUND(D17/D19,2)</f>
        <v>-6.59</v>
      </c>
      <c r="E20" s="339" t="s">
        <v>332</v>
      </c>
      <c r="F20" s="398"/>
      <c r="G20" s="336"/>
      <c r="N20" s="276" t="s">
        <v>370</v>
      </c>
      <c r="P20" s="276">
        <v>97.75</v>
      </c>
      <c r="Q20" s="276" t="s">
        <v>372</v>
      </c>
    </row>
    <row r="21" spans="1:17" ht="2" customHeight="1" x14ac:dyDescent="0.6">
      <c r="A21" s="336"/>
      <c r="B21" s="337"/>
      <c r="C21" s="338"/>
      <c r="D21" s="339"/>
      <c r="E21" s="398"/>
      <c r="O21" s="276" t="s">
        <v>371</v>
      </c>
      <c r="P21" s="276">
        <f>AVERAGE(P19,P20)</f>
        <v>131.24</v>
      </c>
    </row>
    <row r="22" spans="1:17" x14ac:dyDescent="0.6">
      <c r="A22" s="276" t="s">
        <v>322</v>
      </c>
      <c r="B22" s="337"/>
      <c r="C22" s="338"/>
      <c r="D22" s="339"/>
      <c r="E22" s="398"/>
      <c r="O22" s="276" t="s">
        <v>348</v>
      </c>
      <c r="P22" s="486">
        <f>P21*0.9</f>
        <v>118.11600000000001</v>
      </c>
    </row>
    <row r="23" spans="1:17" ht="13" customHeight="1" x14ac:dyDescent="0.6">
      <c r="A23" s="579" t="s">
        <v>251</v>
      </c>
      <c r="B23" s="579"/>
      <c r="C23" s="579"/>
      <c r="D23" s="579"/>
      <c r="E23" s="579"/>
      <c r="F23" s="579"/>
      <c r="G23" s="579"/>
    </row>
    <row r="24" spans="1:17" ht="13" customHeight="1" x14ac:dyDescent="0.6">
      <c r="A24" s="579"/>
      <c r="B24" s="579"/>
      <c r="C24" s="579"/>
      <c r="D24" s="579"/>
      <c r="E24" s="579"/>
      <c r="F24" s="579"/>
      <c r="G24" s="579"/>
    </row>
    <row r="25" spans="1:17" x14ac:dyDescent="0.6">
      <c r="A25" s="277"/>
      <c r="B25" s="360"/>
      <c r="C25" s="360"/>
      <c r="D25" s="360"/>
      <c r="E25" s="360"/>
      <c r="F25" s="360"/>
    </row>
    <row r="26" spans="1:17" ht="15.5" x14ac:dyDescent="0.7">
      <c r="A26" s="574" t="s">
        <v>290</v>
      </c>
      <c r="B26" s="574"/>
      <c r="C26" s="574"/>
      <c r="D26" s="574"/>
      <c r="E26" s="574"/>
      <c r="F26" s="574"/>
      <c r="G26" s="574"/>
    </row>
    <row r="27" spans="1:17" ht="3" customHeight="1" x14ac:dyDescent="0.6">
      <c r="A27" s="278"/>
    </row>
    <row r="28" spans="1:17" ht="15.5" x14ac:dyDescent="0.7">
      <c r="A28" s="574" t="s">
        <v>307</v>
      </c>
      <c r="B28" s="574"/>
      <c r="C28" s="574"/>
      <c r="D28" s="574"/>
      <c r="E28" s="574"/>
      <c r="F28" s="574"/>
      <c r="G28" s="574"/>
    </row>
    <row r="29" spans="1:17" ht="15.5" x14ac:dyDescent="0.7">
      <c r="A29" s="575" t="s">
        <v>363</v>
      </c>
      <c r="B29" s="575"/>
      <c r="C29" s="575"/>
      <c r="D29" s="575"/>
      <c r="E29" s="575"/>
      <c r="F29" s="575"/>
      <c r="G29" s="575"/>
    </row>
    <row r="30" spans="1:17" ht="4" customHeight="1" x14ac:dyDescent="0.6">
      <c r="F30" s="280"/>
    </row>
    <row r="31" spans="1:17" ht="46" customHeight="1" x14ac:dyDescent="0.6">
      <c r="B31" s="279"/>
      <c r="C31" s="281" t="s">
        <v>338</v>
      </c>
      <c r="D31" s="281" t="s">
        <v>339</v>
      </c>
      <c r="E31" s="281" t="s">
        <v>351</v>
      </c>
      <c r="F31" s="281" t="s">
        <v>308</v>
      </c>
    </row>
    <row r="32" spans="1:17" x14ac:dyDescent="0.6">
      <c r="B32" s="279"/>
      <c r="C32" s="407" t="s">
        <v>349</v>
      </c>
      <c r="D32" s="406" t="s">
        <v>350</v>
      </c>
      <c r="E32" s="407" t="s">
        <v>352</v>
      </c>
      <c r="F32" s="281"/>
    </row>
    <row r="33" spans="1:8" ht="26" x14ac:dyDescent="0.6">
      <c r="B33" s="282"/>
      <c r="C33" s="283" t="s">
        <v>291</v>
      </c>
      <c r="D33" s="283" t="s">
        <v>292</v>
      </c>
      <c r="E33" s="284" t="s">
        <v>293</v>
      </c>
      <c r="F33" s="283"/>
    </row>
    <row r="34" spans="1:8" x14ac:dyDescent="0.6">
      <c r="C34" s="285"/>
      <c r="D34" s="285"/>
      <c r="E34" s="285"/>
      <c r="F34" s="334"/>
    </row>
    <row r="35" spans="1:8" x14ac:dyDescent="0.6">
      <c r="A35" s="308"/>
      <c r="B35" s="286" t="s">
        <v>294</v>
      </c>
      <c r="C35" s="287">
        <v>64.77</v>
      </c>
      <c r="D35" s="287">
        <v>77.75</v>
      </c>
      <c r="E35" s="490">
        <v>94.28</v>
      </c>
      <c r="F35" s="266"/>
      <c r="G35" s="276" t="s">
        <v>251</v>
      </c>
      <c r="H35" s="288"/>
    </row>
    <row r="36" spans="1:8" x14ac:dyDescent="0.6">
      <c r="A36" s="308"/>
      <c r="B36" s="289" t="s">
        <v>413</v>
      </c>
      <c r="C36" s="482">
        <f>C20</f>
        <v>-9.3699999999999992</v>
      </c>
      <c r="D36" s="482">
        <f>D20</f>
        <v>-6.59</v>
      </c>
      <c r="E36" s="408"/>
      <c r="F36" s="266"/>
      <c r="G36" s="276" t="s">
        <v>251</v>
      </c>
      <c r="H36" s="288"/>
    </row>
    <row r="37" spans="1:8" ht="14" customHeight="1" x14ac:dyDescent="0.6">
      <c r="A37" s="308"/>
      <c r="C37" s="287">
        <f>C35+C36</f>
        <v>55.4</v>
      </c>
      <c r="D37" s="287">
        <f>D35+D36</f>
        <v>71.16</v>
      </c>
      <c r="E37" s="287">
        <f t="shared" ref="E37" si="1">E35+E36</f>
        <v>94.28</v>
      </c>
      <c r="F37" s="266"/>
      <c r="H37" s="288"/>
    </row>
    <row r="38" spans="1:8" x14ac:dyDescent="0.6">
      <c r="B38" s="289" t="s">
        <v>296</v>
      </c>
      <c r="C38" s="287"/>
      <c r="D38" s="287"/>
      <c r="E38" s="287"/>
      <c r="F38" s="266"/>
      <c r="H38" s="288"/>
    </row>
    <row r="39" spans="1:8" x14ac:dyDescent="0.6">
      <c r="A39" s="308"/>
      <c r="B39" s="286" t="s">
        <v>295</v>
      </c>
      <c r="C39" s="427">
        <v>20</v>
      </c>
      <c r="D39" s="427">
        <v>18</v>
      </c>
      <c r="E39" s="427">
        <v>15</v>
      </c>
      <c r="F39" s="291"/>
    </row>
    <row r="40" spans="1:8" x14ac:dyDescent="0.6">
      <c r="A40" s="308"/>
      <c r="B40" s="286" t="s">
        <v>296</v>
      </c>
      <c r="C40" s="290">
        <f>C39+D39+E39</f>
        <v>53</v>
      </c>
      <c r="D40" s="290">
        <f>C40</f>
        <v>53</v>
      </c>
      <c r="E40" s="290">
        <f>C40</f>
        <v>53</v>
      </c>
      <c r="F40" s="267"/>
    </row>
    <row r="41" spans="1:8" ht="2.5" customHeight="1" x14ac:dyDescent="0.6">
      <c r="A41" s="308"/>
      <c r="B41" s="286"/>
      <c r="C41" s="268"/>
      <c r="D41" s="268"/>
      <c r="E41" s="268"/>
      <c r="F41" s="267"/>
    </row>
    <row r="42" spans="1:8" x14ac:dyDescent="0.6">
      <c r="B42" s="289" t="s">
        <v>297</v>
      </c>
      <c r="C42" s="292"/>
      <c r="D42" s="292"/>
      <c r="E42" s="293"/>
      <c r="F42" s="293"/>
      <c r="G42" s="276" t="s">
        <v>251</v>
      </c>
    </row>
    <row r="43" spans="1:8" x14ac:dyDescent="0.6">
      <c r="A43" s="308"/>
      <c r="B43" s="269" t="s">
        <v>25</v>
      </c>
      <c r="C43" s="294">
        <v>1</v>
      </c>
      <c r="D43" s="294">
        <v>1</v>
      </c>
      <c r="E43" s="294">
        <v>1</v>
      </c>
      <c r="F43" s="295"/>
    </row>
    <row r="44" spans="1:8" x14ac:dyDescent="0.6">
      <c r="A44" s="308"/>
      <c r="B44" s="269" t="s">
        <v>26</v>
      </c>
      <c r="C44" s="294">
        <v>1</v>
      </c>
      <c r="D44" s="294">
        <v>1</v>
      </c>
      <c r="E44" s="294">
        <v>1</v>
      </c>
      <c r="F44" s="296"/>
    </row>
    <row r="45" spans="1:8" ht="6" customHeight="1" x14ac:dyDescent="0.6">
      <c r="A45" s="308"/>
      <c r="B45" s="286"/>
      <c r="C45" s="297"/>
      <c r="D45" s="297"/>
      <c r="E45" s="298"/>
      <c r="F45" s="297"/>
    </row>
    <row r="46" spans="1:8" ht="25.5" customHeight="1" x14ac:dyDescent="0.6">
      <c r="B46" s="299" t="s">
        <v>298</v>
      </c>
      <c r="C46" s="297"/>
      <c r="D46" s="298"/>
      <c r="E46" s="298"/>
      <c r="F46" s="297"/>
    </row>
    <row r="47" spans="1:8" x14ac:dyDescent="0.6">
      <c r="A47" s="308"/>
      <c r="B47" s="286" t="s">
        <v>299</v>
      </c>
      <c r="C47" s="300">
        <f>'BGS PTY23 Cost Alloc'!N247</f>
        <v>7122868</v>
      </c>
      <c r="D47" s="300">
        <f>C47</f>
        <v>7122868</v>
      </c>
      <c r="E47" s="300">
        <f>C47</f>
        <v>7122868</v>
      </c>
      <c r="F47" s="300">
        <f t="shared" ref="F47:F48" si="2">E47</f>
        <v>7122868</v>
      </c>
      <c r="G47" s="573" t="s">
        <v>251</v>
      </c>
    </row>
    <row r="48" spans="1:8" x14ac:dyDescent="0.6">
      <c r="A48" s="308"/>
      <c r="B48" s="286" t="s">
        <v>300</v>
      </c>
      <c r="C48" s="300">
        <f>'BGS PTY23 Cost Alloc'!N248</f>
        <v>10775985</v>
      </c>
      <c r="D48" s="300">
        <f>C48</f>
        <v>10775985</v>
      </c>
      <c r="E48" s="300">
        <f>C48</f>
        <v>10775985</v>
      </c>
      <c r="F48" s="300">
        <f t="shared" si="2"/>
        <v>10775985</v>
      </c>
      <c r="G48" s="573"/>
    </row>
    <row r="49" spans="1:8" ht="3.5" customHeight="1" x14ac:dyDescent="0.6">
      <c r="A49" s="308"/>
      <c r="B49" s="301"/>
      <c r="C49" s="297"/>
      <c r="D49" s="297"/>
      <c r="E49" s="298"/>
      <c r="F49" s="297"/>
    </row>
    <row r="50" spans="1:8" x14ac:dyDescent="0.6">
      <c r="B50" s="289" t="s">
        <v>309</v>
      </c>
      <c r="C50" s="297"/>
      <c r="D50" s="297"/>
      <c r="E50" s="298"/>
      <c r="F50" s="297"/>
    </row>
    <row r="51" spans="1:8" x14ac:dyDescent="0.6">
      <c r="A51" s="308"/>
      <c r="B51" s="269" t="s">
        <v>25</v>
      </c>
      <c r="C51" s="271">
        <f>+C$35*C$39/C$40*C43*C47+C$36*C$39/C$40*C47</f>
        <v>148908259.32075468</v>
      </c>
      <c r="D51" s="271">
        <f t="shared" ref="D51:E51" si="3">+D$35*D$39/D$40*D43*D47+D$36*D$39/D$40*D47</f>
        <v>172142248.37433961</v>
      </c>
      <c r="E51" s="271">
        <f t="shared" si="3"/>
        <v>190059621.23773584</v>
      </c>
      <c r="F51" s="271">
        <f>SUM(C51:E51)</f>
        <v>511110128.9328301</v>
      </c>
      <c r="H51" s="492"/>
    </row>
    <row r="52" spans="1:8" ht="15.25" x14ac:dyDescent="1.05">
      <c r="A52" s="308"/>
      <c r="B52" s="270" t="s">
        <v>26</v>
      </c>
      <c r="C52" s="272">
        <f>+C$35*C$39/C$40*C44*C48+C$36*C$39/C$40*C48</f>
        <v>225279082.64150938</v>
      </c>
      <c r="D52" s="272">
        <f t="shared" ref="D52:E52" si="4">+D$35*D$39/D$40*D44*D48+D$36*D$39/D$40*D48</f>
        <v>260429125.78867921</v>
      </c>
      <c r="E52" s="272">
        <f t="shared" si="4"/>
        <v>287535811.0754717</v>
      </c>
      <c r="F52" s="272">
        <f>SUM(C52:E52)</f>
        <v>773244019.5056603</v>
      </c>
      <c r="H52" s="304"/>
    </row>
    <row r="53" spans="1:8" x14ac:dyDescent="0.6">
      <c r="A53" s="308"/>
      <c r="B53" s="286" t="s">
        <v>13</v>
      </c>
      <c r="C53" s="302">
        <f>+C52+C51</f>
        <v>374187341.96226406</v>
      </c>
      <c r="D53" s="302">
        <f>+D52+D51</f>
        <v>432571374.16301882</v>
      </c>
      <c r="E53" s="303">
        <f>+E52+E51</f>
        <v>477595432.31320751</v>
      </c>
      <c r="F53" s="302">
        <f>+F52+F51</f>
        <v>1284354148.4384904</v>
      </c>
      <c r="H53" s="304"/>
    </row>
    <row r="54" spans="1:8" x14ac:dyDescent="0.6">
      <c r="B54" s="286"/>
      <c r="C54" s="304"/>
      <c r="D54" s="304"/>
      <c r="E54" s="304"/>
      <c r="F54" s="304"/>
      <c r="H54" s="304"/>
    </row>
    <row r="55" spans="1:8" x14ac:dyDescent="0.6">
      <c r="B55" s="286" t="s">
        <v>301</v>
      </c>
      <c r="C55" s="304"/>
      <c r="D55" s="304" t="s">
        <v>251</v>
      </c>
      <c r="E55" s="304"/>
      <c r="F55" s="483">
        <f>ROUND(F53/(F47+F48),2)</f>
        <v>71.760000000000005</v>
      </c>
      <c r="G55" s="276" t="s">
        <v>333</v>
      </c>
      <c r="H55" s="304"/>
    </row>
    <row r="56" spans="1:8" x14ac:dyDescent="0.6">
      <c r="B56" s="286"/>
      <c r="C56" s="304"/>
      <c r="D56" s="304"/>
      <c r="E56" s="304"/>
      <c r="F56" s="361"/>
      <c r="H56" s="304"/>
    </row>
    <row r="57" spans="1:8" x14ac:dyDescent="0.6">
      <c r="B57" s="286"/>
      <c r="C57" s="304"/>
      <c r="D57" s="304"/>
      <c r="E57" s="304"/>
      <c r="F57" s="361"/>
    </row>
    <row r="58" spans="1:8" x14ac:dyDescent="0.6">
      <c r="B58" s="286"/>
      <c r="E58" s="308" t="s">
        <v>414</v>
      </c>
      <c r="F58" s="305">
        <v>65</v>
      </c>
    </row>
    <row r="59" spans="1:8" x14ac:dyDescent="0.6">
      <c r="A59" s="280" t="s">
        <v>251</v>
      </c>
      <c r="B59" s="280"/>
      <c r="C59" s="280"/>
      <c r="D59" s="280"/>
      <c r="E59" s="478" t="s">
        <v>431</v>
      </c>
      <c r="F59" s="480">
        <v>65.7</v>
      </c>
    </row>
    <row r="60" spans="1:8" ht="16" customHeight="1" x14ac:dyDescent="0.6">
      <c r="A60" s="280"/>
      <c r="B60" s="280"/>
      <c r="C60" s="280"/>
      <c r="D60" s="280"/>
      <c r="E60" s="280"/>
      <c r="F60" s="280"/>
    </row>
    <row r="61" spans="1:8" x14ac:dyDescent="0.6">
      <c r="F61" s="319">
        <f>(F55-F59)/F59</f>
        <v>9.2237442922374457E-2</v>
      </c>
    </row>
    <row r="64" spans="1:8" x14ac:dyDescent="0.6">
      <c r="F64" s="304"/>
    </row>
    <row r="65" spans="2:8" x14ac:dyDescent="0.6">
      <c r="B65" s="276" t="s">
        <v>251</v>
      </c>
    </row>
    <row r="67" spans="2:8" x14ac:dyDescent="0.6">
      <c r="B67" s="491" t="s">
        <v>419</v>
      </c>
      <c r="C67" s="488"/>
      <c r="D67" s="488"/>
      <c r="E67" s="488"/>
      <c r="G67" s="304"/>
    </row>
    <row r="68" spans="2:8" x14ac:dyDescent="0.6">
      <c r="C68" s="319">
        <f>C39/53</f>
        <v>0.37735849056603776</v>
      </c>
      <c r="D68" s="319">
        <f>D39/53</f>
        <v>0.33962264150943394</v>
      </c>
      <c r="E68" s="319">
        <f>E39/53</f>
        <v>0.28301886792452829</v>
      </c>
      <c r="G68" s="304"/>
    </row>
    <row r="69" spans="2:8" x14ac:dyDescent="0.6">
      <c r="C69" s="487"/>
      <c r="D69" s="487"/>
      <c r="G69" s="304"/>
      <c r="H69" s="479"/>
    </row>
    <row r="70" spans="2:8" x14ac:dyDescent="0.6">
      <c r="B70" s="308" t="s">
        <v>417</v>
      </c>
      <c r="C70" s="488">
        <f>C35*C68*C47</f>
        <v>174093645.41886792</v>
      </c>
      <c r="D70" s="488">
        <f>D35*D68*D47</f>
        <v>188084033.32075471</v>
      </c>
      <c r="E70" s="488">
        <f>E35*E68*E47</f>
        <v>190059621.23773584</v>
      </c>
      <c r="F70" s="487"/>
    </row>
    <row r="71" spans="2:8" x14ac:dyDescent="0.6">
      <c r="B71" s="308" t="s">
        <v>418</v>
      </c>
      <c r="C71" s="489">
        <f>C36*C68*C47</f>
        <v>-25185386.098113205</v>
      </c>
      <c r="D71" s="489">
        <f>D36*D68*D47</f>
        <v>-15941784.946415093</v>
      </c>
      <c r="E71" s="489">
        <f>E36*E68*E47</f>
        <v>0</v>
      </c>
    </row>
    <row r="72" spans="2:8" x14ac:dyDescent="0.6">
      <c r="B72" s="308"/>
      <c r="C72" s="488">
        <f>SUM(C70:C71)</f>
        <v>148908259.32075471</v>
      </c>
      <c r="D72" s="488">
        <f>SUM(D70:D71)</f>
        <v>172142248.37433961</v>
      </c>
      <c r="E72" s="488">
        <f>SUM(E70:E71)</f>
        <v>190059621.23773584</v>
      </c>
    </row>
    <row r="73" spans="2:8" x14ac:dyDescent="0.6">
      <c r="B73" s="308"/>
      <c r="F73" s="487" t="s">
        <v>251</v>
      </c>
    </row>
    <row r="74" spans="2:8" x14ac:dyDescent="0.6">
      <c r="B74" s="308"/>
    </row>
    <row r="75" spans="2:8" x14ac:dyDescent="0.6">
      <c r="B75" s="308"/>
    </row>
    <row r="76" spans="2:8" x14ac:dyDescent="0.6">
      <c r="B76" s="308" t="s">
        <v>26</v>
      </c>
      <c r="C76" s="488">
        <f>C35*C48*C68</f>
        <v>263381339.03773585</v>
      </c>
      <c r="D76" s="488">
        <f>D35*D48*D68</f>
        <v>284547000.14150941</v>
      </c>
      <c r="E76" s="488">
        <f>E35*E48*E68</f>
        <v>287535811.0754717</v>
      </c>
    </row>
    <row r="77" spans="2:8" x14ac:dyDescent="0.6">
      <c r="B77" s="308" t="s">
        <v>418</v>
      </c>
      <c r="C77" s="488">
        <f>C36*C48*C68</f>
        <v>-38102256.396226414</v>
      </c>
      <c r="D77" s="488">
        <f>D36*D48*D68</f>
        <v>-24117874.352830183</v>
      </c>
      <c r="E77" s="488">
        <f>E36*E48*E68</f>
        <v>0</v>
      </c>
    </row>
    <row r="78" spans="2:8" x14ac:dyDescent="0.6">
      <c r="B78" s="308"/>
      <c r="C78" s="488">
        <f>SUM(C76:C77)</f>
        <v>225279082.64150944</v>
      </c>
      <c r="D78" s="488">
        <f>SUM(D76:D77)</f>
        <v>260429125.78867924</v>
      </c>
      <c r="E78" s="488">
        <f>SUM(E76:E77)</f>
        <v>287535811.0754717</v>
      </c>
    </row>
    <row r="79" spans="2:8" x14ac:dyDescent="0.6">
      <c r="B79" s="308"/>
    </row>
    <row r="80" spans="2:8" x14ac:dyDescent="0.6">
      <c r="B80" s="308"/>
    </row>
    <row r="81" spans="2:8" x14ac:dyDescent="0.6">
      <c r="B81" s="308" t="s">
        <v>13</v>
      </c>
      <c r="C81" s="488">
        <f t="shared" ref="C81:E82" si="5">C70+C76</f>
        <v>437474984.45660377</v>
      </c>
      <c r="D81" s="488">
        <f t="shared" si="5"/>
        <v>472631033.46226412</v>
      </c>
      <c r="E81" s="488">
        <f t="shared" si="5"/>
        <v>477595432.31320751</v>
      </c>
      <c r="F81" s="488">
        <f>SUM(C81:E81)</f>
        <v>1387701450.2320752</v>
      </c>
      <c r="G81" s="276" t="s">
        <v>251</v>
      </c>
    </row>
    <row r="82" spans="2:8" x14ac:dyDescent="0.6">
      <c r="B82" s="308" t="s">
        <v>418</v>
      </c>
      <c r="C82" s="488">
        <f t="shared" si="5"/>
        <v>-63287642.494339615</v>
      </c>
      <c r="D82" s="488">
        <f t="shared" si="5"/>
        <v>-40059659.299245276</v>
      </c>
      <c r="E82" s="488">
        <f t="shared" si="5"/>
        <v>0</v>
      </c>
      <c r="F82" s="488">
        <f>SUM(C82:E82)</f>
        <v>-103347301.79358488</v>
      </c>
      <c r="G82" s="499">
        <f>C17+D17</f>
        <v>-103349230.22577795</v>
      </c>
      <c r="H82" s="276" t="s">
        <v>430</v>
      </c>
    </row>
    <row r="83" spans="2:8" x14ac:dyDescent="0.6">
      <c r="C83" s="488">
        <f>C81+C82</f>
        <v>374187341.96226418</v>
      </c>
      <c r="D83" s="488">
        <f>D81+D82</f>
        <v>432571374.16301882</v>
      </c>
      <c r="E83" s="488">
        <f>E81+E82</f>
        <v>477595432.31320751</v>
      </c>
      <c r="F83" s="488">
        <f>F81+F82</f>
        <v>1284354148.4384904</v>
      </c>
      <c r="G83" s="319">
        <f>F83/F81</f>
        <v>0.92552627095957762</v>
      </c>
    </row>
    <row r="86" spans="2:8" x14ac:dyDescent="0.6">
      <c r="F86" s="304" t="s">
        <v>251</v>
      </c>
    </row>
  </sheetData>
  <mergeCells count="13">
    <mergeCell ref="G47:G48"/>
    <mergeCell ref="A28:G28"/>
    <mergeCell ref="A29:G29"/>
    <mergeCell ref="B1:F1"/>
    <mergeCell ref="B2:F2"/>
    <mergeCell ref="B3:F3"/>
    <mergeCell ref="A5:F5"/>
    <mergeCell ref="A26:G26"/>
    <mergeCell ref="E9:G9"/>
    <mergeCell ref="E18:G18"/>
    <mergeCell ref="E11:G11"/>
    <mergeCell ref="A23:G24"/>
    <mergeCell ref="E8:H8"/>
  </mergeCells>
  <pageMargins left="0.7" right="0.7" top="0.75" bottom="0.75" header="0.3" footer="0.3"/>
  <pageSetup scale="67" orientation="portrait" r:id="rId1"/>
  <headerFooter alignWithMargins="0">
    <oddFooter xml:space="preserve">&amp;C
</oddFooter>
  </headerFooter>
  <rowBreaks count="1" manualBreakCount="1">
    <brk id="24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E739-1E5A-4CD8-9B00-64D03F782206}">
  <sheetPr codeName="Sheet10">
    <pageSetUpPr fitToPage="1"/>
  </sheetPr>
  <dimension ref="A1:R58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276" customWidth="1"/>
    <col min="2" max="2" width="39" style="276" customWidth="1"/>
    <col min="3" max="3" width="18.81640625" style="276" customWidth="1"/>
    <col min="4" max="4" width="18.1796875" style="276" customWidth="1"/>
    <col min="5" max="5" width="18.54296875" style="276" customWidth="1"/>
    <col min="6" max="6" width="19" style="276" customWidth="1"/>
    <col min="7" max="7" width="39.36328125" style="276" customWidth="1"/>
    <col min="8" max="8" width="20.7265625" style="276" customWidth="1"/>
    <col min="9" max="16384" width="8.90625" style="276"/>
  </cols>
  <sheetData>
    <row r="1" spans="1:18" ht="15.5" x14ac:dyDescent="0.7">
      <c r="A1" s="12"/>
      <c r="B1" s="570" t="s">
        <v>69</v>
      </c>
      <c r="C1" s="570"/>
      <c r="D1" s="570"/>
      <c r="E1" s="570"/>
      <c r="F1" s="570"/>
    </row>
    <row r="2" spans="1:18" ht="15.5" x14ac:dyDescent="0.7">
      <c r="A2" s="12"/>
      <c r="B2" s="570" t="s">
        <v>360</v>
      </c>
      <c r="C2" s="570"/>
      <c r="D2" s="570"/>
      <c r="E2" s="570"/>
      <c r="F2" s="570"/>
    </row>
    <row r="3" spans="1:18" ht="33" customHeight="1" x14ac:dyDescent="0.7">
      <c r="A3" s="12"/>
      <c r="B3" s="576" t="s">
        <v>353</v>
      </c>
      <c r="C3" s="570"/>
      <c r="D3" s="570"/>
      <c r="E3" s="570"/>
      <c r="F3" s="570"/>
    </row>
    <row r="4" spans="1:18" ht="15.5" x14ac:dyDescent="0.7">
      <c r="A4" s="12"/>
      <c r="B4" s="142"/>
      <c r="C4" s="142"/>
      <c r="D4" s="142"/>
      <c r="E4" s="142"/>
      <c r="F4" s="142"/>
    </row>
    <row r="5" spans="1:18" ht="18" x14ac:dyDescent="0.8">
      <c r="A5" s="577" t="s">
        <v>384</v>
      </c>
      <c r="B5" s="577"/>
      <c r="C5" s="577"/>
      <c r="D5" s="577"/>
      <c r="E5" s="577"/>
      <c r="F5" s="577"/>
    </row>
    <row r="7" spans="1:18" ht="71" customHeight="1" x14ac:dyDescent="0.6">
      <c r="C7" s="394" t="s">
        <v>476</v>
      </c>
      <c r="D7" s="394" t="s">
        <v>477</v>
      </c>
      <c r="E7" s="394" t="s">
        <v>474</v>
      </c>
      <c r="F7" s="395" t="s">
        <v>323</v>
      </c>
      <c r="G7" s="396"/>
      <c r="J7" s="276" t="s">
        <v>251</v>
      </c>
    </row>
    <row r="8" spans="1:18" ht="26" x14ac:dyDescent="0.6">
      <c r="A8" s="399">
        <v>1</v>
      </c>
      <c r="B8" s="400" t="s">
        <v>366</v>
      </c>
      <c r="C8" s="553">
        <v>50</v>
      </c>
      <c r="D8" s="553">
        <v>50</v>
      </c>
      <c r="E8" s="553">
        <v>50</v>
      </c>
      <c r="F8" s="554" t="s">
        <v>377</v>
      </c>
      <c r="G8" s="555"/>
      <c r="H8" s="555"/>
      <c r="I8" s="442"/>
      <c r="J8" s="276" t="s">
        <v>251</v>
      </c>
    </row>
    <row r="9" spans="1:18" ht="40.5" customHeight="1" x14ac:dyDescent="0.6">
      <c r="A9" s="399">
        <v>2</v>
      </c>
      <c r="B9" s="400" t="s">
        <v>334</v>
      </c>
      <c r="C9" s="552">
        <v>44.63</v>
      </c>
      <c r="D9" s="552">
        <v>47.46</v>
      </c>
      <c r="E9" s="552">
        <v>53.76</v>
      </c>
      <c r="F9" s="581" t="s">
        <v>485</v>
      </c>
      <c r="G9" s="582"/>
      <c r="H9" s="556"/>
      <c r="I9" s="336"/>
    </row>
    <row r="10" spans="1:18" ht="14.5" customHeight="1" x14ac:dyDescent="0.6">
      <c r="A10" s="399">
        <v>3</v>
      </c>
      <c r="B10" s="423" t="s">
        <v>335</v>
      </c>
      <c r="C10" s="557">
        <f>C8-C9</f>
        <v>5.3699999999999974</v>
      </c>
      <c r="D10" s="557">
        <f>D8-D9</f>
        <v>2.5399999999999991</v>
      </c>
      <c r="E10" s="557">
        <f>E8-E9</f>
        <v>-3.759999999999998</v>
      </c>
      <c r="F10" s="558" t="s">
        <v>337</v>
      </c>
      <c r="G10" s="558"/>
      <c r="H10" s="558"/>
      <c r="I10" s="336"/>
      <c r="J10" s="308"/>
    </row>
    <row r="11" spans="1:18" ht="13" customHeight="1" x14ac:dyDescent="0.6">
      <c r="A11" s="399">
        <f>A10+1</f>
        <v>4</v>
      </c>
      <c r="B11" s="423" t="s">
        <v>324</v>
      </c>
      <c r="C11" s="559">
        <f>'BGS PTY23 Cost Alloc'!J164</f>
        <v>4797.5227236800001</v>
      </c>
      <c r="D11" s="559">
        <f>C11</f>
        <v>4797.5227236800001</v>
      </c>
      <c r="E11" s="559">
        <f>C11</f>
        <v>4797.5227236800001</v>
      </c>
      <c r="F11" s="580" t="s">
        <v>463</v>
      </c>
      <c r="G11" s="580"/>
      <c r="H11" s="580"/>
      <c r="I11" s="500"/>
      <c r="J11" s="308"/>
    </row>
    <row r="12" spans="1:18" x14ac:dyDescent="0.6">
      <c r="A12" s="399">
        <f t="shared" ref="A12:A20" si="0">A11+1</f>
        <v>5</v>
      </c>
      <c r="B12" s="423" t="s">
        <v>325</v>
      </c>
      <c r="C12" s="560">
        <v>365</v>
      </c>
      <c r="D12" s="560">
        <f>C12</f>
        <v>365</v>
      </c>
      <c r="E12" s="560">
        <f>C12</f>
        <v>365</v>
      </c>
      <c r="F12" s="561"/>
      <c r="G12" s="561"/>
      <c r="H12" s="399"/>
      <c r="I12" s="336"/>
      <c r="J12" s="308"/>
    </row>
    <row r="13" spans="1:18" x14ac:dyDescent="0.6">
      <c r="A13" s="399">
        <f t="shared" si="0"/>
        <v>6</v>
      </c>
      <c r="B13" s="423" t="s">
        <v>340</v>
      </c>
      <c r="C13" s="562">
        <f>C10*C11*C12</f>
        <v>9403384.4145489801</v>
      </c>
      <c r="D13" s="562">
        <f>D10*D11*D12</f>
        <v>4447783.3171237269</v>
      </c>
      <c r="E13" s="562">
        <f>E10*E11*E12</f>
        <v>-6584120.1859784294</v>
      </c>
      <c r="F13" s="563" t="s">
        <v>326</v>
      </c>
      <c r="G13" s="561"/>
      <c r="H13" s="399"/>
      <c r="I13" s="336"/>
      <c r="J13" s="308"/>
      <c r="K13" s="308"/>
      <c r="Q13" s="308"/>
    </row>
    <row r="14" spans="1:18" x14ac:dyDescent="0.6">
      <c r="A14" s="399">
        <f t="shared" si="0"/>
        <v>7</v>
      </c>
      <c r="B14" s="423" t="s">
        <v>327</v>
      </c>
      <c r="C14" s="564">
        <f>C37</f>
        <v>15</v>
      </c>
      <c r="D14" s="564">
        <f>D37</f>
        <v>20</v>
      </c>
      <c r="E14" s="564">
        <f>E37</f>
        <v>18</v>
      </c>
      <c r="F14" s="561"/>
      <c r="G14" s="561"/>
      <c r="H14" s="399"/>
      <c r="I14" s="336"/>
      <c r="J14" s="308"/>
      <c r="K14" s="441"/>
      <c r="L14" s="405"/>
      <c r="Q14" s="308"/>
      <c r="R14" s="405"/>
    </row>
    <row r="15" spans="1:18" x14ac:dyDescent="0.6">
      <c r="A15" s="399">
        <f t="shared" si="0"/>
        <v>8</v>
      </c>
      <c r="B15" s="423" t="s">
        <v>328</v>
      </c>
      <c r="C15" s="565">
        <f>E38</f>
        <v>53</v>
      </c>
      <c r="D15" s="565">
        <f>C15</f>
        <v>53</v>
      </c>
      <c r="E15" s="565">
        <f>C15</f>
        <v>53</v>
      </c>
      <c r="F15" s="561"/>
      <c r="G15" s="561"/>
      <c r="H15" s="399"/>
      <c r="I15" s="336"/>
      <c r="J15" s="308"/>
      <c r="L15" s="405"/>
      <c r="R15" s="405"/>
    </row>
    <row r="16" spans="1:18" ht="18" customHeight="1" x14ac:dyDescent="0.6">
      <c r="A16" s="399">
        <f t="shared" si="0"/>
        <v>9</v>
      </c>
      <c r="B16" s="423" t="s">
        <v>341</v>
      </c>
      <c r="C16" s="566">
        <f>C14/C15</f>
        <v>0.28301886792452829</v>
      </c>
      <c r="D16" s="566">
        <f>D14/D15</f>
        <v>0.37735849056603776</v>
      </c>
      <c r="E16" s="566">
        <f>E14/E15</f>
        <v>0.33962264150943394</v>
      </c>
      <c r="F16" s="563" t="s">
        <v>329</v>
      </c>
      <c r="G16" s="561"/>
      <c r="H16" s="399"/>
      <c r="I16" s="336"/>
      <c r="K16" s="523"/>
      <c r="L16" s="405"/>
      <c r="R16" s="405"/>
    </row>
    <row r="17" spans="1:11" s="399" customFormat="1" ht="18" customHeight="1" x14ac:dyDescent="0.6">
      <c r="A17" s="399">
        <f t="shared" si="0"/>
        <v>10</v>
      </c>
      <c r="B17" s="400" t="s">
        <v>342</v>
      </c>
      <c r="C17" s="562">
        <f>C13*C16</f>
        <v>2661335.2116648057</v>
      </c>
      <c r="D17" s="562">
        <f>D13*D16</f>
        <v>1678408.7989146141</v>
      </c>
      <c r="E17" s="562">
        <f>E13*E16</f>
        <v>-2236116.2895775796</v>
      </c>
      <c r="F17" s="563" t="s">
        <v>330</v>
      </c>
      <c r="G17" s="561"/>
      <c r="I17" s="336"/>
      <c r="K17" s="524"/>
    </row>
    <row r="18" spans="1:11" ht="26" customHeight="1" x14ac:dyDescent="0.6">
      <c r="A18" s="399">
        <f t="shared" si="0"/>
        <v>11</v>
      </c>
      <c r="B18" s="400" t="s">
        <v>343</v>
      </c>
      <c r="C18" s="565">
        <f>F45+F46</f>
        <v>17898853</v>
      </c>
      <c r="D18" s="565">
        <f>C18</f>
        <v>17898853</v>
      </c>
      <c r="E18" s="565">
        <f>D18</f>
        <v>17898853</v>
      </c>
      <c r="F18" s="580" t="s">
        <v>464</v>
      </c>
      <c r="G18" s="580"/>
      <c r="H18" s="580"/>
      <c r="I18" s="500"/>
    </row>
    <row r="19" spans="1:11" ht="26" x14ac:dyDescent="0.6">
      <c r="A19" s="399">
        <f t="shared" si="0"/>
        <v>12</v>
      </c>
      <c r="B19" s="400" t="s">
        <v>344</v>
      </c>
      <c r="C19" s="567">
        <f>C18*C16</f>
        <v>5065713.113207547</v>
      </c>
      <c r="D19" s="567">
        <f>D18*D16</f>
        <v>6754284.1509433966</v>
      </c>
      <c r="E19" s="567">
        <f>E18*E16</f>
        <v>6078855.7358490564</v>
      </c>
      <c r="F19" s="563" t="s">
        <v>331</v>
      </c>
      <c r="G19" s="561"/>
      <c r="H19" s="399"/>
      <c r="I19" s="336"/>
    </row>
    <row r="20" spans="1:11" ht="18" customHeight="1" x14ac:dyDescent="0.6">
      <c r="A20" s="399">
        <f t="shared" si="0"/>
        <v>13</v>
      </c>
      <c r="B20" s="400" t="s">
        <v>336</v>
      </c>
      <c r="C20" s="568">
        <f>ROUND(C17/C19,2)</f>
        <v>0.53</v>
      </c>
      <c r="D20" s="568">
        <f>ROUND(D17/D19,2)</f>
        <v>0.25</v>
      </c>
      <c r="E20" s="568">
        <f>ROUND(E17/E19,2)</f>
        <v>-0.37</v>
      </c>
      <c r="F20" s="563" t="s">
        <v>332</v>
      </c>
      <c r="G20" s="561"/>
      <c r="H20" s="399"/>
      <c r="I20" s="336"/>
    </row>
    <row r="21" spans="1:11" x14ac:dyDescent="0.6">
      <c r="A21" s="336"/>
      <c r="B21" s="337"/>
      <c r="C21" s="338"/>
      <c r="D21" s="339"/>
      <c r="E21" s="398"/>
    </row>
    <row r="22" spans="1:11" x14ac:dyDescent="0.6">
      <c r="A22" s="276" t="s">
        <v>322</v>
      </c>
      <c r="B22" s="337"/>
      <c r="C22" s="338"/>
      <c r="D22" s="339"/>
      <c r="E22" s="398"/>
    </row>
    <row r="23" spans="1:11" x14ac:dyDescent="0.6">
      <c r="A23" s="579"/>
      <c r="B23" s="579"/>
      <c r="C23" s="579"/>
      <c r="D23" s="579"/>
      <c r="E23" s="579"/>
      <c r="F23" s="579"/>
      <c r="G23" s="579"/>
    </row>
    <row r="24" spans="1:11" x14ac:dyDescent="0.6">
      <c r="A24" s="579"/>
      <c r="B24" s="579"/>
      <c r="C24" s="579"/>
      <c r="D24" s="579"/>
      <c r="E24" s="579"/>
      <c r="F24" s="579"/>
      <c r="G24" s="579"/>
    </row>
    <row r="25" spans="1:11" x14ac:dyDescent="0.6">
      <c r="A25" s="278"/>
    </row>
    <row r="26" spans="1:11" ht="15.5" x14ac:dyDescent="0.7">
      <c r="A26" s="574" t="s">
        <v>307</v>
      </c>
      <c r="B26" s="574"/>
      <c r="C26" s="574"/>
      <c r="D26" s="574"/>
      <c r="E26" s="574"/>
      <c r="F26" s="574"/>
      <c r="G26" s="574"/>
    </row>
    <row r="27" spans="1:11" ht="15.5" x14ac:dyDescent="0.7">
      <c r="A27" s="575" t="s">
        <v>387</v>
      </c>
      <c r="B27" s="575"/>
      <c r="C27" s="575"/>
      <c r="D27" s="575"/>
      <c r="E27" s="575"/>
      <c r="F27" s="575"/>
      <c r="G27" s="575"/>
    </row>
    <row r="28" spans="1:11" x14ac:dyDescent="0.6">
      <c r="F28" s="280"/>
    </row>
    <row r="29" spans="1:11" ht="53.4" customHeight="1" x14ac:dyDescent="0.6">
      <c r="B29" s="279"/>
      <c r="C29" s="281" t="s">
        <v>351</v>
      </c>
      <c r="D29" s="281" t="s">
        <v>373</v>
      </c>
      <c r="E29" s="281" t="s">
        <v>385</v>
      </c>
      <c r="F29" s="281" t="s">
        <v>308</v>
      </c>
    </row>
    <row r="30" spans="1:11" x14ac:dyDescent="0.6">
      <c r="B30" s="279"/>
      <c r="C30" s="406" t="s">
        <v>352</v>
      </c>
      <c r="D30" s="407" t="s">
        <v>374</v>
      </c>
      <c r="E30" s="407" t="s">
        <v>386</v>
      </c>
      <c r="F30" s="281"/>
    </row>
    <row r="31" spans="1:11" ht="26" x14ac:dyDescent="0.6">
      <c r="B31" s="282"/>
      <c r="C31" s="283" t="s">
        <v>291</v>
      </c>
      <c r="D31" s="283" t="s">
        <v>292</v>
      </c>
      <c r="E31" s="284" t="s">
        <v>293</v>
      </c>
      <c r="F31" s="283"/>
    </row>
    <row r="32" spans="1:11" x14ac:dyDescent="0.6">
      <c r="C32" s="285"/>
      <c r="D32" s="285"/>
      <c r="E32" s="285"/>
      <c r="F32" s="334"/>
    </row>
    <row r="33" spans="1:8" x14ac:dyDescent="0.6">
      <c r="A33" s="308"/>
      <c r="B33" s="286" t="s">
        <v>294</v>
      </c>
      <c r="C33" s="287">
        <v>94.28</v>
      </c>
      <c r="D33" s="287">
        <v>82.95</v>
      </c>
      <c r="E33" s="505">
        <v>83.2</v>
      </c>
      <c r="F33" s="266"/>
      <c r="G33" s="276" t="s">
        <v>251</v>
      </c>
      <c r="H33" s="288"/>
    </row>
    <row r="34" spans="1:8" x14ac:dyDescent="0.6">
      <c r="A34" s="308"/>
      <c r="B34" s="289" t="s">
        <v>413</v>
      </c>
      <c r="C34" s="401">
        <f>C20</f>
        <v>0.53</v>
      </c>
      <c r="D34" s="401">
        <f>D20</f>
        <v>0.25</v>
      </c>
      <c r="E34" s="509">
        <f>E20</f>
        <v>-0.37</v>
      </c>
      <c r="F34" s="266"/>
      <c r="G34" s="276" t="s">
        <v>251</v>
      </c>
      <c r="H34" s="288"/>
    </row>
    <row r="35" spans="1:8" x14ac:dyDescent="0.6">
      <c r="A35" s="308"/>
      <c r="C35" s="287">
        <f>C33+C34</f>
        <v>94.81</v>
      </c>
      <c r="D35" s="287">
        <f t="shared" ref="D35:E35" si="1">D33+D34</f>
        <v>83.2</v>
      </c>
      <c r="E35" s="287">
        <f t="shared" si="1"/>
        <v>82.83</v>
      </c>
      <c r="F35" s="266"/>
      <c r="H35" s="288"/>
    </row>
    <row r="36" spans="1:8" x14ac:dyDescent="0.6">
      <c r="B36" s="289" t="s">
        <v>296</v>
      </c>
      <c r="C36" s="287"/>
      <c r="D36" s="287"/>
      <c r="E36" s="287"/>
      <c r="F36" s="266"/>
      <c r="H36" s="288"/>
    </row>
    <row r="37" spans="1:8" x14ac:dyDescent="0.6">
      <c r="A37" s="308"/>
      <c r="B37" s="286" t="s">
        <v>295</v>
      </c>
      <c r="C37" s="427">
        <v>15</v>
      </c>
      <c r="D37" s="427">
        <v>20</v>
      </c>
      <c r="E37" s="427">
        <v>18</v>
      </c>
      <c r="F37" s="291"/>
    </row>
    <row r="38" spans="1:8" x14ac:dyDescent="0.6">
      <c r="A38" s="308"/>
      <c r="B38" s="286" t="s">
        <v>296</v>
      </c>
      <c r="C38" s="290">
        <f>C37+D37+E37</f>
        <v>53</v>
      </c>
      <c r="D38" s="290">
        <f>C38</f>
        <v>53</v>
      </c>
      <c r="E38" s="290">
        <f>C38</f>
        <v>53</v>
      </c>
      <c r="F38" s="267"/>
    </row>
    <row r="39" spans="1:8" x14ac:dyDescent="0.6">
      <c r="A39" s="308"/>
      <c r="B39" s="286"/>
      <c r="C39" s="268"/>
      <c r="D39" s="268"/>
      <c r="E39" s="268"/>
      <c r="F39" s="267"/>
    </row>
    <row r="40" spans="1:8" x14ac:dyDescent="0.6">
      <c r="B40" s="289" t="s">
        <v>297</v>
      </c>
      <c r="C40" s="292"/>
      <c r="D40" s="292"/>
      <c r="E40" s="293"/>
      <c r="F40" s="293"/>
      <c r="G40" s="276" t="s">
        <v>251</v>
      </c>
    </row>
    <row r="41" spans="1:8" x14ac:dyDescent="0.6">
      <c r="A41" s="308"/>
      <c r="B41" s="269" t="s">
        <v>25</v>
      </c>
      <c r="C41" s="294">
        <v>1</v>
      </c>
      <c r="D41" s="294">
        <v>1</v>
      </c>
      <c r="E41" s="294">
        <v>1</v>
      </c>
      <c r="F41" s="295"/>
    </row>
    <row r="42" spans="1:8" x14ac:dyDescent="0.6">
      <c r="A42" s="308"/>
      <c r="B42" s="269" t="s">
        <v>26</v>
      </c>
      <c r="C42" s="294">
        <v>1</v>
      </c>
      <c r="D42" s="294">
        <v>1</v>
      </c>
      <c r="E42" s="294">
        <v>1</v>
      </c>
      <c r="F42" s="296"/>
    </row>
    <row r="43" spans="1:8" x14ac:dyDescent="0.6">
      <c r="A43" s="308"/>
      <c r="B43" s="286"/>
      <c r="C43" s="297"/>
      <c r="D43" s="297"/>
      <c r="E43" s="298"/>
      <c r="F43" s="297"/>
    </row>
    <row r="44" spans="1:8" ht="25.5" customHeight="1" x14ac:dyDescent="0.6">
      <c r="B44" s="299" t="s">
        <v>298</v>
      </c>
      <c r="C44" s="297"/>
      <c r="D44" s="298"/>
      <c r="E44" s="298"/>
      <c r="F44" s="297"/>
    </row>
    <row r="45" spans="1:8" x14ac:dyDescent="0.6">
      <c r="A45" s="308"/>
      <c r="B45" s="286" t="s">
        <v>299</v>
      </c>
      <c r="C45" s="300">
        <f>'BGS PTY23 Cost Alloc'!N247</f>
        <v>7122868</v>
      </c>
      <c r="D45" s="300">
        <f>C45</f>
        <v>7122868</v>
      </c>
      <c r="E45" s="300">
        <f>D45</f>
        <v>7122868</v>
      </c>
      <c r="F45" s="300">
        <f t="shared" ref="F45:F46" si="2">E45</f>
        <v>7122868</v>
      </c>
      <c r="G45" s="573" t="s">
        <v>251</v>
      </c>
    </row>
    <row r="46" spans="1:8" x14ac:dyDescent="0.6">
      <c r="A46" s="308"/>
      <c r="B46" s="286" t="s">
        <v>300</v>
      </c>
      <c r="C46" s="300">
        <f>'BGS PTY23 Cost Alloc'!N248</f>
        <v>10775985</v>
      </c>
      <c r="D46" s="300">
        <f>C46</f>
        <v>10775985</v>
      </c>
      <c r="E46" s="300">
        <f>D46</f>
        <v>10775985</v>
      </c>
      <c r="F46" s="300">
        <f t="shared" si="2"/>
        <v>10775985</v>
      </c>
      <c r="G46" s="573"/>
    </row>
    <row r="47" spans="1:8" x14ac:dyDescent="0.6">
      <c r="A47" s="308"/>
      <c r="B47" s="301"/>
      <c r="C47" s="297"/>
      <c r="D47" s="297"/>
      <c r="E47" s="298"/>
      <c r="F47" s="297"/>
    </row>
    <row r="48" spans="1:8" x14ac:dyDescent="0.6">
      <c r="B48" s="289" t="s">
        <v>309</v>
      </c>
      <c r="C48" s="297"/>
      <c r="D48" s="297"/>
      <c r="E48" s="298"/>
      <c r="F48" s="297"/>
    </row>
    <row r="49" spans="1:8" x14ac:dyDescent="0.6">
      <c r="A49" s="308"/>
      <c r="B49" s="269" t="s">
        <v>25</v>
      </c>
      <c r="C49" s="271">
        <f t="shared" ref="C49:E50" si="3">+C$33*C$37/C$38*C41*C45+C$34*C$37/C$38*C45</f>
        <v>191128051.43773583</v>
      </c>
      <c r="D49" s="271">
        <f t="shared" si="3"/>
        <v>223631176.4528302</v>
      </c>
      <c r="E49" s="271">
        <f t="shared" si="3"/>
        <v>200372996.52679247</v>
      </c>
      <c r="F49" s="271">
        <f>SUM(C49:E49)</f>
        <v>615132224.4173584</v>
      </c>
      <c r="H49" s="304"/>
    </row>
    <row r="50" spans="1:8" ht="15.25" x14ac:dyDescent="1.05">
      <c r="A50" s="308"/>
      <c r="B50" s="270" t="s">
        <v>26</v>
      </c>
      <c r="C50" s="272">
        <f t="shared" si="3"/>
        <v>289152208.8254717</v>
      </c>
      <c r="D50" s="272">
        <f t="shared" si="3"/>
        <v>338325264.90566039</v>
      </c>
      <c r="E50" s="272">
        <f t="shared" si="3"/>
        <v>303138624.07358491</v>
      </c>
      <c r="F50" s="272">
        <f>SUM(C50:E50)</f>
        <v>930616097.80471694</v>
      </c>
      <c r="H50" s="304"/>
    </row>
    <row r="51" spans="1:8" x14ac:dyDescent="0.6">
      <c r="A51" s="308"/>
      <c r="B51" s="286" t="s">
        <v>13</v>
      </c>
      <c r="C51" s="302">
        <f>+C50+C49</f>
        <v>480280260.26320755</v>
      </c>
      <c r="D51" s="302">
        <f>+D50+D49</f>
        <v>561956441.35849059</v>
      </c>
      <c r="E51" s="303">
        <f>+E50+E49</f>
        <v>503511620.60037738</v>
      </c>
      <c r="F51" s="302">
        <f>+F50+F49</f>
        <v>1545748322.2220755</v>
      </c>
      <c r="H51" s="304"/>
    </row>
    <row r="52" spans="1:8" x14ac:dyDescent="0.6">
      <c r="B52" s="286"/>
      <c r="C52" s="304"/>
      <c r="D52" s="304"/>
      <c r="E52" s="304"/>
      <c r="F52" s="304"/>
      <c r="H52" s="304"/>
    </row>
    <row r="53" spans="1:8" x14ac:dyDescent="0.6">
      <c r="B53" s="286" t="s">
        <v>301</v>
      </c>
      <c r="C53" s="304"/>
      <c r="D53" s="304" t="s">
        <v>251</v>
      </c>
      <c r="E53" s="304"/>
      <c r="F53" s="361">
        <f>ROUND(F51/(F45+F46),2)</f>
        <v>86.36</v>
      </c>
      <c r="G53" s="276" t="s">
        <v>333</v>
      </c>
      <c r="H53" s="304"/>
    </row>
    <row r="54" spans="1:8" x14ac:dyDescent="0.6">
      <c r="B54" s="286"/>
      <c r="C54" s="304"/>
      <c r="D54" s="304"/>
      <c r="E54" s="304"/>
      <c r="F54" s="361"/>
    </row>
    <row r="55" spans="1:8" x14ac:dyDescent="0.6">
      <c r="B55" s="286"/>
      <c r="C55" s="304"/>
      <c r="D55" s="304"/>
      <c r="E55" s="304"/>
      <c r="F55" s="361"/>
    </row>
    <row r="56" spans="1:8" x14ac:dyDescent="0.6">
      <c r="B56" s="286"/>
    </row>
    <row r="57" spans="1:8" x14ac:dyDescent="0.6">
      <c r="A57" s="280" t="s">
        <v>251</v>
      </c>
      <c r="B57" s="280"/>
      <c r="C57" s="280"/>
      <c r="D57" s="280"/>
      <c r="E57" s="280"/>
      <c r="F57" s="280"/>
    </row>
    <row r="58" spans="1:8" ht="16" customHeight="1" x14ac:dyDescent="0.6">
      <c r="A58" s="280"/>
      <c r="B58" s="280"/>
      <c r="C58" s="280"/>
      <c r="D58" s="280"/>
      <c r="E58" s="280"/>
      <c r="F58" s="280"/>
    </row>
  </sheetData>
  <mergeCells count="11">
    <mergeCell ref="A26:G26"/>
    <mergeCell ref="A27:G27"/>
    <mergeCell ref="G45:G46"/>
    <mergeCell ref="B1:F1"/>
    <mergeCell ref="B2:F2"/>
    <mergeCell ref="B3:F3"/>
    <mergeCell ref="A5:F5"/>
    <mergeCell ref="A23:G24"/>
    <mergeCell ref="F18:H18"/>
    <mergeCell ref="F11:H11"/>
    <mergeCell ref="F9:G9"/>
  </mergeCells>
  <pageMargins left="0.7" right="0.7" top="0.75" bottom="0.75" header="0.3" footer="0.3"/>
  <pageSetup scale="56" orientation="portrait" r:id="rId1"/>
  <headerFooter alignWithMargins="0"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EF64-EDF1-4B4C-85B4-E9D9D6213CC9}">
  <sheetPr codeName="Sheet11">
    <pageSetUpPr fitToPage="1"/>
  </sheetPr>
  <dimension ref="A1:Q58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276" customWidth="1"/>
    <col min="2" max="2" width="39" style="276" customWidth="1"/>
    <col min="3" max="3" width="16.90625" style="276" customWidth="1"/>
    <col min="4" max="4" width="17.26953125" style="276" customWidth="1"/>
    <col min="5" max="5" width="15.7265625" style="276" customWidth="1"/>
    <col min="6" max="6" width="13.54296875" style="276" bestFit="1" customWidth="1"/>
    <col min="7" max="7" width="25.76953125" style="276" customWidth="1"/>
    <col min="8" max="8" width="20.7265625" style="276" customWidth="1"/>
    <col min="9" max="16384" width="8.90625" style="276"/>
  </cols>
  <sheetData>
    <row r="1" spans="1:17" ht="15.5" x14ac:dyDescent="0.7">
      <c r="A1" s="12"/>
      <c r="B1" s="570" t="s">
        <v>69</v>
      </c>
      <c r="C1" s="570"/>
      <c r="D1" s="570"/>
      <c r="E1" s="570"/>
      <c r="F1" s="570"/>
    </row>
    <row r="2" spans="1:17" ht="15.5" x14ac:dyDescent="0.7">
      <c r="A2" s="12"/>
      <c r="B2" s="570" t="s">
        <v>361</v>
      </c>
      <c r="C2" s="570"/>
      <c r="D2" s="570"/>
      <c r="E2" s="570"/>
      <c r="F2" s="570"/>
    </row>
    <row r="3" spans="1:17" ht="33" customHeight="1" x14ac:dyDescent="0.7">
      <c r="A3" s="12"/>
      <c r="B3" s="576" t="s">
        <v>353</v>
      </c>
      <c r="C3" s="570"/>
      <c r="D3" s="570"/>
      <c r="E3" s="570"/>
      <c r="F3" s="570"/>
    </row>
    <row r="4" spans="1:17" ht="15.5" x14ac:dyDescent="0.7">
      <c r="A4" s="12"/>
      <c r="B4" s="142"/>
      <c r="C4" s="142"/>
      <c r="D4" s="142"/>
      <c r="E4" s="142"/>
      <c r="F4" s="142"/>
    </row>
    <row r="5" spans="1:17" ht="18" x14ac:dyDescent="0.8">
      <c r="A5" s="577" t="s">
        <v>435</v>
      </c>
      <c r="B5" s="577"/>
      <c r="C5" s="577"/>
      <c r="D5" s="577"/>
      <c r="E5" s="577"/>
      <c r="F5" s="577"/>
    </row>
    <row r="7" spans="1:17" ht="65" x14ac:dyDescent="0.6">
      <c r="C7" s="394" t="s">
        <v>439</v>
      </c>
      <c r="D7" s="394" t="s">
        <v>465</v>
      </c>
      <c r="E7" s="395" t="s">
        <v>323</v>
      </c>
      <c r="F7" s="396"/>
      <c r="I7" s="276" t="s">
        <v>251</v>
      </c>
    </row>
    <row r="8" spans="1:17" ht="26" x14ac:dyDescent="0.6">
      <c r="A8" s="399">
        <v>1</v>
      </c>
      <c r="B8" s="400" t="s">
        <v>366</v>
      </c>
      <c r="C8" s="553">
        <v>50</v>
      </c>
      <c r="D8" s="553">
        <v>50</v>
      </c>
      <c r="E8" s="554" t="s">
        <v>377</v>
      </c>
      <c r="F8" s="555"/>
      <c r="G8" s="555"/>
      <c r="H8" s="442"/>
      <c r="I8" s="276" t="s">
        <v>251</v>
      </c>
    </row>
    <row r="9" spans="1:17" ht="27.5" customHeight="1" x14ac:dyDescent="0.6">
      <c r="A9" s="399">
        <v>2</v>
      </c>
      <c r="B9" s="424" t="s">
        <v>334</v>
      </c>
      <c r="C9" s="552">
        <v>49.05</v>
      </c>
      <c r="D9" s="552">
        <v>50.9</v>
      </c>
      <c r="E9" s="581" t="s">
        <v>484</v>
      </c>
      <c r="F9" s="582"/>
      <c r="G9" s="582"/>
      <c r="H9" s="336"/>
    </row>
    <row r="10" spans="1:17" ht="14.5" customHeight="1" x14ac:dyDescent="0.6">
      <c r="A10" s="399">
        <v>3</v>
      </c>
      <c r="B10" s="423" t="s">
        <v>335</v>
      </c>
      <c r="C10" s="557">
        <f>C8-C9</f>
        <v>0.95000000000000284</v>
      </c>
      <c r="D10" s="557">
        <f>D8-D9</f>
        <v>-0.89999999999999858</v>
      </c>
      <c r="E10" s="558" t="s">
        <v>337</v>
      </c>
      <c r="F10" s="558"/>
      <c r="G10" s="558"/>
      <c r="H10" s="336"/>
    </row>
    <row r="11" spans="1:17" x14ac:dyDescent="0.6">
      <c r="A11" s="399">
        <f>A10+1</f>
        <v>4</v>
      </c>
      <c r="B11" s="423" t="s">
        <v>324</v>
      </c>
      <c r="C11" s="559">
        <f>'BGS PTY23 Cost Alloc'!J164</f>
        <v>4797.5227236800001</v>
      </c>
      <c r="D11" s="559">
        <f>C11</f>
        <v>4797.5227236800001</v>
      </c>
      <c r="E11" s="583" t="s">
        <v>463</v>
      </c>
      <c r="F11" s="583"/>
      <c r="G11" s="583"/>
      <c r="H11" s="500"/>
    </row>
    <row r="12" spans="1:17" x14ac:dyDescent="0.6">
      <c r="A12" s="399">
        <f t="shared" ref="A12:A20" si="0">A11+1</f>
        <v>5</v>
      </c>
      <c r="B12" s="423" t="s">
        <v>325</v>
      </c>
      <c r="C12" s="560">
        <v>365</v>
      </c>
      <c r="D12" s="560">
        <f>C12</f>
        <v>365</v>
      </c>
      <c r="E12" s="561"/>
      <c r="F12" s="561"/>
      <c r="G12" s="399"/>
      <c r="H12" s="336"/>
      <c r="J12" s="308"/>
    </row>
    <row r="13" spans="1:17" x14ac:dyDescent="0.6">
      <c r="A13" s="399">
        <f t="shared" si="0"/>
        <v>6</v>
      </c>
      <c r="B13" s="423" t="s">
        <v>340</v>
      </c>
      <c r="C13" s="562">
        <f>C10*C11*C12</f>
        <v>1663541.0044360452</v>
      </c>
      <c r="D13" s="562">
        <f>D10*D11*D12</f>
        <v>-1575986.2147288776</v>
      </c>
      <c r="E13" s="563" t="s">
        <v>326</v>
      </c>
      <c r="F13" s="561"/>
      <c r="G13" s="399"/>
      <c r="H13" s="336"/>
      <c r="J13" s="308"/>
      <c r="P13" s="308"/>
    </row>
    <row r="14" spans="1:17" x14ac:dyDescent="0.6">
      <c r="A14" s="399">
        <f t="shared" si="0"/>
        <v>7</v>
      </c>
      <c r="B14" s="423" t="s">
        <v>327</v>
      </c>
      <c r="C14" s="564">
        <f>C37</f>
        <v>20</v>
      </c>
      <c r="D14" s="564">
        <f>D37</f>
        <v>18</v>
      </c>
      <c r="E14" s="561"/>
      <c r="F14" s="561"/>
      <c r="G14" s="399"/>
      <c r="H14" s="336"/>
      <c r="J14" s="441"/>
      <c r="K14" s="405"/>
      <c r="P14" s="308"/>
      <c r="Q14" s="405"/>
    </row>
    <row r="15" spans="1:17" x14ac:dyDescent="0.6">
      <c r="A15" s="399">
        <f t="shared" si="0"/>
        <v>8</v>
      </c>
      <c r="B15" s="423" t="s">
        <v>328</v>
      </c>
      <c r="C15" s="565">
        <f>E38</f>
        <v>53</v>
      </c>
      <c r="D15" s="565">
        <f>C15</f>
        <v>53</v>
      </c>
      <c r="E15" s="561"/>
      <c r="F15" s="561"/>
      <c r="G15" s="399"/>
      <c r="H15" s="336"/>
      <c r="K15" s="405"/>
      <c r="Q15" s="405"/>
    </row>
    <row r="16" spans="1:17" ht="18" customHeight="1" x14ac:dyDescent="0.6">
      <c r="A16" s="399">
        <f t="shared" si="0"/>
        <v>9</v>
      </c>
      <c r="B16" s="423" t="s">
        <v>341</v>
      </c>
      <c r="C16" s="566">
        <f>C14/C15</f>
        <v>0.37735849056603776</v>
      </c>
      <c r="D16" s="566">
        <f>D14/D15</f>
        <v>0.33962264150943394</v>
      </c>
      <c r="E16" s="563" t="s">
        <v>329</v>
      </c>
      <c r="F16" s="561"/>
      <c r="G16" s="399"/>
      <c r="H16" s="336"/>
      <c r="K16" s="405"/>
      <c r="Q16" s="405"/>
    </row>
    <row r="17" spans="1:8" s="399" customFormat="1" ht="18" customHeight="1" x14ac:dyDescent="0.6">
      <c r="A17" s="399">
        <f t="shared" si="0"/>
        <v>10</v>
      </c>
      <c r="B17" s="400" t="s">
        <v>342</v>
      </c>
      <c r="C17" s="562">
        <f>C13*C16</f>
        <v>627751.32242869632</v>
      </c>
      <c r="D17" s="562">
        <f>D13*D16</f>
        <v>-535240.60122867534</v>
      </c>
      <c r="E17" s="563" t="s">
        <v>330</v>
      </c>
      <c r="F17" s="561"/>
      <c r="H17" s="336"/>
    </row>
    <row r="18" spans="1:8" ht="26" customHeight="1" x14ac:dyDescent="0.6">
      <c r="A18" s="399">
        <f t="shared" si="0"/>
        <v>11</v>
      </c>
      <c r="B18" s="400" t="s">
        <v>343</v>
      </c>
      <c r="C18" s="565">
        <f>F45+F46</f>
        <v>17898853</v>
      </c>
      <c r="D18" s="565">
        <f>C18</f>
        <v>17898853</v>
      </c>
      <c r="E18" s="580" t="s">
        <v>464</v>
      </c>
      <c r="F18" s="580"/>
      <c r="G18" s="580"/>
      <c r="H18" s="500"/>
    </row>
    <row r="19" spans="1:8" ht="26" x14ac:dyDescent="0.6">
      <c r="A19" s="399">
        <f t="shared" si="0"/>
        <v>12</v>
      </c>
      <c r="B19" s="400" t="s">
        <v>344</v>
      </c>
      <c r="C19" s="567">
        <f>C18*C16</f>
        <v>6754284.1509433966</v>
      </c>
      <c r="D19" s="567">
        <f>D18*D16</f>
        <v>6078855.7358490564</v>
      </c>
      <c r="E19" s="563" t="s">
        <v>331</v>
      </c>
      <c r="F19" s="561"/>
      <c r="G19" s="399"/>
      <c r="H19" s="336"/>
    </row>
    <row r="20" spans="1:8" ht="18" customHeight="1" x14ac:dyDescent="0.6">
      <c r="A20" s="399">
        <f t="shared" si="0"/>
        <v>13</v>
      </c>
      <c r="B20" s="400" t="s">
        <v>336</v>
      </c>
      <c r="C20" s="568">
        <f>ROUND(C17/C19,2)</f>
        <v>0.09</v>
      </c>
      <c r="D20" s="568">
        <f>ROUND(D17/D19,2)</f>
        <v>-0.09</v>
      </c>
      <c r="E20" s="563" t="s">
        <v>332</v>
      </c>
      <c r="F20" s="561"/>
      <c r="G20" s="399"/>
      <c r="H20" s="336"/>
    </row>
    <row r="21" spans="1:8" x14ac:dyDescent="0.6">
      <c r="A21" s="336"/>
      <c r="B21" s="337"/>
      <c r="C21" s="338"/>
      <c r="D21" s="339"/>
      <c r="E21" s="398"/>
    </row>
    <row r="22" spans="1:8" x14ac:dyDescent="0.6">
      <c r="A22" s="276" t="s">
        <v>322</v>
      </c>
      <c r="B22" s="337"/>
      <c r="C22" s="338"/>
      <c r="D22" s="339"/>
      <c r="E22" s="398"/>
    </row>
    <row r="23" spans="1:8" x14ac:dyDescent="0.6">
      <c r="A23" s="579"/>
      <c r="B23" s="579"/>
      <c r="C23" s="579"/>
      <c r="D23" s="579"/>
      <c r="E23" s="579"/>
      <c r="F23" s="579"/>
      <c r="G23" s="579"/>
    </row>
    <row r="24" spans="1:8" x14ac:dyDescent="0.6">
      <c r="A24" s="579"/>
      <c r="B24" s="579"/>
      <c r="C24" s="579"/>
      <c r="D24" s="579"/>
      <c r="E24" s="579"/>
      <c r="F24" s="579"/>
      <c r="G24" s="579"/>
    </row>
    <row r="25" spans="1:8" x14ac:dyDescent="0.6">
      <c r="A25" s="278"/>
    </row>
    <row r="26" spans="1:8" ht="15.5" x14ac:dyDescent="0.7">
      <c r="A26" s="574" t="s">
        <v>307</v>
      </c>
      <c r="B26" s="574"/>
      <c r="C26" s="574"/>
      <c r="D26" s="574"/>
      <c r="E26" s="574"/>
      <c r="F26" s="574"/>
      <c r="G26" s="574"/>
    </row>
    <row r="27" spans="1:8" ht="15.5" x14ac:dyDescent="0.7">
      <c r="A27" s="575" t="s">
        <v>438</v>
      </c>
      <c r="B27" s="575"/>
      <c r="C27" s="575"/>
      <c r="D27" s="575"/>
      <c r="E27" s="575"/>
      <c r="F27" s="575"/>
      <c r="G27" s="575"/>
    </row>
    <row r="28" spans="1:8" x14ac:dyDescent="0.6">
      <c r="F28" s="280"/>
    </row>
    <row r="29" spans="1:8" ht="53.4" customHeight="1" x14ac:dyDescent="0.6">
      <c r="B29" s="279"/>
      <c r="C29" s="281" t="s">
        <v>373</v>
      </c>
      <c r="D29" s="281" t="s">
        <v>385</v>
      </c>
      <c r="E29" s="281" t="s">
        <v>436</v>
      </c>
      <c r="F29" s="281" t="s">
        <v>308</v>
      </c>
    </row>
    <row r="30" spans="1:8" x14ac:dyDescent="0.6">
      <c r="B30" s="279"/>
      <c r="C30" s="407" t="s">
        <v>374</v>
      </c>
      <c r="D30" s="407" t="s">
        <v>386</v>
      </c>
      <c r="E30" s="407" t="s">
        <v>437</v>
      </c>
      <c r="F30" s="281"/>
    </row>
    <row r="31" spans="1:8" ht="26" x14ac:dyDescent="0.6">
      <c r="B31" s="282"/>
      <c r="C31" s="283" t="s">
        <v>291</v>
      </c>
      <c r="D31" s="283" t="s">
        <v>292</v>
      </c>
      <c r="E31" s="284" t="s">
        <v>293</v>
      </c>
      <c r="F31" s="283"/>
    </row>
    <row r="32" spans="1:8" x14ac:dyDescent="0.6">
      <c r="C32" s="285"/>
      <c r="D32" s="285"/>
      <c r="E32" s="285"/>
      <c r="F32" s="334"/>
    </row>
    <row r="33" spans="1:8" x14ac:dyDescent="0.6">
      <c r="A33" s="308"/>
      <c r="B33" s="286" t="s">
        <v>294</v>
      </c>
      <c r="C33" s="287">
        <f>'Attachment 3 - 25-26'!D33</f>
        <v>82.95</v>
      </c>
      <c r="D33" s="287">
        <f>'Attachment 3 - 25-26'!E33</f>
        <v>83.2</v>
      </c>
      <c r="E33" s="505">
        <f>D35</f>
        <v>83.11</v>
      </c>
      <c r="F33" s="266"/>
      <c r="G33" s="276" t="s">
        <v>251</v>
      </c>
      <c r="H33" s="288"/>
    </row>
    <row r="34" spans="1:8" x14ac:dyDescent="0.6">
      <c r="A34" s="308"/>
      <c r="B34" s="289" t="s">
        <v>413</v>
      </c>
      <c r="C34" s="401">
        <f>C20</f>
        <v>0.09</v>
      </c>
      <c r="D34" s="401">
        <f>D20</f>
        <v>-0.09</v>
      </c>
      <c r="E34" s="408"/>
      <c r="F34" s="266"/>
      <c r="G34" s="276" t="s">
        <v>251</v>
      </c>
      <c r="H34" s="288"/>
    </row>
    <row r="35" spans="1:8" x14ac:dyDescent="0.6">
      <c r="A35" s="308"/>
      <c r="C35" s="287">
        <f>C33+C34</f>
        <v>83.04</v>
      </c>
      <c r="D35" s="287">
        <f t="shared" ref="D35:E35" si="1">D33+D34</f>
        <v>83.11</v>
      </c>
      <c r="E35" s="287">
        <f t="shared" si="1"/>
        <v>83.11</v>
      </c>
      <c r="F35" s="266"/>
      <c r="H35" s="288"/>
    </row>
    <row r="36" spans="1:8" x14ac:dyDescent="0.6">
      <c r="B36" s="289" t="s">
        <v>296</v>
      </c>
      <c r="C36" s="287"/>
      <c r="D36" s="287"/>
      <c r="E36" s="287"/>
      <c r="F36" s="266"/>
      <c r="H36" s="288"/>
    </row>
    <row r="37" spans="1:8" x14ac:dyDescent="0.6">
      <c r="A37" s="308"/>
      <c r="B37" s="286" t="s">
        <v>295</v>
      </c>
      <c r="C37" s="427">
        <v>20</v>
      </c>
      <c r="D37" s="427">
        <v>18</v>
      </c>
      <c r="E37" s="427">
        <v>15</v>
      </c>
      <c r="F37" s="291"/>
    </row>
    <row r="38" spans="1:8" x14ac:dyDescent="0.6">
      <c r="A38" s="308"/>
      <c r="B38" s="286" t="s">
        <v>296</v>
      </c>
      <c r="C38" s="290">
        <f>C37+D37+E37</f>
        <v>53</v>
      </c>
      <c r="D38" s="290">
        <f>C38</f>
        <v>53</v>
      </c>
      <c r="E38" s="290">
        <f>C38</f>
        <v>53</v>
      </c>
      <c r="F38" s="267"/>
    </row>
    <row r="39" spans="1:8" x14ac:dyDescent="0.6">
      <c r="A39" s="308"/>
      <c r="B39" s="286"/>
      <c r="C39" s="268"/>
      <c r="D39" s="268"/>
      <c r="E39" s="268"/>
      <c r="F39" s="267"/>
    </row>
    <row r="40" spans="1:8" x14ac:dyDescent="0.6">
      <c r="B40" s="289" t="s">
        <v>297</v>
      </c>
      <c r="C40" s="292"/>
      <c r="D40" s="292"/>
      <c r="E40" s="293"/>
      <c r="F40" s="293"/>
      <c r="G40" s="276" t="s">
        <v>251</v>
      </c>
    </row>
    <row r="41" spans="1:8" x14ac:dyDescent="0.6">
      <c r="A41" s="308"/>
      <c r="B41" s="269" t="s">
        <v>25</v>
      </c>
      <c r="C41" s="294">
        <v>1</v>
      </c>
      <c r="D41" s="294">
        <v>1</v>
      </c>
      <c r="E41" s="294">
        <v>1</v>
      </c>
      <c r="F41" s="295"/>
    </row>
    <row r="42" spans="1:8" x14ac:dyDescent="0.6">
      <c r="A42" s="308"/>
      <c r="B42" s="269" t="s">
        <v>26</v>
      </c>
      <c r="C42" s="294">
        <v>1</v>
      </c>
      <c r="D42" s="294">
        <v>1</v>
      </c>
      <c r="E42" s="294">
        <v>1</v>
      </c>
      <c r="F42" s="296"/>
    </row>
    <row r="43" spans="1:8" x14ac:dyDescent="0.6">
      <c r="A43" s="308"/>
      <c r="B43" s="286"/>
      <c r="C43" s="297"/>
      <c r="D43" s="297"/>
      <c r="E43" s="298"/>
      <c r="F43" s="297"/>
    </row>
    <row r="44" spans="1:8" ht="25.5" customHeight="1" x14ac:dyDescent="0.6">
      <c r="B44" s="299" t="s">
        <v>298</v>
      </c>
      <c r="C44" s="297"/>
      <c r="D44" s="298"/>
      <c r="E44" s="298"/>
      <c r="F44" s="297"/>
    </row>
    <row r="45" spans="1:8" x14ac:dyDescent="0.6">
      <c r="A45" s="308"/>
      <c r="B45" s="286" t="s">
        <v>299</v>
      </c>
      <c r="C45" s="300">
        <f>'BGS PTY23 Cost Alloc'!N247</f>
        <v>7122868</v>
      </c>
      <c r="D45" s="300">
        <f>C45</f>
        <v>7122868</v>
      </c>
      <c r="E45" s="300">
        <f>D45</f>
        <v>7122868</v>
      </c>
      <c r="F45" s="300">
        <f t="shared" ref="F45:F46" si="2">E45</f>
        <v>7122868</v>
      </c>
      <c r="G45" s="573" t="s">
        <v>251</v>
      </c>
    </row>
    <row r="46" spans="1:8" x14ac:dyDescent="0.6">
      <c r="A46" s="308"/>
      <c r="B46" s="286" t="s">
        <v>300</v>
      </c>
      <c r="C46" s="300">
        <f>'BGS PTY23 Cost Alloc'!N248</f>
        <v>10775985</v>
      </c>
      <c r="D46" s="300">
        <f>C46</f>
        <v>10775985</v>
      </c>
      <c r="E46" s="300">
        <f>D46</f>
        <v>10775985</v>
      </c>
      <c r="F46" s="300">
        <f t="shared" si="2"/>
        <v>10775985</v>
      </c>
      <c r="G46" s="573"/>
    </row>
    <row r="47" spans="1:8" x14ac:dyDescent="0.6">
      <c r="A47" s="308"/>
      <c r="B47" s="301"/>
      <c r="C47" s="297"/>
      <c r="D47" s="297"/>
      <c r="E47" s="298"/>
      <c r="F47" s="297"/>
    </row>
    <row r="48" spans="1:8" x14ac:dyDescent="0.6">
      <c r="B48" s="289" t="s">
        <v>309</v>
      </c>
      <c r="C48" s="297"/>
      <c r="D48" s="297"/>
      <c r="E48" s="298"/>
      <c r="F48" s="297"/>
    </row>
    <row r="49" spans="1:8" x14ac:dyDescent="0.6">
      <c r="A49" s="308"/>
      <c r="B49" s="269" t="s">
        <v>25</v>
      </c>
      <c r="C49" s="271">
        <f t="shared" ref="C49:E50" si="3">+C$33*C$37/C$38*C41*C45+C$34*C$37/C$38*C45</f>
        <v>223201116.49811321</v>
      </c>
      <c r="D49" s="271">
        <f t="shared" si="3"/>
        <v>201050340.95547172</v>
      </c>
      <c r="E49" s="271">
        <f t="shared" si="3"/>
        <v>167541950.79622644</v>
      </c>
      <c r="F49" s="271">
        <f>SUM(C49:E49)</f>
        <v>591793408.24981141</v>
      </c>
      <c r="H49" s="304"/>
    </row>
    <row r="50" spans="1:8" ht="15.25" x14ac:dyDescent="1.05">
      <c r="A50" s="308"/>
      <c r="B50" s="270" t="s">
        <v>26</v>
      </c>
      <c r="C50" s="272">
        <f t="shared" si="3"/>
        <v>337674639.39622641</v>
      </c>
      <c r="D50" s="272">
        <f t="shared" si="3"/>
        <v>304163359.25094342</v>
      </c>
      <c r="E50" s="272">
        <f t="shared" si="3"/>
        <v>253469466.04245284</v>
      </c>
      <c r="F50" s="272">
        <f>SUM(C50:E50)</f>
        <v>895307464.68962264</v>
      </c>
      <c r="H50" s="304"/>
    </row>
    <row r="51" spans="1:8" x14ac:dyDescent="0.6">
      <c r="A51" s="308"/>
      <c r="B51" s="286" t="s">
        <v>13</v>
      </c>
      <c r="C51" s="302">
        <f>+C50+C49</f>
        <v>560875755.89433956</v>
      </c>
      <c r="D51" s="302">
        <f>+D50+D49</f>
        <v>505213700.20641518</v>
      </c>
      <c r="E51" s="303">
        <f>+E50+E49</f>
        <v>421011416.83867931</v>
      </c>
      <c r="F51" s="302">
        <f>+F50+F49</f>
        <v>1487100872.9394341</v>
      </c>
      <c r="H51" s="304"/>
    </row>
    <row r="52" spans="1:8" x14ac:dyDescent="0.6">
      <c r="B52" s="286"/>
      <c r="C52" s="304"/>
      <c r="D52" s="304"/>
      <c r="E52" s="304"/>
      <c r="F52" s="304"/>
      <c r="H52" s="304"/>
    </row>
    <row r="53" spans="1:8" x14ac:dyDescent="0.6">
      <c r="B53" s="286" t="s">
        <v>301</v>
      </c>
      <c r="C53" s="304"/>
      <c r="D53" s="304" t="s">
        <v>251</v>
      </c>
      <c r="E53" s="304"/>
      <c r="F53" s="361">
        <f>ROUND(F51/(F45+F46),2)</f>
        <v>83.08</v>
      </c>
      <c r="G53" s="276" t="s">
        <v>333</v>
      </c>
      <c r="H53" s="304"/>
    </row>
    <row r="54" spans="1:8" x14ac:dyDescent="0.6">
      <c r="B54" s="286"/>
      <c r="C54" s="304"/>
      <c r="D54" s="304"/>
      <c r="E54" s="304"/>
      <c r="F54" s="361"/>
    </row>
    <row r="55" spans="1:8" x14ac:dyDescent="0.6">
      <c r="B55" s="286"/>
      <c r="C55" s="304"/>
      <c r="D55" s="304"/>
      <c r="E55" s="304"/>
      <c r="F55" s="361"/>
    </row>
    <row r="56" spans="1:8" x14ac:dyDescent="0.6">
      <c r="B56" s="286"/>
    </row>
    <row r="57" spans="1:8" x14ac:dyDescent="0.6">
      <c r="A57" s="280" t="s">
        <v>251</v>
      </c>
      <c r="B57" s="280"/>
      <c r="C57" s="280"/>
      <c r="D57" s="280"/>
      <c r="E57" s="280"/>
      <c r="F57" s="280"/>
    </row>
    <row r="58" spans="1:8" ht="16" customHeight="1" x14ac:dyDescent="0.6">
      <c r="A58" s="280"/>
      <c r="B58" s="280"/>
      <c r="C58" s="280"/>
      <c r="D58" s="280"/>
      <c r="E58" s="280"/>
      <c r="F58" s="280"/>
    </row>
  </sheetData>
  <mergeCells count="11">
    <mergeCell ref="A27:G27"/>
    <mergeCell ref="G45:G46"/>
    <mergeCell ref="B1:F1"/>
    <mergeCell ref="B2:F2"/>
    <mergeCell ref="B3:F3"/>
    <mergeCell ref="A5:F5"/>
    <mergeCell ref="A23:G24"/>
    <mergeCell ref="A26:G26"/>
    <mergeCell ref="E18:G18"/>
    <mergeCell ref="E9:G9"/>
    <mergeCell ref="E11:G11"/>
  </mergeCells>
  <pageMargins left="0.7" right="0.7" top="0.75" bottom="0.75" header="0.3" footer="0.3"/>
  <pageSetup scale="67" orientation="portrait" r:id="rId1"/>
  <headerFooter alignWithMargins="0">
    <oddFooter xml:space="preserve">&amp;C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85D6-78C7-4ED7-874D-ED2498794D80}">
  <sheetPr codeName="Sheet12">
    <pageSetUpPr fitToPage="1"/>
  </sheetPr>
  <dimension ref="A1:P70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276" customWidth="1"/>
    <col min="2" max="2" width="40.453125" style="276" customWidth="1"/>
    <col min="3" max="3" width="16.7265625" style="276" customWidth="1"/>
    <col min="4" max="4" width="16.81640625" style="276" customWidth="1"/>
    <col min="5" max="5" width="15.1796875" style="276" customWidth="1"/>
    <col min="6" max="6" width="17.1796875" style="276" customWidth="1"/>
    <col min="7" max="7" width="25.453125" style="276" customWidth="1"/>
    <col min="8" max="8" width="20.7265625" style="276" customWidth="1"/>
    <col min="9" max="16384" width="8.90625" style="276"/>
  </cols>
  <sheetData>
    <row r="1" spans="1:16" ht="15.5" x14ac:dyDescent="0.7">
      <c r="A1" s="12"/>
      <c r="B1" s="570" t="s">
        <v>69</v>
      </c>
      <c r="C1" s="570"/>
      <c r="D1" s="570"/>
      <c r="E1" s="570"/>
      <c r="F1" s="570"/>
    </row>
    <row r="2" spans="1:16" ht="15.5" x14ac:dyDescent="0.7">
      <c r="A2" s="12"/>
      <c r="B2" s="570" t="s">
        <v>362</v>
      </c>
      <c r="C2" s="570"/>
      <c r="D2" s="570"/>
      <c r="E2" s="570"/>
      <c r="F2" s="570"/>
    </row>
    <row r="3" spans="1:16" ht="33" customHeight="1" x14ac:dyDescent="0.7">
      <c r="A3" s="12"/>
      <c r="B3" s="576" t="s">
        <v>353</v>
      </c>
      <c r="C3" s="570"/>
      <c r="D3" s="570"/>
      <c r="E3" s="570"/>
      <c r="F3" s="570"/>
    </row>
    <row r="4" spans="1:16" ht="15.5" x14ac:dyDescent="0.7">
      <c r="A4" s="12"/>
      <c r="B4" s="142"/>
      <c r="C4" s="142"/>
      <c r="D4" s="142"/>
      <c r="E4" s="142"/>
      <c r="F4" s="142"/>
    </row>
    <row r="5" spans="1:16" ht="18" x14ac:dyDescent="0.8">
      <c r="A5" s="577" t="s">
        <v>472</v>
      </c>
      <c r="B5" s="577"/>
      <c r="C5" s="577"/>
      <c r="D5" s="577"/>
      <c r="E5" s="577"/>
      <c r="F5" s="577"/>
    </row>
    <row r="7" spans="1:16" ht="72" customHeight="1" x14ac:dyDescent="0.6">
      <c r="C7" s="394" t="s">
        <v>471</v>
      </c>
      <c r="D7" s="395" t="s">
        <v>323</v>
      </c>
      <c r="E7" s="396"/>
      <c r="H7" s="276" t="s">
        <v>251</v>
      </c>
    </row>
    <row r="8" spans="1:16" ht="26" x14ac:dyDescent="0.6">
      <c r="A8" s="399">
        <v>1</v>
      </c>
      <c r="B8" s="400" t="s">
        <v>366</v>
      </c>
      <c r="C8" s="553">
        <v>50</v>
      </c>
      <c r="D8" s="554" t="s">
        <v>466</v>
      </c>
      <c r="E8" s="555"/>
      <c r="F8" s="555"/>
      <c r="G8" s="555"/>
    </row>
    <row r="9" spans="1:16" ht="14.5" customHeight="1" x14ac:dyDescent="0.6">
      <c r="A9" s="399">
        <v>2</v>
      </c>
      <c r="B9" s="424" t="s">
        <v>334</v>
      </c>
      <c r="C9" s="552">
        <v>50.9</v>
      </c>
      <c r="D9" s="556" t="s">
        <v>486</v>
      </c>
      <c r="E9" s="556"/>
      <c r="F9" s="556"/>
      <c r="G9" s="399"/>
    </row>
    <row r="10" spans="1:16" ht="14.5" customHeight="1" x14ac:dyDescent="0.6">
      <c r="A10" s="399">
        <v>3</v>
      </c>
      <c r="B10" s="423" t="s">
        <v>335</v>
      </c>
      <c r="C10" s="557">
        <f>C8-C9</f>
        <v>-0.89999999999999858</v>
      </c>
      <c r="D10" s="584" t="s">
        <v>337</v>
      </c>
      <c r="E10" s="584"/>
      <c r="F10" s="584"/>
      <c r="G10" s="399"/>
      <c r="H10" s="308"/>
    </row>
    <row r="11" spans="1:16" x14ac:dyDescent="0.6">
      <c r="A11" s="399">
        <f>A10+1</f>
        <v>4</v>
      </c>
      <c r="B11" s="423" t="s">
        <v>324</v>
      </c>
      <c r="C11" s="559">
        <f>'BGS PTY23 Cost Alloc'!J164</f>
        <v>4797.5227236800001</v>
      </c>
      <c r="D11" s="580" t="s">
        <v>467</v>
      </c>
      <c r="E11" s="580"/>
      <c r="F11" s="580"/>
      <c r="G11" s="580"/>
      <c r="H11" s="308"/>
      <c r="I11" s="393"/>
    </row>
    <row r="12" spans="1:16" x14ac:dyDescent="0.6">
      <c r="A12" s="399">
        <f t="shared" ref="A12:A20" si="0">A11+1</f>
        <v>5</v>
      </c>
      <c r="B12" s="423" t="s">
        <v>325</v>
      </c>
      <c r="C12" s="560">
        <v>366</v>
      </c>
      <c r="D12" s="561"/>
      <c r="E12" s="561"/>
      <c r="F12" s="399"/>
      <c r="G12" s="399"/>
      <c r="H12" s="308"/>
      <c r="I12" s="493"/>
    </row>
    <row r="13" spans="1:16" x14ac:dyDescent="0.6">
      <c r="A13" s="399">
        <f t="shared" si="0"/>
        <v>6</v>
      </c>
      <c r="B13" s="423" t="s">
        <v>340</v>
      </c>
      <c r="C13" s="562">
        <f>C10*C11*C12</f>
        <v>-1580303.9851801896</v>
      </c>
      <c r="D13" s="563" t="s">
        <v>326</v>
      </c>
      <c r="E13" s="561"/>
      <c r="F13" s="399"/>
      <c r="G13" s="399"/>
      <c r="H13" s="308"/>
      <c r="I13" s="308"/>
      <c r="O13" s="308"/>
    </row>
    <row r="14" spans="1:16" x14ac:dyDescent="0.6">
      <c r="A14" s="399">
        <f t="shared" si="0"/>
        <v>7</v>
      </c>
      <c r="B14" s="423" t="s">
        <v>327</v>
      </c>
      <c r="C14" s="564">
        <f>C37</f>
        <v>18</v>
      </c>
      <c r="D14" s="561"/>
      <c r="E14" s="561"/>
      <c r="F14" s="399"/>
      <c r="G14" s="399"/>
      <c r="I14" s="441"/>
      <c r="J14" s="405"/>
      <c r="O14" s="308"/>
      <c r="P14" s="405"/>
    </row>
    <row r="15" spans="1:16" x14ac:dyDescent="0.6">
      <c r="A15" s="399">
        <f t="shared" si="0"/>
        <v>8</v>
      </c>
      <c r="B15" s="423" t="s">
        <v>328</v>
      </c>
      <c r="C15" s="565">
        <f>E38</f>
        <v>53</v>
      </c>
      <c r="D15" s="561"/>
      <c r="E15" s="561"/>
      <c r="F15" s="399"/>
      <c r="G15" s="399"/>
      <c r="J15" s="405"/>
      <c r="P15" s="405"/>
    </row>
    <row r="16" spans="1:16" ht="18" customHeight="1" x14ac:dyDescent="0.6">
      <c r="A16" s="399">
        <f t="shared" si="0"/>
        <v>9</v>
      </c>
      <c r="B16" s="423" t="s">
        <v>341</v>
      </c>
      <c r="C16" s="566">
        <f>C14/C15</f>
        <v>0.33962264150943394</v>
      </c>
      <c r="D16" s="563" t="s">
        <v>329</v>
      </c>
      <c r="E16" s="561"/>
      <c r="F16" s="399"/>
      <c r="G16" s="399"/>
      <c r="J16" s="405"/>
      <c r="P16" s="405"/>
    </row>
    <row r="17" spans="1:7" s="399" customFormat="1" ht="18" customHeight="1" x14ac:dyDescent="0.6">
      <c r="A17" s="399">
        <f t="shared" si="0"/>
        <v>10</v>
      </c>
      <c r="B17" s="400" t="s">
        <v>342</v>
      </c>
      <c r="C17" s="562">
        <f>C13*C16</f>
        <v>-536707.01383478136</v>
      </c>
      <c r="D17" s="563" t="s">
        <v>330</v>
      </c>
      <c r="E17" s="561"/>
    </row>
    <row r="18" spans="1:7" ht="26" x14ac:dyDescent="0.6">
      <c r="A18" s="399">
        <f t="shared" si="0"/>
        <v>11</v>
      </c>
      <c r="B18" s="400" t="s">
        <v>343</v>
      </c>
      <c r="C18" s="565">
        <f>F45+F46</f>
        <v>17898853</v>
      </c>
      <c r="D18" s="580" t="s">
        <v>469</v>
      </c>
      <c r="E18" s="580"/>
      <c r="F18" s="580"/>
      <c r="G18" s="580"/>
    </row>
    <row r="19" spans="1:7" ht="26" x14ac:dyDescent="0.6">
      <c r="A19" s="399">
        <f t="shared" si="0"/>
        <v>12</v>
      </c>
      <c r="B19" s="400" t="s">
        <v>344</v>
      </c>
      <c r="C19" s="567">
        <f>C18*C16</f>
        <v>6078855.7358490564</v>
      </c>
      <c r="D19" s="563" t="s">
        <v>331</v>
      </c>
      <c r="E19" s="561"/>
      <c r="F19" s="399"/>
      <c r="G19" s="399"/>
    </row>
    <row r="20" spans="1:7" ht="18" customHeight="1" x14ac:dyDescent="0.6">
      <c r="A20" s="399">
        <f t="shared" si="0"/>
        <v>13</v>
      </c>
      <c r="B20" s="400" t="s">
        <v>336</v>
      </c>
      <c r="C20" s="568">
        <f>ROUND(C17/C19,2)</f>
        <v>-0.09</v>
      </c>
      <c r="D20" s="563" t="s">
        <v>332</v>
      </c>
      <c r="E20" s="561"/>
      <c r="F20" s="399"/>
      <c r="G20" s="399"/>
    </row>
    <row r="21" spans="1:7" x14ac:dyDescent="0.6">
      <c r="A21" s="336"/>
      <c r="B21" s="337"/>
      <c r="C21" s="338"/>
      <c r="D21" s="339"/>
      <c r="E21" s="398"/>
    </row>
    <row r="22" spans="1:7" x14ac:dyDescent="0.6">
      <c r="A22" s="276" t="s">
        <v>322</v>
      </c>
      <c r="B22" s="337"/>
      <c r="C22" s="338"/>
      <c r="D22" s="339"/>
      <c r="E22" s="398"/>
    </row>
    <row r="23" spans="1:7" x14ac:dyDescent="0.6">
      <c r="A23" s="500"/>
      <c r="B23" s="500"/>
      <c r="C23" s="500"/>
      <c r="D23" s="500"/>
      <c r="E23" s="500"/>
      <c r="F23" s="500"/>
      <c r="G23" s="500"/>
    </row>
    <row r="24" spans="1:7" x14ac:dyDescent="0.6">
      <c r="A24" s="500"/>
      <c r="B24" s="500"/>
      <c r="C24" s="500"/>
      <c r="D24" s="500"/>
      <c r="E24" s="500"/>
      <c r="F24" s="500"/>
      <c r="G24" s="500"/>
    </row>
    <row r="25" spans="1:7" x14ac:dyDescent="0.6">
      <c r="A25" s="278"/>
    </row>
    <row r="26" spans="1:7" ht="15.5" x14ac:dyDescent="0.7">
      <c r="A26" s="574" t="s">
        <v>307</v>
      </c>
      <c r="B26" s="574"/>
      <c r="C26" s="574"/>
      <c r="D26" s="574"/>
      <c r="E26" s="574"/>
      <c r="F26" s="574"/>
      <c r="G26" s="574"/>
    </row>
    <row r="27" spans="1:7" ht="15.5" x14ac:dyDescent="0.7">
      <c r="A27" s="575" t="s">
        <v>470</v>
      </c>
      <c r="B27" s="575"/>
      <c r="C27" s="575"/>
      <c r="D27" s="575"/>
      <c r="E27" s="575"/>
      <c r="F27" s="575"/>
      <c r="G27" s="575"/>
    </row>
    <row r="28" spans="1:7" x14ac:dyDescent="0.6">
      <c r="F28" s="280"/>
    </row>
    <row r="29" spans="1:7" ht="53.4" customHeight="1" x14ac:dyDescent="0.6">
      <c r="B29" s="279"/>
      <c r="C29" s="281" t="s">
        <v>385</v>
      </c>
      <c r="D29" s="281" t="s">
        <v>436</v>
      </c>
      <c r="E29" s="281" t="s">
        <v>487</v>
      </c>
      <c r="F29" s="281" t="s">
        <v>308</v>
      </c>
    </row>
    <row r="30" spans="1:7" x14ac:dyDescent="0.6">
      <c r="B30" s="279"/>
      <c r="C30" s="406" t="s">
        <v>386</v>
      </c>
      <c r="D30" s="407" t="s">
        <v>437</v>
      </c>
      <c r="E30" s="407" t="s">
        <v>468</v>
      </c>
      <c r="F30" s="281"/>
    </row>
    <row r="31" spans="1:7" ht="26" x14ac:dyDescent="0.6">
      <c r="B31" s="282"/>
      <c r="C31" s="283" t="s">
        <v>291</v>
      </c>
      <c r="D31" s="283" t="s">
        <v>292</v>
      </c>
      <c r="E31" s="284" t="s">
        <v>293</v>
      </c>
      <c r="F31" s="283"/>
    </row>
    <row r="32" spans="1:7" x14ac:dyDescent="0.6">
      <c r="C32" s="285"/>
      <c r="D32" s="285"/>
      <c r="E32" s="285"/>
      <c r="F32" s="334"/>
    </row>
    <row r="33" spans="1:8" x14ac:dyDescent="0.6">
      <c r="A33" s="308"/>
      <c r="B33" s="286" t="s">
        <v>294</v>
      </c>
      <c r="C33" s="287">
        <f>'Attachment 3 - 25-26'!E33</f>
        <v>83.2</v>
      </c>
      <c r="D33" s="287">
        <f>'Attachment 3 - 26-27'!E33</f>
        <v>83.11</v>
      </c>
      <c r="E33" s="505">
        <f>D35</f>
        <v>83.11</v>
      </c>
      <c r="F33" s="266"/>
      <c r="G33" s="276" t="s">
        <v>251</v>
      </c>
      <c r="H33" s="288"/>
    </row>
    <row r="34" spans="1:8" x14ac:dyDescent="0.6">
      <c r="A34" s="308"/>
      <c r="B34" s="289" t="s">
        <v>413</v>
      </c>
      <c r="C34" s="401">
        <f>C20</f>
        <v>-0.09</v>
      </c>
      <c r="D34" s="514"/>
      <c r="E34" s="408"/>
      <c r="F34" s="266"/>
      <c r="G34" s="276" t="s">
        <v>251</v>
      </c>
      <c r="H34" s="288"/>
    </row>
    <row r="35" spans="1:8" x14ac:dyDescent="0.6">
      <c r="A35" s="308"/>
      <c r="C35" s="287">
        <f>C33+C34</f>
        <v>83.11</v>
      </c>
      <c r="D35" s="287">
        <f t="shared" ref="D35:E35" si="1">D33+D34</f>
        <v>83.11</v>
      </c>
      <c r="E35" s="287">
        <f t="shared" si="1"/>
        <v>83.11</v>
      </c>
      <c r="F35" s="266"/>
      <c r="H35" s="288"/>
    </row>
    <row r="36" spans="1:8" x14ac:dyDescent="0.6">
      <c r="B36" s="289" t="s">
        <v>296</v>
      </c>
      <c r="C36" s="287"/>
      <c r="D36" s="287"/>
      <c r="E36" s="287"/>
      <c r="F36" s="266"/>
      <c r="H36" s="288"/>
    </row>
    <row r="37" spans="1:8" x14ac:dyDescent="0.6">
      <c r="A37" s="308"/>
      <c r="B37" s="286" t="s">
        <v>295</v>
      </c>
      <c r="C37" s="427">
        <v>18</v>
      </c>
      <c r="D37" s="427">
        <v>15</v>
      </c>
      <c r="E37" s="427">
        <v>20</v>
      </c>
      <c r="F37" s="291"/>
    </row>
    <row r="38" spans="1:8" x14ac:dyDescent="0.6">
      <c r="A38" s="308"/>
      <c r="B38" s="286" t="s">
        <v>296</v>
      </c>
      <c r="C38" s="290">
        <f>C37+D37+E37</f>
        <v>53</v>
      </c>
      <c r="D38" s="290">
        <f>C38</f>
        <v>53</v>
      </c>
      <c r="E38" s="290">
        <f>C38</f>
        <v>53</v>
      </c>
      <c r="F38" s="267"/>
    </row>
    <row r="39" spans="1:8" x14ac:dyDescent="0.6">
      <c r="A39" s="308"/>
      <c r="B39" s="286"/>
      <c r="C39" s="268"/>
      <c r="D39" s="268"/>
      <c r="E39" s="268"/>
      <c r="F39" s="267"/>
    </row>
    <row r="40" spans="1:8" x14ac:dyDescent="0.6">
      <c r="B40" s="289" t="s">
        <v>297</v>
      </c>
      <c r="C40" s="292"/>
      <c r="D40" s="292"/>
      <c r="E40" s="293"/>
      <c r="F40" s="293"/>
      <c r="G40" s="276" t="s">
        <v>251</v>
      </c>
    </row>
    <row r="41" spans="1:8" x14ac:dyDescent="0.6">
      <c r="A41" s="308"/>
      <c r="B41" s="269" t="s">
        <v>25</v>
      </c>
      <c r="C41" s="294">
        <v>1</v>
      </c>
      <c r="D41" s="294">
        <v>1</v>
      </c>
      <c r="E41" s="294">
        <v>1</v>
      </c>
      <c r="F41" s="295"/>
    </row>
    <row r="42" spans="1:8" x14ac:dyDescent="0.6">
      <c r="A42" s="308"/>
      <c r="B42" s="269" t="s">
        <v>26</v>
      </c>
      <c r="C42" s="294">
        <v>1</v>
      </c>
      <c r="D42" s="294">
        <v>1</v>
      </c>
      <c r="E42" s="294">
        <v>1</v>
      </c>
      <c r="F42" s="296"/>
    </row>
    <row r="43" spans="1:8" x14ac:dyDescent="0.6">
      <c r="A43" s="308"/>
      <c r="B43" s="286"/>
      <c r="C43" s="297"/>
      <c r="D43" s="297"/>
      <c r="E43" s="298"/>
      <c r="F43" s="297"/>
    </row>
    <row r="44" spans="1:8" ht="25.5" customHeight="1" x14ac:dyDescent="0.6">
      <c r="B44" s="299" t="s">
        <v>298</v>
      </c>
      <c r="C44" s="297"/>
      <c r="D44" s="298"/>
      <c r="E44" s="298"/>
      <c r="F44" s="297"/>
    </row>
    <row r="45" spans="1:8" x14ac:dyDescent="0.6">
      <c r="A45" s="308"/>
      <c r="B45" s="286" t="s">
        <v>299</v>
      </c>
      <c r="C45" s="300">
        <f>'BGS PTY23 Cost Alloc'!N247</f>
        <v>7122868</v>
      </c>
      <c r="D45" s="300">
        <f>C45</f>
        <v>7122868</v>
      </c>
      <c r="E45" s="300">
        <f>D45</f>
        <v>7122868</v>
      </c>
      <c r="F45" s="300">
        <f t="shared" ref="F45:F46" si="2">E45</f>
        <v>7122868</v>
      </c>
      <c r="G45" s="573" t="s">
        <v>251</v>
      </c>
    </row>
    <row r="46" spans="1:8" x14ac:dyDescent="0.6">
      <c r="A46" s="308"/>
      <c r="B46" s="286" t="s">
        <v>300</v>
      </c>
      <c r="C46" s="300">
        <f>'BGS PTY23 Cost Alloc'!N248</f>
        <v>10775985</v>
      </c>
      <c r="D46" s="300">
        <f>C46</f>
        <v>10775985</v>
      </c>
      <c r="E46" s="300">
        <f>D46</f>
        <v>10775985</v>
      </c>
      <c r="F46" s="300">
        <f t="shared" si="2"/>
        <v>10775985</v>
      </c>
      <c r="G46" s="573"/>
    </row>
    <row r="47" spans="1:8" x14ac:dyDescent="0.6">
      <c r="A47" s="308"/>
      <c r="B47" s="301"/>
      <c r="C47" s="297"/>
      <c r="D47" s="297"/>
      <c r="E47" s="298"/>
      <c r="F47" s="297"/>
    </row>
    <row r="48" spans="1:8" x14ac:dyDescent="0.6">
      <c r="B48" s="289" t="s">
        <v>309</v>
      </c>
      <c r="C48" s="297"/>
      <c r="D48" s="297"/>
      <c r="E48" s="298"/>
      <c r="F48" s="297"/>
    </row>
    <row r="49" spans="1:8" x14ac:dyDescent="0.6">
      <c r="A49" s="308"/>
      <c r="B49" s="269" t="s">
        <v>25</v>
      </c>
      <c r="C49" s="271">
        <f t="shared" ref="C49:E50" si="3">+C$33*C$37/C$38*C41*C45+C$34*C$37/C$38*C45</f>
        <v>201050340.95547172</v>
      </c>
      <c r="D49" s="271">
        <f t="shared" si="3"/>
        <v>167541950.79622644</v>
      </c>
      <c r="E49" s="271">
        <f t="shared" si="3"/>
        <v>223389267.72830188</v>
      </c>
      <c r="F49" s="271">
        <f>SUM(C49:E49)</f>
        <v>591981559.48000002</v>
      </c>
    </row>
    <row r="50" spans="1:8" ht="15.25" x14ac:dyDescent="1.05">
      <c r="A50" s="308"/>
      <c r="B50" s="270" t="s">
        <v>26</v>
      </c>
      <c r="C50" s="272">
        <f t="shared" si="3"/>
        <v>304163359.25094342</v>
      </c>
      <c r="D50" s="272">
        <f t="shared" si="3"/>
        <v>253469466.04245284</v>
      </c>
      <c r="E50" s="272">
        <f t="shared" si="3"/>
        <v>337959288.05660379</v>
      </c>
      <c r="F50" s="272">
        <f>SUM(C50:E50)</f>
        <v>895592113.35000002</v>
      </c>
    </row>
    <row r="51" spans="1:8" x14ac:dyDescent="0.6">
      <c r="A51" s="308"/>
      <c r="B51" s="286" t="s">
        <v>13</v>
      </c>
      <c r="C51" s="302">
        <f>+C50+C49</f>
        <v>505213700.20641518</v>
      </c>
      <c r="D51" s="302">
        <f>+D50+D49</f>
        <v>421011416.83867931</v>
      </c>
      <c r="E51" s="303">
        <f>+E50+E49</f>
        <v>561348555.78490567</v>
      </c>
      <c r="F51" s="302">
        <f>+F50+F49</f>
        <v>1487573672.8299999</v>
      </c>
      <c r="H51" s="304"/>
    </row>
    <row r="52" spans="1:8" x14ac:dyDescent="0.6">
      <c r="B52" s="286"/>
      <c r="C52" s="304"/>
      <c r="D52" s="304"/>
      <c r="E52" s="304"/>
      <c r="F52" s="304"/>
      <c r="H52" s="304"/>
    </row>
    <row r="53" spans="1:8" x14ac:dyDescent="0.6">
      <c r="B53" s="286" t="s">
        <v>301</v>
      </c>
      <c r="C53" s="304"/>
      <c r="D53" s="304" t="s">
        <v>251</v>
      </c>
      <c r="E53" s="304"/>
      <c r="F53" s="361">
        <f>ROUND(F51/(F45+F46),2)</f>
        <v>83.11</v>
      </c>
      <c r="G53" s="276" t="s">
        <v>333</v>
      </c>
      <c r="H53" s="305"/>
    </row>
    <row r="54" spans="1:8" x14ac:dyDescent="0.6">
      <c r="B54" s="286"/>
      <c r="C54" s="304"/>
      <c r="D54" s="304"/>
      <c r="E54" s="304"/>
      <c r="F54" s="361"/>
      <c r="H54" s="304"/>
    </row>
    <row r="55" spans="1:8" x14ac:dyDescent="0.6">
      <c r="B55" s="286"/>
      <c r="C55" s="304"/>
      <c r="D55" s="304"/>
      <c r="E55" s="304"/>
      <c r="F55" s="361"/>
      <c r="H55" s="304"/>
    </row>
    <row r="56" spans="1:8" x14ac:dyDescent="0.6">
      <c r="B56" s="286"/>
    </row>
    <row r="57" spans="1:8" x14ac:dyDescent="0.6">
      <c r="A57" s="280" t="s">
        <v>251</v>
      </c>
      <c r="B57" s="280"/>
      <c r="C57" s="280"/>
      <c r="D57" s="280"/>
      <c r="E57" s="280"/>
      <c r="F57" s="280"/>
    </row>
    <row r="58" spans="1:8" ht="16" customHeight="1" x14ac:dyDescent="0.6">
      <c r="A58" s="280"/>
      <c r="B58" s="280"/>
      <c r="C58" s="280"/>
      <c r="D58" s="280"/>
      <c r="E58" s="280"/>
      <c r="F58" s="280"/>
    </row>
    <row r="62" spans="1:8" x14ac:dyDescent="0.6">
      <c r="E62" s="308"/>
      <c r="F62" s="304"/>
    </row>
    <row r="64" spans="1:8" x14ac:dyDescent="0.6">
      <c r="E64" s="308"/>
      <c r="F64" s="488"/>
    </row>
    <row r="66" spans="5:6" x14ac:dyDescent="0.6">
      <c r="E66" s="308"/>
      <c r="F66" s="488"/>
    </row>
    <row r="68" spans="5:6" x14ac:dyDescent="0.6">
      <c r="F68" s="320"/>
    </row>
    <row r="70" spans="5:6" x14ac:dyDescent="0.6">
      <c r="F70" s="507"/>
    </row>
  </sheetData>
  <mergeCells count="10">
    <mergeCell ref="A26:G26"/>
    <mergeCell ref="A27:G27"/>
    <mergeCell ref="G45:G46"/>
    <mergeCell ref="B1:F1"/>
    <mergeCell ref="B2:F2"/>
    <mergeCell ref="B3:F3"/>
    <mergeCell ref="A5:F5"/>
    <mergeCell ref="D10:F10"/>
    <mergeCell ref="D18:G18"/>
    <mergeCell ref="D11:G11"/>
  </mergeCells>
  <pageMargins left="0.7" right="0.7" top="0.75" bottom="0.75" header="0.3" footer="0.3"/>
  <pageSetup scale="65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BGS PTY21 Cost Alloc</vt:lpstr>
      <vt:lpstr>BGS PTY22 Cost Alloc</vt:lpstr>
      <vt:lpstr>BGS PTY23 Cost Alloc</vt:lpstr>
      <vt:lpstr>Composite Cost Allocation</vt:lpstr>
      <vt:lpstr>Capacity Price Ladder</vt:lpstr>
      <vt:lpstr>Attachment 3 - 23-24 (remove)</vt:lpstr>
      <vt:lpstr>Attachment 3 - 25-26</vt:lpstr>
      <vt:lpstr>Attachment 3 - 26-27</vt:lpstr>
      <vt:lpstr>Attachment 3 - 27-28</vt:lpstr>
      <vt:lpstr>Attachment 4</vt:lpstr>
      <vt:lpstr>'Attachment 3 - 23-24 (remove)'!Print_Area</vt:lpstr>
      <vt:lpstr>'Attachment 3 - 25-26'!Print_Area</vt:lpstr>
      <vt:lpstr>'Attachment 3 - 26-27'!Print_Area</vt:lpstr>
      <vt:lpstr>'Attachment 3 - 27-28'!Print_Area</vt:lpstr>
      <vt:lpstr>'BGS PTY21 Cost Alloc'!Print_Area</vt:lpstr>
      <vt:lpstr>'BGS PTY22 Cost Alloc'!Print_Area</vt:lpstr>
      <vt:lpstr>'BGS PTY23 Cost Alloc'!Print_Area</vt:lpstr>
      <vt:lpstr>'Composite Cost Allocation'!Print_Area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view of BGS prices for year 5 - forwards based</dc:title>
  <dc:subject>6/21 1:10 PM</dc:subject>
  <dc:creator>Robert W. Taylor</dc:creator>
  <cp:lastModifiedBy>Sinotte, Abigail</cp:lastModifiedBy>
  <cp:lastPrinted>2024-06-19T20:31:16Z</cp:lastPrinted>
  <dcterms:created xsi:type="dcterms:W3CDTF">2002-02-27T17:48:59Z</dcterms:created>
  <dcterms:modified xsi:type="dcterms:W3CDTF">2024-06-27T19:57:54Z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2024-06-26T02:25:31Z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356c40dc-5d17-45b1-9c1a-ae5b9d556427</vt:lpwstr>
  </property>
  <property fmtid="{D5CDD505-2E9C-101B-9397-08002B2CF9AE}" pid="8" name="MSIP_Label_38f1469a-2c2a-4aee-b92b-090d4c5468ff_ContentBits">
    <vt:lpwstr>0</vt:lpwstr>
  </property>
</Properties>
</file>