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ra-dcfs\WORK\Projects\Energy\BGS 22-23(A) (118035)\2024 Auction\3 RSCP Rates\1 July Filing\2 Received from EDCs\to post\"/>
    </mc:Choice>
  </mc:AlternateContent>
  <xr:revisionPtr revIDLastSave="0" documentId="8_{9E94ED78-943B-4C07-8AE6-4F1EB705AD91}" xr6:coauthVersionLast="47" xr6:coauthVersionMax="47" xr10:uidLastSave="{00000000-0000-0000-0000-000000000000}"/>
  <bookViews>
    <workbookView xWindow="-315" yWindow="-16320" windowWidth="29040" windowHeight="15840" tabRatio="796" xr2:uid="{F8288332-FE69-48FC-97D8-F4BD574D027B}"/>
  </bookViews>
  <sheets>
    <sheet name="BGS PTY20 Cost Alloc" sheetId="1" r:id="rId1"/>
    <sheet name="BGS PTY21 Cost Alloc" sheetId="2" r:id="rId2"/>
    <sheet name="BGS PTY22 Cost Alloc" sheetId="3" r:id="rId3"/>
    <sheet name="Composite Cost Allocation" sheetId="4" r:id="rId4"/>
    <sheet name="Attachment 3 - 24-25" sheetId="5" r:id="rId5"/>
    <sheet name="Attachment 3 - 25-26" sheetId="6" r:id="rId6"/>
    <sheet name="Attachment 3 - 26-27" sheetId="7" r:id="rId7"/>
  </sheets>
  <definedNames>
    <definedName name="_xlnm.Print_Area" localSheetId="4">'Attachment 3 - 24-25'!$A$1:$G$53</definedName>
    <definedName name="_xlnm.Print_Area" localSheetId="5">'Attachment 3 - 25-26'!$A$1:$G$53</definedName>
    <definedName name="_xlnm.Print_Area" localSheetId="6">'Attachment 3 - 26-27'!$A$1:$H$53</definedName>
    <definedName name="_xlnm.Print_Area" localSheetId="0">'BGS PTY20 Cost Alloc'!$A$1:$J$328</definedName>
    <definedName name="_xlnm.Print_Area" localSheetId="1">'BGS PTY21 Cost Alloc'!$A$1:$J$325</definedName>
    <definedName name="_xlnm.Print_Area" localSheetId="2">'BGS PTY22 Cost Alloc'!$A$1:$J$317</definedName>
    <definedName name="_xlnm.Print_Area" localSheetId="3">'Composite Cost Allocation'!$A$1:$J$179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5" i="2" l="1"/>
  <c r="Q58" i="2"/>
  <c r="R58" i="2"/>
  <c r="S58" i="2"/>
  <c r="T58" i="2"/>
  <c r="U58" i="2"/>
  <c r="Q60" i="2"/>
  <c r="R60" i="2"/>
  <c r="U60" i="2"/>
  <c r="V60" i="2"/>
  <c r="W60" i="2"/>
  <c r="Q63" i="2" s="1"/>
  <c r="X60" i="2"/>
  <c r="Y60" i="2"/>
  <c r="Z60" i="2"/>
  <c r="AA60" i="2"/>
  <c r="AB60" i="2"/>
  <c r="AD60" i="2"/>
  <c r="V61" i="2"/>
  <c r="W61" i="2"/>
  <c r="Y61" i="2" s="1"/>
  <c r="X61" i="2"/>
  <c r="Z61" i="2"/>
  <c r="AA61" i="2"/>
  <c r="AB61" i="2"/>
  <c r="AD61" i="2"/>
  <c r="AD72" i="2" s="1"/>
  <c r="M62" i="2"/>
  <c r="V62" i="2"/>
  <c r="W62" i="2"/>
  <c r="X62" i="2"/>
  <c r="Y62" i="2" s="1"/>
  <c r="Z62" i="2"/>
  <c r="AA62" i="2"/>
  <c r="AB62" i="2"/>
  <c r="AB72" i="2" s="1"/>
  <c r="AD62" i="2"/>
  <c r="M63" i="2"/>
  <c r="V63" i="2"/>
  <c r="W63" i="2"/>
  <c r="X63" i="2"/>
  <c r="Y63" i="2" s="1"/>
  <c r="Z63" i="2"/>
  <c r="AA63" i="2"/>
  <c r="AB63" i="2"/>
  <c r="AD63" i="2"/>
  <c r="M64" i="2"/>
  <c r="Q64" i="2"/>
  <c r="R64" i="2"/>
  <c r="U64" i="2"/>
  <c r="V64" i="2"/>
  <c r="W64" i="2"/>
  <c r="X64" i="2"/>
  <c r="Y64" i="2" s="1"/>
  <c r="Z64" i="2"/>
  <c r="Z72" i="2" s="1"/>
  <c r="AA64" i="2"/>
  <c r="AB64" i="2"/>
  <c r="AD64" i="2"/>
  <c r="R65" i="2"/>
  <c r="V65" i="2"/>
  <c r="W65" i="2"/>
  <c r="X65" i="2"/>
  <c r="Z65" i="2"/>
  <c r="AA65" i="2"/>
  <c r="AB65" i="2"/>
  <c r="AD65" i="2"/>
  <c r="R66" i="2"/>
  <c r="V66" i="2"/>
  <c r="W66" i="2"/>
  <c r="M66" i="2" s="1"/>
  <c r="X66" i="2"/>
  <c r="Y66" i="2"/>
  <c r="Z66" i="2"/>
  <c r="AA66" i="2"/>
  <c r="AB66" i="2"/>
  <c r="AC66" i="2"/>
  <c r="AD66" i="2"/>
  <c r="Q67" i="2"/>
  <c r="V67" i="2"/>
  <c r="W67" i="2"/>
  <c r="X67" i="2"/>
  <c r="Y67" i="2"/>
  <c r="Z67" i="2"/>
  <c r="AA67" i="2"/>
  <c r="AB67" i="2"/>
  <c r="AD67" i="2"/>
  <c r="M68" i="2"/>
  <c r="V68" i="2"/>
  <c r="W68" i="2"/>
  <c r="Y68" i="2" s="1"/>
  <c r="X68" i="2"/>
  <c r="X72" i="2" s="1"/>
  <c r="Z68" i="2"/>
  <c r="AA68" i="2"/>
  <c r="AB68" i="2"/>
  <c r="AD68" i="2"/>
  <c r="M69" i="2"/>
  <c r="Q69" i="2"/>
  <c r="T69" i="2"/>
  <c r="V69" i="2"/>
  <c r="W69" i="2"/>
  <c r="V84" i="2" s="1"/>
  <c r="X69" i="2"/>
  <c r="Y69" i="2"/>
  <c r="Z69" i="2"/>
  <c r="AA69" i="2"/>
  <c r="AB69" i="2"/>
  <c r="AD69" i="2"/>
  <c r="M70" i="2"/>
  <c r="V70" i="2"/>
  <c r="W70" i="2"/>
  <c r="Y70" i="2" s="1"/>
  <c r="X70" i="2"/>
  <c r="Z70" i="2"/>
  <c r="AA70" i="2"/>
  <c r="AB70" i="2"/>
  <c r="AD70" i="2"/>
  <c r="AE70" i="2"/>
  <c r="M71" i="2"/>
  <c r="Q71" i="2"/>
  <c r="Q73" i="2" s="1"/>
  <c r="V71" i="2"/>
  <c r="W71" i="2"/>
  <c r="X71" i="2"/>
  <c r="Z71" i="2"/>
  <c r="AA71" i="2"/>
  <c r="AB71" i="2"/>
  <c r="AD71" i="2"/>
  <c r="AE71" i="2"/>
  <c r="Q72" i="2"/>
  <c r="R72" i="2" s="1"/>
  <c r="AA72" i="2"/>
  <c r="AE72" i="2"/>
  <c r="Q75" i="2"/>
  <c r="Q77" i="2" s="1"/>
  <c r="W75" i="2"/>
  <c r="V75" i="2" s="1"/>
  <c r="X75" i="2"/>
  <c r="Y75" i="2"/>
  <c r="Z75" i="2"/>
  <c r="Q76" i="2"/>
  <c r="X76" i="2"/>
  <c r="W76" i="2" s="1"/>
  <c r="V76" i="2" s="1"/>
  <c r="Y76" i="2"/>
  <c r="Z76" i="2"/>
  <c r="X77" i="2"/>
  <c r="Y77" i="2"/>
  <c r="W77" i="2" s="1"/>
  <c r="V77" i="2" s="1"/>
  <c r="AB77" i="2" s="1"/>
  <c r="AC77" i="2" s="1"/>
  <c r="Z77" i="2"/>
  <c r="AD77" i="2"/>
  <c r="W78" i="2"/>
  <c r="V78" i="2" s="1"/>
  <c r="X78" i="2"/>
  <c r="Y78" i="2"/>
  <c r="Z78" i="2"/>
  <c r="Q79" i="2"/>
  <c r="T79" i="2"/>
  <c r="X79" i="2"/>
  <c r="W79" i="2" s="1"/>
  <c r="V79" i="2" s="1"/>
  <c r="AB79" i="2" s="1"/>
  <c r="AC79" i="2" s="1"/>
  <c r="Y79" i="2"/>
  <c r="Z79" i="2"/>
  <c r="X80" i="2"/>
  <c r="Y80" i="2"/>
  <c r="W80" i="2" s="1"/>
  <c r="Z80" i="2"/>
  <c r="X81" i="2"/>
  <c r="W81" i="2" s="1"/>
  <c r="V81" i="2" s="1"/>
  <c r="Y81" i="2"/>
  <c r="Z81" i="2"/>
  <c r="W82" i="2"/>
  <c r="V82" i="2" s="1"/>
  <c r="X82" i="2"/>
  <c r="Y82" i="2"/>
  <c r="Z82" i="2"/>
  <c r="X83" i="2"/>
  <c r="W83" i="2" s="1"/>
  <c r="V83" i="2" s="1"/>
  <c r="AB83" i="2" s="1"/>
  <c r="AC83" i="2" s="1"/>
  <c r="Y83" i="2"/>
  <c r="Z83" i="2"/>
  <c r="X84" i="2"/>
  <c r="Y84" i="2"/>
  <c r="W84" i="2" s="1"/>
  <c r="Z84" i="2"/>
  <c r="X85" i="2"/>
  <c r="W85" i="2" s="1"/>
  <c r="V85" i="2" s="1"/>
  <c r="Y85" i="2"/>
  <c r="Z85" i="2"/>
  <c r="X86" i="2"/>
  <c r="Y86" i="2"/>
  <c r="W86" i="2" s="1"/>
  <c r="Z86" i="2"/>
  <c r="Y94" i="2"/>
  <c r="AA94" i="2" s="1"/>
  <c r="Z94" i="2"/>
  <c r="X95" i="2"/>
  <c r="Y95" i="2"/>
  <c r="Z95" i="2"/>
  <c r="AA95" i="2"/>
  <c r="AC60" i="2"/>
  <c r="G61" i="3"/>
  <c r="G61" i="1" s="1"/>
  <c r="AC62" i="2"/>
  <c r="AC63" i="1"/>
  <c r="G64" i="3"/>
  <c r="G64" i="1" s="1"/>
  <c r="AC65" i="2"/>
  <c r="AC67" i="2"/>
  <c r="G68" i="3"/>
  <c r="G69" i="3"/>
  <c r="G70" i="3"/>
  <c r="AC71" i="2"/>
  <c r="D38" i="7"/>
  <c r="C38" i="7"/>
  <c r="E38" i="7" s="1"/>
  <c r="C15" i="7" s="1"/>
  <c r="C33" i="7"/>
  <c r="C14" i="7"/>
  <c r="C16" i="7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C10" i="7"/>
  <c r="C38" i="6"/>
  <c r="D33" i="6"/>
  <c r="C33" i="6"/>
  <c r="D14" i="6"/>
  <c r="C14" i="6"/>
  <c r="D12" i="6"/>
  <c r="A12" i="6"/>
  <c r="A13" i="6" s="1"/>
  <c r="A14" i="6" s="1"/>
  <c r="A15" i="6" s="1"/>
  <c r="A16" i="6" s="1"/>
  <c r="A17" i="6" s="1"/>
  <c r="A18" i="6" s="1"/>
  <c r="A19" i="6" s="1"/>
  <c r="A20" i="6" s="1"/>
  <c r="A11" i="6"/>
  <c r="D10" i="6"/>
  <c r="C10" i="6"/>
  <c r="E38" i="5"/>
  <c r="D38" i="5"/>
  <c r="C38" i="5"/>
  <c r="E35" i="5"/>
  <c r="D14" i="5"/>
  <c r="C14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D10" i="5"/>
  <c r="C10" i="5"/>
  <c r="I164" i="4"/>
  <c r="H164" i="4"/>
  <c r="G164" i="4"/>
  <c r="F164" i="4"/>
  <c r="E164" i="4"/>
  <c r="B157" i="4"/>
  <c r="B156" i="4"/>
  <c r="I131" i="4"/>
  <c r="H131" i="4"/>
  <c r="G131" i="4"/>
  <c r="F131" i="4"/>
  <c r="E131" i="4"/>
  <c r="E110" i="4"/>
  <c r="E237" i="3" s="1"/>
  <c r="B53" i="4"/>
  <c r="B52" i="4"/>
  <c r="B51" i="4"/>
  <c r="B50" i="4"/>
  <c r="B49" i="4"/>
  <c r="B48" i="4"/>
  <c r="B47" i="4"/>
  <c r="B3" i="4"/>
  <c r="C304" i="3"/>
  <c r="C303" i="3"/>
  <c r="C301" i="3"/>
  <c r="C300" i="3"/>
  <c r="B277" i="3"/>
  <c r="B276" i="3"/>
  <c r="I255" i="3"/>
  <c r="H255" i="3"/>
  <c r="G255" i="3"/>
  <c r="F255" i="3"/>
  <c r="E255" i="3"/>
  <c r="B231" i="3"/>
  <c r="B230" i="3"/>
  <c r="I209" i="3"/>
  <c r="H209" i="3"/>
  <c r="G209" i="3"/>
  <c r="F209" i="3"/>
  <c r="E209" i="3"/>
  <c r="B201" i="3"/>
  <c r="B200" i="3"/>
  <c r="H192" i="3"/>
  <c r="G192" i="3"/>
  <c r="I191" i="3"/>
  <c r="H191" i="3"/>
  <c r="G191" i="3"/>
  <c r="F191" i="3"/>
  <c r="E191" i="3"/>
  <c r="P188" i="3"/>
  <c r="F187" i="3"/>
  <c r="C305" i="3" s="1"/>
  <c r="U185" i="3"/>
  <c r="T184" i="3"/>
  <c r="T188" i="3" s="1"/>
  <c r="P184" i="3"/>
  <c r="AX181" i="3"/>
  <c r="U178" i="3"/>
  <c r="C178" i="3"/>
  <c r="U177" i="3"/>
  <c r="H174" i="3"/>
  <c r="H170" i="3"/>
  <c r="Q168" i="3"/>
  <c r="W168" i="3" s="1"/>
  <c r="J164" i="3"/>
  <c r="C11" i="7" s="1"/>
  <c r="S184" i="3"/>
  <c r="S188" i="3" s="1"/>
  <c r="W163" i="3"/>
  <c r="Q163" i="3"/>
  <c r="I162" i="3"/>
  <c r="H162" i="3"/>
  <c r="G162" i="3"/>
  <c r="F162" i="3"/>
  <c r="E162" i="3"/>
  <c r="Z159" i="3"/>
  <c r="W159" i="3"/>
  <c r="T159" i="3"/>
  <c r="Q159" i="3"/>
  <c r="W148" i="3"/>
  <c r="Q148" i="3"/>
  <c r="I148" i="3"/>
  <c r="H148" i="3"/>
  <c r="AC148" i="3" s="1"/>
  <c r="G148" i="3"/>
  <c r="F148" i="3"/>
  <c r="E148" i="3"/>
  <c r="AC159" i="3" s="1"/>
  <c r="B144" i="3"/>
  <c r="B143" i="3"/>
  <c r="AF128" i="3"/>
  <c r="I128" i="3"/>
  <c r="H128" i="3"/>
  <c r="G128" i="3"/>
  <c r="F128" i="3"/>
  <c r="E128" i="3"/>
  <c r="AF124" i="3"/>
  <c r="AE116" i="3"/>
  <c r="I110" i="3"/>
  <c r="H110" i="3"/>
  <c r="G110" i="3"/>
  <c r="F110" i="3"/>
  <c r="E110" i="3"/>
  <c r="B104" i="3"/>
  <c r="B103" i="3"/>
  <c r="AA95" i="3"/>
  <c r="Z95" i="3"/>
  <c r="Y95" i="3"/>
  <c r="X95" i="3"/>
  <c r="R95" i="3"/>
  <c r="Q95" i="3"/>
  <c r="I95" i="3"/>
  <c r="H95" i="3"/>
  <c r="G95" i="3"/>
  <c r="F95" i="3"/>
  <c r="E95" i="3"/>
  <c r="Z94" i="3"/>
  <c r="AA94" i="3" s="1"/>
  <c r="AB75" i="3" s="1"/>
  <c r="Y94" i="3"/>
  <c r="S94" i="3"/>
  <c r="S93" i="3"/>
  <c r="S95" i="3" s="1"/>
  <c r="I92" i="3"/>
  <c r="H92" i="3"/>
  <c r="G92" i="3"/>
  <c r="F92" i="3"/>
  <c r="E92" i="3"/>
  <c r="I90" i="3"/>
  <c r="H90" i="3"/>
  <c r="D90" i="3"/>
  <c r="E90" i="3" s="1"/>
  <c r="I89" i="3"/>
  <c r="H89" i="3"/>
  <c r="D89" i="3"/>
  <c r="E89" i="3" s="1"/>
  <c r="I88" i="3"/>
  <c r="H88" i="3"/>
  <c r="D88" i="3"/>
  <c r="E88" i="3" s="1"/>
  <c r="AG87" i="3"/>
  <c r="AF87" i="3"/>
  <c r="Z87" i="3"/>
  <c r="Y87" i="3"/>
  <c r="X87" i="3"/>
  <c r="H87" i="3"/>
  <c r="E87" i="3"/>
  <c r="D87" i="3"/>
  <c r="AG86" i="3"/>
  <c r="AF86" i="3"/>
  <c r="W86" i="3"/>
  <c r="V86" i="3" s="1"/>
  <c r="I86" i="3"/>
  <c r="I87" i="3" s="1"/>
  <c r="H86" i="3"/>
  <c r="E86" i="3"/>
  <c r="D86" i="3"/>
  <c r="AG85" i="3"/>
  <c r="AF85" i="3"/>
  <c r="W85" i="3"/>
  <c r="V85" i="3" s="1"/>
  <c r="I85" i="3"/>
  <c r="H85" i="3"/>
  <c r="D85" i="3"/>
  <c r="E85" i="3" s="1"/>
  <c r="AG84" i="3"/>
  <c r="AF84" i="3"/>
  <c r="W84" i="3"/>
  <c r="V84" i="3" s="1"/>
  <c r="E84" i="3"/>
  <c r="AG83" i="3"/>
  <c r="AF83" i="3"/>
  <c r="W83" i="3"/>
  <c r="V83" i="3" s="1"/>
  <c r="I83" i="3"/>
  <c r="H83" i="3"/>
  <c r="D83" i="3"/>
  <c r="E83" i="3" s="1"/>
  <c r="AG82" i="3"/>
  <c r="AF82" i="3"/>
  <c r="W82" i="3"/>
  <c r="V82" i="3" s="1"/>
  <c r="I82" i="3"/>
  <c r="H82" i="3"/>
  <c r="D82" i="3"/>
  <c r="E82" i="3" s="1"/>
  <c r="AG81" i="3"/>
  <c r="AF81" i="3"/>
  <c r="W81" i="3"/>
  <c r="V81" i="3" s="1"/>
  <c r="AB81" i="3" s="1"/>
  <c r="AC81" i="3" s="1"/>
  <c r="I81" i="3"/>
  <c r="H81" i="3"/>
  <c r="D81" i="3"/>
  <c r="E81" i="3" s="1"/>
  <c r="AG80" i="3"/>
  <c r="AF80" i="3"/>
  <c r="W80" i="3"/>
  <c r="V80" i="3"/>
  <c r="I80" i="3"/>
  <c r="H80" i="3"/>
  <c r="D80" i="3"/>
  <c r="E80" i="3" s="1"/>
  <c r="AG79" i="3"/>
  <c r="AF79" i="3"/>
  <c r="W79" i="3"/>
  <c r="V79" i="3"/>
  <c r="E79" i="3"/>
  <c r="AG78" i="3"/>
  <c r="AF78" i="3"/>
  <c r="W78" i="3"/>
  <c r="V78" i="3" s="1"/>
  <c r="AG77" i="3"/>
  <c r="AF77" i="3"/>
  <c r="AD77" i="3"/>
  <c r="W77" i="3"/>
  <c r="V77" i="3" s="1"/>
  <c r="AG76" i="3"/>
  <c r="AF76" i="3"/>
  <c r="W76" i="3"/>
  <c r="V76" i="3"/>
  <c r="W75" i="3"/>
  <c r="V75" i="3"/>
  <c r="AF72" i="3"/>
  <c r="AD72" i="3"/>
  <c r="AB72" i="3"/>
  <c r="AA72" i="3"/>
  <c r="Z72" i="3"/>
  <c r="X72" i="3"/>
  <c r="W72" i="3"/>
  <c r="E116" i="4" s="1"/>
  <c r="E243" i="3" s="1"/>
  <c r="H71" i="3"/>
  <c r="H71" i="1" s="1"/>
  <c r="Y71" i="3"/>
  <c r="M71" i="3"/>
  <c r="I71" i="3"/>
  <c r="F71" i="3"/>
  <c r="E71" i="3"/>
  <c r="H70" i="3"/>
  <c r="H70" i="1" s="1"/>
  <c r="Y70" i="3"/>
  <c r="M70" i="3"/>
  <c r="I70" i="3"/>
  <c r="I70" i="2" s="1"/>
  <c r="F70" i="3"/>
  <c r="E70" i="3"/>
  <c r="H69" i="3"/>
  <c r="H69" i="2" s="1"/>
  <c r="Y69" i="3"/>
  <c r="Q69" i="3"/>
  <c r="M69" i="3"/>
  <c r="I69" i="3"/>
  <c r="I69" i="2" s="1"/>
  <c r="F69" i="3"/>
  <c r="E69" i="3"/>
  <c r="H68" i="3"/>
  <c r="Y68" i="3"/>
  <c r="I68" i="3"/>
  <c r="F68" i="3"/>
  <c r="E68" i="3"/>
  <c r="M68" i="3" s="1"/>
  <c r="H67" i="3"/>
  <c r="G67" i="3"/>
  <c r="G67" i="2" s="1"/>
  <c r="Y67" i="3"/>
  <c r="Q67" i="3"/>
  <c r="I67" i="3"/>
  <c r="F67" i="3"/>
  <c r="E67" i="3"/>
  <c r="M67" i="3" s="1"/>
  <c r="H66" i="3"/>
  <c r="Y66" i="3"/>
  <c r="I66" i="3"/>
  <c r="G66" i="3"/>
  <c r="F66" i="3"/>
  <c r="E66" i="3"/>
  <c r="M66" i="3" s="1"/>
  <c r="H65" i="3"/>
  <c r="Y65" i="3"/>
  <c r="Q65" i="3"/>
  <c r="M65" i="3"/>
  <c r="I65" i="3"/>
  <c r="G65" i="3"/>
  <c r="G65" i="2" s="1"/>
  <c r="F65" i="3"/>
  <c r="E65" i="3"/>
  <c r="H64" i="3"/>
  <c r="Y64" i="3"/>
  <c r="Q64" i="3"/>
  <c r="I64" i="3"/>
  <c r="F64" i="3"/>
  <c r="E64" i="3"/>
  <c r="M64" i="3" s="1"/>
  <c r="H63" i="3"/>
  <c r="H63" i="2" s="1"/>
  <c r="G63" i="3"/>
  <c r="G63" i="2" s="1"/>
  <c r="Y63" i="3"/>
  <c r="Q63" i="3"/>
  <c r="M63" i="3"/>
  <c r="I63" i="3"/>
  <c r="F63" i="3"/>
  <c r="E63" i="3"/>
  <c r="H62" i="3"/>
  <c r="H62" i="2" s="1"/>
  <c r="Y62" i="3"/>
  <c r="M62" i="3"/>
  <c r="I62" i="3"/>
  <c r="I72" i="3" s="1"/>
  <c r="F62" i="3"/>
  <c r="E62" i="3"/>
  <c r="H61" i="3"/>
  <c r="H61" i="2" s="1"/>
  <c r="Y61" i="3"/>
  <c r="I61" i="3"/>
  <c r="F61" i="3"/>
  <c r="E61" i="3"/>
  <c r="M61" i="3" s="1"/>
  <c r="H60" i="3"/>
  <c r="H60" i="1" s="1"/>
  <c r="Y60" i="3"/>
  <c r="I60" i="3"/>
  <c r="F60" i="3"/>
  <c r="E60" i="3"/>
  <c r="T58" i="3"/>
  <c r="R58" i="3"/>
  <c r="I58" i="3"/>
  <c r="G58" i="3"/>
  <c r="F58" i="3"/>
  <c r="E58" i="3"/>
  <c r="B53" i="3"/>
  <c r="B52" i="3"/>
  <c r="T44" i="3"/>
  <c r="Q44" i="3"/>
  <c r="T43" i="3"/>
  <c r="Q43" i="3"/>
  <c r="T42" i="3"/>
  <c r="Q42" i="3"/>
  <c r="T41" i="3"/>
  <c r="Q41" i="3"/>
  <c r="T40" i="3"/>
  <c r="Q40" i="3"/>
  <c r="T39" i="3"/>
  <c r="Q39" i="3"/>
  <c r="T37" i="3"/>
  <c r="Q37" i="3"/>
  <c r="T36" i="3"/>
  <c r="Q36" i="3"/>
  <c r="T35" i="3"/>
  <c r="Q35" i="3"/>
  <c r="T34" i="3"/>
  <c r="Q34" i="3"/>
  <c r="S31" i="3"/>
  <c r="I31" i="3"/>
  <c r="H31" i="3"/>
  <c r="G31" i="3"/>
  <c r="F31" i="3"/>
  <c r="E31" i="3"/>
  <c r="T30" i="3"/>
  <c r="Q30" i="3"/>
  <c r="U26" i="3"/>
  <c r="S26" i="3"/>
  <c r="Q26" i="3"/>
  <c r="T26" i="3"/>
  <c r="R26" i="3"/>
  <c r="U25" i="3"/>
  <c r="T25" i="3"/>
  <c r="S25" i="3"/>
  <c r="Q25" i="3"/>
  <c r="R25" i="3"/>
  <c r="U24" i="3"/>
  <c r="S24" i="3"/>
  <c r="R24" i="3"/>
  <c r="Q24" i="3"/>
  <c r="T24" i="3"/>
  <c r="S23" i="3"/>
  <c r="Q23" i="3"/>
  <c r="U23" i="3"/>
  <c r="T23" i="3"/>
  <c r="R23" i="3"/>
  <c r="U22" i="3"/>
  <c r="Q22" i="3"/>
  <c r="T22" i="3"/>
  <c r="S22" i="3"/>
  <c r="R22" i="3"/>
  <c r="U21" i="3"/>
  <c r="S21" i="3"/>
  <c r="T21" i="3"/>
  <c r="R21" i="3"/>
  <c r="Q21" i="3"/>
  <c r="U20" i="3"/>
  <c r="S20" i="3"/>
  <c r="Q20" i="3"/>
  <c r="U19" i="3"/>
  <c r="T19" i="3"/>
  <c r="S19" i="3"/>
  <c r="Q19" i="3"/>
  <c r="R19" i="3"/>
  <c r="U18" i="3"/>
  <c r="S18" i="3"/>
  <c r="R18" i="3"/>
  <c r="Q18" i="3"/>
  <c r="T18" i="3"/>
  <c r="S17" i="3"/>
  <c r="Q17" i="3"/>
  <c r="U17" i="3"/>
  <c r="T17" i="3"/>
  <c r="R17" i="3"/>
  <c r="U16" i="3"/>
  <c r="Q16" i="3"/>
  <c r="T16" i="3"/>
  <c r="S16" i="3"/>
  <c r="R16" i="3"/>
  <c r="U15" i="3"/>
  <c r="I118" i="3" s="1"/>
  <c r="S15" i="3"/>
  <c r="U13" i="3"/>
  <c r="U58" i="3" s="1"/>
  <c r="T13" i="3"/>
  <c r="T31" i="3" s="1"/>
  <c r="S13" i="3"/>
  <c r="S58" i="3" s="1"/>
  <c r="R13" i="3"/>
  <c r="R31" i="3" s="1"/>
  <c r="Q13" i="3"/>
  <c r="Q31" i="3" s="1"/>
  <c r="B325" i="2"/>
  <c r="C317" i="2"/>
  <c r="C316" i="2"/>
  <c r="C315" i="2"/>
  <c r="C311" i="2"/>
  <c r="C310" i="2"/>
  <c r="I290" i="2"/>
  <c r="H290" i="2"/>
  <c r="G290" i="2"/>
  <c r="F290" i="2"/>
  <c r="E290" i="2"/>
  <c r="B283" i="2"/>
  <c r="B282" i="2"/>
  <c r="I260" i="2"/>
  <c r="H260" i="2"/>
  <c r="G260" i="2"/>
  <c r="F260" i="2"/>
  <c r="E260" i="2"/>
  <c r="E242" i="2"/>
  <c r="B236" i="2"/>
  <c r="B235" i="2"/>
  <c r="I214" i="2"/>
  <c r="H214" i="2"/>
  <c r="G214" i="2"/>
  <c r="F214" i="2"/>
  <c r="E214" i="2"/>
  <c r="B206" i="2"/>
  <c r="B205" i="2"/>
  <c r="I195" i="2"/>
  <c r="H195" i="2"/>
  <c r="G195" i="2"/>
  <c r="F195" i="2"/>
  <c r="E195" i="2"/>
  <c r="D191" i="2"/>
  <c r="E191" i="2" s="1"/>
  <c r="C312" i="2" s="1"/>
  <c r="C182" i="2"/>
  <c r="E178" i="2"/>
  <c r="C308" i="2" s="1"/>
  <c r="E177" i="2"/>
  <c r="C307" i="2" s="1"/>
  <c r="H173" i="2"/>
  <c r="I166" i="2"/>
  <c r="H166" i="2"/>
  <c r="G166" i="2"/>
  <c r="F166" i="2"/>
  <c r="E166" i="2"/>
  <c r="I164" i="2"/>
  <c r="H164" i="2"/>
  <c r="G164" i="2"/>
  <c r="F164" i="2"/>
  <c r="E164" i="2"/>
  <c r="B163" i="2"/>
  <c r="Z149" i="2"/>
  <c r="I149" i="2"/>
  <c r="H149" i="2"/>
  <c r="W149" i="2" s="1"/>
  <c r="G149" i="2"/>
  <c r="F149" i="2"/>
  <c r="E149" i="2"/>
  <c r="T161" i="2" s="1"/>
  <c r="B144" i="2"/>
  <c r="B143" i="2"/>
  <c r="I128" i="2"/>
  <c r="H128" i="2"/>
  <c r="G128" i="2"/>
  <c r="F128" i="2"/>
  <c r="E128" i="2"/>
  <c r="I110" i="2"/>
  <c r="H110" i="2"/>
  <c r="G110" i="2"/>
  <c r="F110" i="2"/>
  <c r="E110" i="2"/>
  <c r="B104" i="2"/>
  <c r="B103" i="2"/>
  <c r="B102" i="2"/>
  <c r="I94" i="2"/>
  <c r="I95" i="2" s="1"/>
  <c r="H94" i="2"/>
  <c r="H95" i="2" s="1"/>
  <c r="G94" i="2"/>
  <c r="G95" i="2" s="1"/>
  <c r="F94" i="2"/>
  <c r="F95" i="2" s="1"/>
  <c r="E94" i="2"/>
  <c r="E95" i="2" s="1"/>
  <c r="I92" i="2"/>
  <c r="H92" i="2"/>
  <c r="G92" i="2"/>
  <c r="F92" i="2"/>
  <c r="E92" i="2"/>
  <c r="I90" i="2"/>
  <c r="H90" i="2"/>
  <c r="F90" i="2"/>
  <c r="D90" i="2"/>
  <c r="I89" i="2"/>
  <c r="H89" i="2"/>
  <c r="F89" i="2"/>
  <c r="D89" i="2"/>
  <c r="I88" i="2"/>
  <c r="H88" i="2"/>
  <c r="F88" i="2"/>
  <c r="D88" i="2"/>
  <c r="I87" i="2"/>
  <c r="H87" i="2"/>
  <c r="F87" i="2"/>
  <c r="D87" i="2"/>
  <c r="I86" i="2"/>
  <c r="H86" i="2"/>
  <c r="F86" i="2"/>
  <c r="D86" i="2"/>
  <c r="I85" i="2"/>
  <c r="H85" i="2"/>
  <c r="F85" i="2"/>
  <c r="D85" i="2"/>
  <c r="F84" i="2"/>
  <c r="D84" i="2"/>
  <c r="I83" i="2"/>
  <c r="H83" i="2"/>
  <c r="F83" i="2"/>
  <c r="D83" i="2"/>
  <c r="I82" i="2"/>
  <c r="H82" i="2"/>
  <c r="F82" i="2"/>
  <c r="D82" i="2"/>
  <c r="I81" i="2"/>
  <c r="H81" i="2"/>
  <c r="F81" i="2"/>
  <c r="D81" i="2"/>
  <c r="I80" i="2"/>
  <c r="H80" i="2"/>
  <c r="F80" i="2"/>
  <c r="D80" i="2"/>
  <c r="F79" i="2"/>
  <c r="D79" i="2"/>
  <c r="I71" i="2"/>
  <c r="F71" i="2"/>
  <c r="E71" i="2"/>
  <c r="F70" i="2"/>
  <c r="E70" i="2"/>
  <c r="F69" i="2"/>
  <c r="E69" i="2"/>
  <c r="I68" i="2"/>
  <c r="H68" i="2"/>
  <c r="F68" i="2"/>
  <c r="E68" i="2"/>
  <c r="I67" i="2"/>
  <c r="E67" i="2"/>
  <c r="I66" i="2"/>
  <c r="H66" i="2"/>
  <c r="F66" i="2"/>
  <c r="E66" i="2"/>
  <c r="F65" i="2"/>
  <c r="E65" i="2"/>
  <c r="I64" i="2"/>
  <c r="F64" i="2"/>
  <c r="E64" i="2"/>
  <c r="I63" i="2"/>
  <c r="F63" i="2"/>
  <c r="E63" i="2"/>
  <c r="I62" i="2"/>
  <c r="F62" i="2"/>
  <c r="E62" i="2"/>
  <c r="I61" i="2"/>
  <c r="F61" i="2"/>
  <c r="E61" i="2"/>
  <c r="I60" i="2"/>
  <c r="F60" i="2"/>
  <c r="E60" i="2"/>
  <c r="I58" i="2"/>
  <c r="G58" i="2"/>
  <c r="F58" i="2"/>
  <c r="E58" i="2"/>
  <c r="B57" i="2"/>
  <c r="B53" i="2"/>
  <c r="B52" i="2"/>
  <c r="H44" i="2"/>
  <c r="T44" i="2" s="1"/>
  <c r="E44" i="2"/>
  <c r="Q44" i="2" s="1"/>
  <c r="H43" i="2"/>
  <c r="T43" i="2" s="1"/>
  <c r="E43" i="2"/>
  <c r="Q43" i="2" s="1"/>
  <c r="H42" i="2"/>
  <c r="T42" i="2" s="1"/>
  <c r="E42" i="2"/>
  <c r="Q42" i="2" s="1"/>
  <c r="H41" i="2"/>
  <c r="T41" i="2" s="1"/>
  <c r="E41" i="2"/>
  <c r="Q41" i="2" s="1"/>
  <c r="H40" i="2"/>
  <c r="T40" i="2" s="1"/>
  <c r="E40" i="2"/>
  <c r="Q40" i="2" s="1"/>
  <c r="H39" i="2"/>
  <c r="T39" i="2" s="1"/>
  <c r="E39" i="2"/>
  <c r="Q39" i="2" s="1"/>
  <c r="H38" i="2"/>
  <c r="E38" i="2"/>
  <c r="H37" i="2"/>
  <c r="T37" i="2" s="1"/>
  <c r="E37" i="2"/>
  <c r="Q37" i="2" s="1"/>
  <c r="H36" i="2"/>
  <c r="T36" i="2" s="1"/>
  <c r="E36" i="2"/>
  <c r="Q36" i="2" s="1"/>
  <c r="H35" i="2"/>
  <c r="T35" i="2" s="1"/>
  <c r="E35" i="2"/>
  <c r="Q35" i="2" s="1"/>
  <c r="H34" i="2"/>
  <c r="T34" i="2" s="1"/>
  <c r="E34" i="2"/>
  <c r="Q34" i="2" s="1"/>
  <c r="H33" i="2"/>
  <c r="T33" i="2" s="1"/>
  <c r="E33" i="2"/>
  <c r="Q33" i="2" s="1"/>
  <c r="I31" i="2"/>
  <c r="H31" i="2"/>
  <c r="G31" i="2"/>
  <c r="F31" i="2"/>
  <c r="E31" i="2"/>
  <c r="T30" i="2"/>
  <c r="Q30" i="2"/>
  <c r="H30" i="2"/>
  <c r="E30" i="2"/>
  <c r="I26" i="2"/>
  <c r="U26" i="2" s="1"/>
  <c r="H26" i="2"/>
  <c r="T26" i="2" s="1"/>
  <c r="G26" i="2"/>
  <c r="S26" i="2" s="1"/>
  <c r="F26" i="2"/>
  <c r="R26" i="2" s="1"/>
  <c r="E26" i="2"/>
  <c r="Q26" i="2" s="1"/>
  <c r="I25" i="2"/>
  <c r="U25" i="2" s="1"/>
  <c r="H25" i="2"/>
  <c r="T25" i="2" s="1"/>
  <c r="G25" i="2"/>
  <c r="S25" i="2" s="1"/>
  <c r="F25" i="2"/>
  <c r="R25" i="2" s="1"/>
  <c r="E25" i="2"/>
  <c r="Q25" i="2" s="1"/>
  <c r="I24" i="2"/>
  <c r="U24" i="2" s="1"/>
  <c r="H24" i="2"/>
  <c r="T24" i="2" s="1"/>
  <c r="G24" i="2"/>
  <c r="S24" i="2" s="1"/>
  <c r="F24" i="2"/>
  <c r="R24" i="2" s="1"/>
  <c r="E24" i="2"/>
  <c r="Q24" i="2" s="1"/>
  <c r="H23" i="2"/>
  <c r="T23" i="2" s="1"/>
  <c r="G23" i="2"/>
  <c r="S23" i="2" s="1"/>
  <c r="E23" i="2"/>
  <c r="Q23" i="2" s="1"/>
  <c r="I22" i="2"/>
  <c r="U22" i="2" s="1"/>
  <c r="H22" i="2"/>
  <c r="T22" i="2" s="1"/>
  <c r="G22" i="2"/>
  <c r="S22" i="2" s="1"/>
  <c r="F22" i="2"/>
  <c r="R22" i="2" s="1"/>
  <c r="E22" i="2"/>
  <c r="Q22" i="2" s="1"/>
  <c r="I21" i="2"/>
  <c r="U21" i="2" s="1"/>
  <c r="H21" i="2"/>
  <c r="T21" i="2" s="1"/>
  <c r="G21" i="2"/>
  <c r="S21" i="2" s="1"/>
  <c r="F21" i="2"/>
  <c r="R21" i="2" s="1"/>
  <c r="E21" i="2"/>
  <c r="Q21" i="2" s="1"/>
  <c r="I20" i="2"/>
  <c r="H20" i="2"/>
  <c r="G20" i="2"/>
  <c r="F20" i="2"/>
  <c r="R20" i="2" s="1"/>
  <c r="E20" i="2"/>
  <c r="I19" i="2"/>
  <c r="U19" i="2" s="1"/>
  <c r="H19" i="2"/>
  <c r="T19" i="2" s="1"/>
  <c r="G19" i="2"/>
  <c r="S19" i="2" s="1"/>
  <c r="F19" i="2"/>
  <c r="R19" i="2" s="1"/>
  <c r="E19" i="2"/>
  <c r="Q19" i="2" s="1"/>
  <c r="I18" i="2"/>
  <c r="U18" i="2" s="1"/>
  <c r="H18" i="2"/>
  <c r="T18" i="2" s="1"/>
  <c r="G18" i="2"/>
  <c r="S18" i="2" s="1"/>
  <c r="F18" i="2"/>
  <c r="R18" i="2" s="1"/>
  <c r="E18" i="2"/>
  <c r="Q18" i="2" s="1"/>
  <c r="I17" i="2"/>
  <c r="U17" i="2" s="1"/>
  <c r="H17" i="2"/>
  <c r="T17" i="2" s="1"/>
  <c r="G17" i="2"/>
  <c r="S17" i="2" s="1"/>
  <c r="F17" i="2"/>
  <c r="R17" i="2" s="1"/>
  <c r="E17" i="2"/>
  <c r="Q17" i="2" s="1"/>
  <c r="I16" i="2"/>
  <c r="U16" i="2" s="1"/>
  <c r="H16" i="2"/>
  <c r="T16" i="2" s="1"/>
  <c r="G16" i="2"/>
  <c r="S16" i="2" s="1"/>
  <c r="F16" i="2"/>
  <c r="R16" i="2" s="1"/>
  <c r="E16" i="2"/>
  <c r="Q16" i="2" s="1"/>
  <c r="I15" i="2"/>
  <c r="H15" i="2"/>
  <c r="T15" i="2" s="1"/>
  <c r="G15" i="2"/>
  <c r="S15" i="2" s="1"/>
  <c r="F15" i="2"/>
  <c r="R15" i="2" s="1"/>
  <c r="E15" i="2"/>
  <c r="Q15" i="2" s="1"/>
  <c r="U13" i="2"/>
  <c r="T13" i="2"/>
  <c r="S13" i="2"/>
  <c r="S31" i="2" s="1"/>
  <c r="R13" i="2"/>
  <c r="Q13" i="2"/>
  <c r="E10" i="2"/>
  <c r="B3" i="2"/>
  <c r="B328" i="1"/>
  <c r="C320" i="1"/>
  <c r="C319" i="1"/>
  <c r="C318" i="1"/>
  <c r="C314" i="1"/>
  <c r="C313" i="1"/>
  <c r="I293" i="1"/>
  <c r="H293" i="1"/>
  <c r="G293" i="1"/>
  <c r="F293" i="1"/>
  <c r="E293" i="1"/>
  <c r="B286" i="1"/>
  <c r="B285" i="1"/>
  <c r="I263" i="1"/>
  <c r="H263" i="1"/>
  <c r="G263" i="1"/>
  <c r="F263" i="1"/>
  <c r="E263" i="1"/>
  <c r="E249" i="1"/>
  <c r="E243" i="1"/>
  <c r="B237" i="1"/>
  <c r="B236" i="1"/>
  <c r="I215" i="1"/>
  <c r="H215" i="1"/>
  <c r="G215" i="1"/>
  <c r="F215" i="1"/>
  <c r="E215" i="1"/>
  <c r="B207" i="1"/>
  <c r="B206" i="1"/>
  <c r="I196" i="1"/>
  <c r="H196" i="1"/>
  <c r="G196" i="1"/>
  <c r="F196" i="1"/>
  <c r="E196" i="1"/>
  <c r="E192" i="1"/>
  <c r="C315" i="1" s="1"/>
  <c r="D192" i="1"/>
  <c r="C183" i="1"/>
  <c r="E178" i="1"/>
  <c r="H178" i="1" s="1"/>
  <c r="E177" i="1"/>
  <c r="C310" i="1" s="1"/>
  <c r="H173" i="1"/>
  <c r="I166" i="1"/>
  <c r="H166" i="1"/>
  <c r="G166" i="1"/>
  <c r="F166" i="1"/>
  <c r="E166" i="1"/>
  <c r="J166" i="1" s="1"/>
  <c r="I164" i="1"/>
  <c r="H164" i="1"/>
  <c r="G164" i="1"/>
  <c r="F164" i="1"/>
  <c r="E164" i="1"/>
  <c r="B163" i="1"/>
  <c r="AC162" i="1"/>
  <c r="Z162" i="1"/>
  <c r="W162" i="1"/>
  <c r="Q162" i="1"/>
  <c r="AC150" i="1"/>
  <c r="Z150" i="1"/>
  <c r="W150" i="1"/>
  <c r="T150" i="1"/>
  <c r="I149" i="1"/>
  <c r="H149" i="1"/>
  <c r="Q150" i="1" s="1"/>
  <c r="G149" i="1"/>
  <c r="F149" i="1"/>
  <c r="E149" i="1"/>
  <c r="T162" i="1" s="1"/>
  <c r="B144" i="1"/>
  <c r="B143" i="1"/>
  <c r="I128" i="1"/>
  <c r="H128" i="1"/>
  <c r="G128" i="1"/>
  <c r="F128" i="1"/>
  <c r="E128" i="1"/>
  <c r="I110" i="1"/>
  <c r="H110" i="1"/>
  <c r="G110" i="1"/>
  <c r="F110" i="1"/>
  <c r="E110" i="1"/>
  <c r="B104" i="1"/>
  <c r="B103" i="1"/>
  <c r="B102" i="1"/>
  <c r="Z95" i="1"/>
  <c r="Y95" i="1"/>
  <c r="AA95" i="1" s="1"/>
  <c r="X95" i="1"/>
  <c r="H95" i="1"/>
  <c r="Z94" i="1"/>
  <c r="Y94" i="1"/>
  <c r="AA94" i="1" s="1"/>
  <c r="I94" i="1"/>
  <c r="I95" i="1" s="1"/>
  <c r="I294" i="1" s="1"/>
  <c r="H94" i="1"/>
  <c r="G94" i="1"/>
  <c r="G95" i="1" s="1"/>
  <c r="F94" i="1"/>
  <c r="F95" i="1" s="1"/>
  <c r="E94" i="1"/>
  <c r="E95" i="1" s="1"/>
  <c r="I92" i="1"/>
  <c r="H92" i="1"/>
  <c r="G92" i="1"/>
  <c r="F92" i="1"/>
  <c r="E92" i="1"/>
  <c r="I90" i="1"/>
  <c r="H90" i="1"/>
  <c r="F90" i="1"/>
  <c r="D90" i="1"/>
  <c r="I89" i="1"/>
  <c r="H89" i="1"/>
  <c r="F89" i="1"/>
  <c r="D89" i="1"/>
  <c r="I88" i="1"/>
  <c r="H88" i="1"/>
  <c r="F88" i="1"/>
  <c r="D88" i="1"/>
  <c r="F87" i="1"/>
  <c r="D87" i="1"/>
  <c r="Z86" i="1"/>
  <c r="Y86" i="1"/>
  <c r="X86" i="1"/>
  <c r="W86" i="1"/>
  <c r="I86" i="1"/>
  <c r="I87" i="1" s="1"/>
  <c r="H86" i="1"/>
  <c r="H87" i="1" s="1"/>
  <c r="F86" i="1"/>
  <c r="D86" i="1"/>
  <c r="Z85" i="1"/>
  <c r="Y85" i="1"/>
  <c r="X85" i="1"/>
  <c r="W85" i="1" s="1"/>
  <c r="V85" i="1" s="1"/>
  <c r="I85" i="1"/>
  <c r="H85" i="1"/>
  <c r="F85" i="1"/>
  <c r="D85" i="1"/>
  <c r="Z84" i="1"/>
  <c r="Y84" i="1"/>
  <c r="X84" i="1"/>
  <c r="W84" i="1"/>
  <c r="F84" i="1"/>
  <c r="D84" i="1"/>
  <c r="F112" i="1" s="1"/>
  <c r="Z83" i="1"/>
  <c r="Y83" i="1"/>
  <c r="X83" i="1"/>
  <c r="I83" i="1"/>
  <c r="H83" i="1"/>
  <c r="F83" i="1"/>
  <c r="D83" i="1"/>
  <c r="Z82" i="1"/>
  <c r="Y82" i="1"/>
  <c r="X82" i="1"/>
  <c r="W82" i="1" s="1"/>
  <c r="I82" i="1"/>
  <c r="H82" i="1"/>
  <c r="F82" i="1"/>
  <c r="D82" i="1"/>
  <c r="Z81" i="1"/>
  <c r="W81" i="1" s="1"/>
  <c r="Y81" i="1"/>
  <c r="X81" i="1"/>
  <c r="I81" i="1"/>
  <c r="H81" i="1"/>
  <c r="F81" i="1"/>
  <c r="D81" i="1"/>
  <c r="Z80" i="1"/>
  <c r="Y80" i="1"/>
  <c r="X80" i="1"/>
  <c r="W80" i="1" s="1"/>
  <c r="I80" i="1"/>
  <c r="H80" i="1"/>
  <c r="F80" i="1"/>
  <c r="D80" i="1"/>
  <c r="Z79" i="1"/>
  <c r="Y79" i="1"/>
  <c r="X79" i="1"/>
  <c r="W79" i="1" s="1"/>
  <c r="F79" i="1"/>
  <c r="D79" i="1"/>
  <c r="Z78" i="1"/>
  <c r="Y78" i="1"/>
  <c r="W78" i="1" s="1"/>
  <c r="X78" i="1"/>
  <c r="Z77" i="1"/>
  <c r="Y77" i="1"/>
  <c r="X77" i="1"/>
  <c r="W77" i="1"/>
  <c r="V77" i="1"/>
  <c r="Z76" i="1"/>
  <c r="Y76" i="1"/>
  <c r="X76" i="1"/>
  <c r="W76" i="1"/>
  <c r="Z75" i="1"/>
  <c r="Y75" i="1"/>
  <c r="X75" i="1"/>
  <c r="W75" i="1" s="1"/>
  <c r="AD71" i="1"/>
  <c r="AB71" i="1"/>
  <c r="AA71" i="1"/>
  <c r="Z71" i="1"/>
  <c r="X71" i="1"/>
  <c r="W71" i="1"/>
  <c r="V71" i="1"/>
  <c r="M71" i="1"/>
  <c r="I71" i="1"/>
  <c r="F71" i="1"/>
  <c r="E71" i="1"/>
  <c r="AD70" i="1"/>
  <c r="AC70" i="1"/>
  <c r="AB70" i="1"/>
  <c r="AA70" i="1"/>
  <c r="Z70" i="1"/>
  <c r="Y70" i="1"/>
  <c r="X70" i="1"/>
  <c r="W70" i="1"/>
  <c r="V70" i="1"/>
  <c r="I70" i="1"/>
  <c r="F70" i="1"/>
  <c r="E70" i="1"/>
  <c r="M70" i="1" s="1"/>
  <c r="AD69" i="1"/>
  <c r="AC69" i="1"/>
  <c r="AB69" i="1"/>
  <c r="AA69" i="1"/>
  <c r="Z69" i="1"/>
  <c r="X69" i="1"/>
  <c r="W69" i="1"/>
  <c r="V69" i="1"/>
  <c r="I69" i="1"/>
  <c r="F69" i="1"/>
  <c r="E69" i="1"/>
  <c r="AD68" i="1"/>
  <c r="AC68" i="1"/>
  <c r="AB68" i="1"/>
  <c r="AA68" i="1"/>
  <c r="Z68" i="1"/>
  <c r="X68" i="1"/>
  <c r="Y68" i="1" s="1"/>
  <c r="W68" i="1"/>
  <c r="V68" i="1"/>
  <c r="I68" i="1"/>
  <c r="H68" i="1"/>
  <c r="F68" i="1"/>
  <c r="E68" i="1"/>
  <c r="M68" i="1" s="1"/>
  <c r="AD67" i="1"/>
  <c r="AC67" i="1"/>
  <c r="AB67" i="1"/>
  <c r="AA67" i="1"/>
  <c r="Z67" i="1"/>
  <c r="X67" i="1"/>
  <c r="W67" i="1"/>
  <c r="V67" i="1"/>
  <c r="I67" i="1"/>
  <c r="G67" i="1"/>
  <c r="F67" i="1"/>
  <c r="E67" i="1"/>
  <c r="AD66" i="1"/>
  <c r="AC66" i="1"/>
  <c r="AB66" i="1"/>
  <c r="AA66" i="1"/>
  <c r="Z66" i="1"/>
  <c r="Y66" i="1"/>
  <c r="X66" i="1"/>
  <c r="W66" i="1"/>
  <c r="V81" i="1" s="1"/>
  <c r="AB81" i="1" s="1"/>
  <c r="AC81" i="1" s="1"/>
  <c r="V66" i="1"/>
  <c r="I66" i="1"/>
  <c r="H66" i="1"/>
  <c r="F66" i="1"/>
  <c r="E66" i="1"/>
  <c r="M66" i="1" s="1"/>
  <c r="AD65" i="1"/>
  <c r="AB65" i="1"/>
  <c r="AD77" i="1" s="1"/>
  <c r="AA65" i="1"/>
  <c r="Z65" i="1"/>
  <c r="X65" i="1"/>
  <c r="W65" i="1"/>
  <c r="Q67" i="1" s="1"/>
  <c r="V65" i="1"/>
  <c r="I65" i="1"/>
  <c r="F65" i="1"/>
  <c r="E65" i="1"/>
  <c r="AD64" i="1"/>
  <c r="AB64" i="1"/>
  <c r="AA64" i="1"/>
  <c r="Z64" i="1"/>
  <c r="X64" i="1"/>
  <c r="W64" i="1"/>
  <c r="V64" i="1"/>
  <c r="U64" i="1"/>
  <c r="R64" i="1"/>
  <c r="I64" i="1"/>
  <c r="F64" i="1"/>
  <c r="E64" i="1"/>
  <c r="AD63" i="1"/>
  <c r="AB63" i="1"/>
  <c r="AA63" i="1"/>
  <c r="Z63" i="1"/>
  <c r="X63" i="1"/>
  <c r="Y63" i="1" s="1"/>
  <c r="W63" i="1"/>
  <c r="V78" i="1" s="1"/>
  <c r="AB78" i="1" s="1"/>
  <c r="V63" i="1"/>
  <c r="M63" i="1"/>
  <c r="I63" i="1"/>
  <c r="U60" i="1" s="1"/>
  <c r="F63" i="1"/>
  <c r="E63" i="1"/>
  <c r="AD62" i="1"/>
  <c r="AC62" i="1"/>
  <c r="AB62" i="1"/>
  <c r="AA62" i="1"/>
  <c r="Z62" i="1"/>
  <c r="X62" i="1"/>
  <c r="Y62" i="1" s="1"/>
  <c r="W62" i="1"/>
  <c r="V62" i="1"/>
  <c r="I62" i="1"/>
  <c r="H62" i="1"/>
  <c r="F62" i="1"/>
  <c r="E62" i="1"/>
  <c r="AD61" i="1"/>
  <c r="AC61" i="1"/>
  <c r="AB61" i="1"/>
  <c r="AA61" i="1"/>
  <c r="Z61" i="1"/>
  <c r="X61" i="1"/>
  <c r="W61" i="1"/>
  <c r="V61" i="1"/>
  <c r="I61" i="1"/>
  <c r="F61" i="1"/>
  <c r="E61" i="1"/>
  <c r="M61" i="1" s="1"/>
  <c r="AD60" i="1"/>
  <c r="AC60" i="1"/>
  <c r="AB60" i="1"/>
  <c r="AB72" i="1" s="1"/>
  <c r="AA60" i="1"/>
  <c r="AA72" i="1" s="1"/>
  <c r="Z60" i="1"/>
  <c r="Z72" i="1" s="1"/>
  <c r="Y60" i="1"/>
  <c r="X60" i="1"/>
  <c r="W60" i="1"/>
  <c r="V60" i="1"/>
  <c r="Q60" i="1"/>
  <c r="M60" i="1"/>
  <c r="I60" i="1"/>
  <c r="F60" i="1"/>
  <c r="E60" i="1"/>
  <c r="U58" i="1"/>
  <c r="Q58" i="1"/>
  <c r="I58" i="1"/>
  <c r="G58" i="1"/>
  <c r="F58" i="1"/>
  <c r="E58" i="1"/>
  <c r="B57" i="1"/>
  <c r="W55" i="1"/>
  <c r="B53" i="1"/>
  <c r="B52" i="1"/>
  <c r="H44" i="1"/>
  <c r="T44" i="1" s="1"/>
  <c r="E44" i="1"/>
  <c r="Q44" i="1" s="1"/>
  <c r="T43" i="1"/>
  <c r="Q43" i="1"/>
  <c r="H43" i="1"/>
  <c r="E43" i="1"/>
  <c r="T42" i="1"/>
  <c r="H42" i="1"/>
  <c r="E42" i="1"/>
  <c r="Q42" i="1" s="1"/>
  <c r="H41" i="1"/>
  <c r="T41" i="1" s="1"/>
  <c r="E41" i="1"/>
  <c r="Q41" i="1" s="1"/>
  <c r="T40" i="1"/>
  <c r="H40" i="1"/>
  <c r="E40" i="1"/>
  <c r="Q40" i="1" s="1"/>
  <c r="T39" i="1"/>
  <c r="H39" i="1"/>
  <c r="E39" i="1"/>
  <c r="Q39" i="1" s="1"/>
  <c r="H38" i="1"/>
  <c r="E38" i="1"/>
  <c r="T37" i="1"/>
  <c r="H37" i="1"/>
  <c r="E37" i="1"/>
  <c r="Q37" i="1" s="1"/>
  <c r="T36" i="1"/>
  <c r="H36" i="1"/>
  <c r="E36" i="1"/>
  <c r="Q36" i="1" s="1"/>
  <c r="Q35" i="1"/>
  <c r="H35" i="1"/>
  <c r="T35" i="1" s="1"/>
  <c r="E35" i="1"/>
  <c r="T34" i="1"/>
  <c r="Q34" i="1"/>
  <c r="H34" i="1"/>
  <c r="E34" i="1"/>
  <c r="T33" i="1"/>
  <c r="H33" i="1"/>
  <c r="E33" i="1"/>
  <c r="T31" i="1"/>
  <c r="R31" i="1"/>
  <c r="Q31" i="1"/>
  <c r="I31" i="1"/>
  <c r="H31" i="1"/>
  <c r="G31" i="1"/>
  <c r="F31" i="1"/>
  <c r="E31" i="1"/>
  <c r="T30" i="1"/>
  <c r="Q30" i="1"/>
  <c r="H30" i="1"/>
  <c r="E30" i="1"/>
  <c r="T26" i="1"/>
  <c r="S26" i="1"/>
  <c r="R26" i="1"/>
  <c r="I26" i="1"/>
  <c r="U26" i="1" s="1"/>
  <c r="H26" i="1"/>
  <c r="G26" i="1"/>
  <c r="F26" i="1"/>
  <c r="E26" i="1"/>
  <c r="Q26" i="1" s="1"/>
  <c r="T25" i="1"/>
  <c r="R25" i="1"/>
  <c r="Q25" i="1"/>
  <c r="I25" i="1"/>
  <c r="U25" i="1" s="1"/>
  <c r="H25" i="1"/>
  <c r="G25" i="1"/>
  <c r="S25" i="1" s="1"/>
  <c r="F25" i="1"/>
  <c r="E25" i="1"/>
  <c r="R24" i="1"/>
  <c r="I24" i="1"/>
  <c r="U24" i="1" s="1"/>
  <c r="H24" i="1"/>
  <c r="T24" i="1" s="1"/>
  <c r="G24" i="1"/>
  <c r="S24" i="1" s="1"/>
  <c r="F24" i="1"/>
  <c r="E24" i="1"/>
  <c r="Q24" i="1" s="1"/>
  <c r="T23" i="1"/>
  <c r="R23" i="1"/>
  <c r="I23" i="1"/>
  <c r="U23" i="1" s="1"/>
  <c r="H23" i="1"/>
  <c r="G23" i="1"/>
  <c r="S23" i="1" s="1"/>
  <c r="F23" i="1"/>
  <c r="E23" i="1"/>
  <c r="Q23" i="1" s="1"/>
  <c r="T22" i="1"/>
  <c r="R22" i="1"/>
  <c r="I22" i="1"/>
  <c r="U22" i="1" s="1"/>
  <c r="H22" i="1"/>
  <c r="G22" i="1"/>
  <c r="S22" i="1" s="1"/>
  <c r="F22" i="1"/>
  <c r="E22" i="1"/>
  <c r="Q22" i="1" s="1"/>
  <c r="U21" i="1"/>
  <c r="T21" i="1"/>
  <c r="R21" i="1"/>
  <c r="I21" i="1"/>
  <c r="H21" i="1"/>
  <c r="G21" i="1"/>
  <c r="S21" i="1" s="1"/>
  <c r="F21" i="1"/>
  <c r="E21" i="1"/>
  <c r="Q21" i="1" s="1"/>
  <c r="T20" i="1"/>
  <c r="S20" i="1"/>
  <c r="R20" i="1"/>
  <c r="I20" i="1"/>
  <c r="H20" i="1"/>
  <c r="G20" i="1"/>
  <c r="F20" i="1"/>
  <c r="E20" i="1"/>
  <c r="T19" i="1"/>
  <c r="R19" i="1"/>
  <c r="Q19" i="1"/>
  <c r="I19" i="1"/>
  <c r="U19" i="1" s="1"/>
  <c r="H19" i="1"/>
  <c r="G19" i="1"/>
  <c r="S19" i="1" s="1"/>
  <c r="F19" i="1"/>
  <c r="E19" i="1"/>
  <c r="T18" i="1"/>
  <c r="R18" i="1"/>
  <c r="I18" i="1"/>
  <c r="U18" i="1" s="1"/>
  <c r="H18" i="1"/>
  <c r="G18" i="1"/>
  <c r="S18" i="1" s="1"/>
  <c r="F18" i="1"/>
  <c r="E18" i="1"/>
  <c r="Q18" i="1" s="1"/>
  <c r="T17" i="1"/>
  <c r="I17" i="1"/>
  <c r="U17" i="1" s="1"/>
  <c r="H17" i="1"/>
  <c r="G17" i="1"/>
  <c r="S17" i="1" s="1"/>
  <c r="F17" i="1"/>
  <c r="R17" i="1" s="1"/>
  <c r="E17" i="1"/>
  <c r="Q17" i="1" s="1"/>
  <c r="T16" i="1"/>
  <c r="R16" i="1"/>
  <c r="I16" i="1"/>
  <c r="U16" i="1" s="1"/>
  <c r="H16" i="1"/>
  <c r="G16" i="1"/>
  <c r="S16" i="1" s="1"/>
  <c r="F16" i="1"/>
  <c r="E16" i="1"/>
  <c r="Q16" i="1" s="1"/>
  <c r="U15" i="1"/>
  <c r="T15" i="1"/>
  <c r="R15" i="1"/>
  <c r="I15" i="1"/>
  <c r="I116" i="1" s="1"/>
  <c r="I134" i="1" s="1"/>
  <c r="I155" i="1" s="1"/>
  <c r="H15" i="1"/>
  <c r="G15" i="1"/>
  <c r="F15" i="1"/>
  <c r="E15" i="1"/>
  <c r="U13" i="1"/>
  <c r="U31" i="1" s="1"/>
  <c r="T13" i="1"/>
  <c r="T69" i="1" s="1"/>
  <c r="S13" i="1"/>
  <c r="R13" i="1"/>
  <c r="R58" i="1" s="1"/>
  <c r="Q13" i="1"/>
  <c r="Q69" i="1" s="1"/>
  <c r="E10" i="1"/>
  <c r="B3" i="1"/>
  <c r="J66" i="3" l="1"/>
  <c r="H71" i="2"/>
  <c r="H69" i="1"/>
  <c r="H113" i="3"/>
  <c r="H131" i="3" s="1"/>
  <c r="H63" i="1"/>
  <c r="AC65" i="1"/>
  <c r="AC69" i="2"/>
  <c r="AC63" i="2"/>
  <c r="AC70" i="2"/>
  <c r="H70" i="2"/>
  <c r="G62" i="3"/>
  <c r="G62" i="2" s="1"/>
  <c r="J62" i="2" s="1"/>
  <c r="AC61" i="2"/>
  <c r="AC64" i="2"/>
  <c r="AC64" i="1"/>
  <c r="AC68" i="2"/>
  <c r="H177" i="1"/>
  <c r="AB76" i="2"/>
  <c r="AC76" i="2" s="1"/>
  <c r="AB84" i="2"/>
  <c r="AC84" i="2" s="1"/>
  <c r="AB82" i="2"/>
  <c r="AC82" i="2" s="1"/>
  <c r="AB85" i="2"/>
  <c r="AC85" i="2" s="1"/>
  <c r="AB81" i="2"/>
  <c r="AC81" i="2" s="1"/>
  <c r="AB78" i="2"/>
  <c r="AC78" i="2" s="1"/>
  <c r="AB75" i="2"/>
  <c r="AC75" i="2" s="1"/>
  <c r="M67" i="2"/>
  <c r="M61" i="2"/>
  <c r="W72" i="2"/>
  <c r="V86" i="2"/>
  <c r="AB86" i="2" s="1"/>
  <c r="AC86" i="2" s="1"/>
  <c r="V80" i="2"/>
  <c r="AB80" i="2" s="1"/>
  <c r="AC80" i="2" s="1"/>
  <c r="R76" i="2"/>
  <c r="M60" i="2"/>
  <c r="Y71" i="2"/>
  <c r="M65" i="2"/>
  <c r="Y65" i="2"/>
  <c r="Y72" i="2" s="1"/>
  <c r="G70" i="2"/>
  <c r="G70" i="1"/>
  <c r="J70" i="1" s="1"/>
  <c r="G69" i="1"/>
  <c r="G69" i="2"/>
  <c r="J69" i="2" s="1"/>
  <c r="G68" i="2"/>
  <c r="J68" i="2" s="1"/>
  <c r="G68" i="1"/>
  <c r="J68" i="1" s="1"/>
  <c r="AC71" i="1"/>
  <c r="G71" i="3"/>
  <c r="G71" i="2" s="1"/>
  <c r="J71" i="2" s="1"/>
  <c r="G113" i="3"/>
  <c r="G131" i="3" s="1"/>
  <c r="J70" i="3"/>
  <c r="H67" i="1"/>
  <c r="J67" i="1" s="1"/>
  <c r="H67" i="2"/>
  <c r="J67" i="2" s="1"/>
  <c r="H64" i="1"/>
  <c r="J64" i="1" s="1"/>
  <c r="H64" i="2"/>
  <c r="T64" i="3"/>
  <c r="H65" i="1"/>
  <c r="H61" i="1"/>
  <c r="S64" i="3"/>
  <c r="J68" i="3"/>
  <c r="G65" i="1"/>
  <c r="G113" i="1" s="1"/>
  <c r="G131" i="1" s="1"/>
  <c r="G66" i="2"/>
  <c r="G63" i="1"/>
  <c r="J63" i="1" s="1"/>
  <c r="G66" i="1"/>
  <c r="E248" i="2"/>
  <c r="W161" i="2"/>
  <c r="Q170" i="2"/>
  <c r="W170" i="2" s="1"/>
  <c r="Z161" i="2"/>
  <c r="T149" i="2"/>
  <c r="J166" i="2"/>
  <c r="H178" i="2" s="1"/>
  <c r="J63" i="2"/>
  <c r="AC149" i="2"/>
  <c r="T163" i="2"/>
  <c r="Q161" i="2"/>
  <c r="S15" i="1"/>
  <c r="X72" i="1"/>
  <c r="V84" i="1"/>
  <c r="AB84" i="1" s="1"/>
  <c r="AC84" i="1" s="1"/>
  <c r="Y69" i="1"/>
  <c r="F130" i="1"/>
  <c r="M62" i="1"/>
  <c r="Q61" i="1" s="1"/>
  <c r="Q64" i="1"/>
  <c r="M65" i="1"/>
  <c r="Q75" i="1"/>
  <c r="Q77" i="1" s="1"/>
  <c r="T166" i="1" s="1"/>
  <c r="E294" i="1"/>
  <c r="R170" i="1"/>
  <c r="E204" i="1" s="1"/>
  <c r="Q76" i="1"/>
  <c r="F294" i="1"/>
  <c r="AC75" i="3"/>
  <c r="I201" i="1"/>
  <c r="F201" i="1"/>
  <c r="E201" i="1"/>
  <c r="H179" i="1"/>
  <c r="I113" i="1"/>
  <c r="I131" i="1" s="1"/>
  <c r="I112" i="1"/>
  <c r="U20" i="1"/>
  <c r="I114" i="1" s="1"/>
  <c r="I132" i="1" s="1"/>
  <c r="F114" i="1"/>
  <c r="F132" i="1" s="1"/>
  <c r="AD72" i="1"/>
  <c r="V79" i="1"/>
  <c r="AB79" i="1" s="1"/>
  <c r="AC79" i="1" s="1"/>
  <c r="V82" i="1"/>
  <c r="AB82" i="1" s="1"/>
  <c r="AC82" i="1" s="1"/>
  <c r="Y67" i="1"/>
  <c r="F118" i="1"/>
  <c r="F136" i="1" s="1"/>
  <c r="I118" i="1"/>
  <c r="I136" i="1" s="1"/>
  <c r="S58" i="1"/>
  <c r="S31" i="1"/>
  <c r="Q71" i="1"/>
  <c r="W83" i="1"/>
  <c r="V83" i="1" s="1"/>
  <c r="AB83" i="1" s="1"/>
  <c r="AC83" i="1" s="1"/>
  <c r="F72" i="1"/>
  <c r="F295" i="1" s="1"/>
  <c r="V80" i="1"/>
  <c r="AB80" i="1" s="1"/>
  <c r="AC80" i="1" s="1"/>
  <c r="Q167" i="1"/>
  <c r="W167" i="1" s="1"/>
  <c r="W72" i="1"/>
  <c r="M69" i="1"/>
  <c r="AB85" i="1"/>
  <c r="AC85" i="1" s="1"/>
  <c r="M64" i="1"/>
  <c r="Q72" i="1"/>
  <c r="E117" i="1"/>
  <c r="E135" i="1" s="1"/>
  <c r="Q15" i="1"/>
  <c r="E118" i="1" s="1"/>
  <c r="E136" i="1" s="1"/>
  <c r="M67" i="1"/>
  <c r="Q165" i="1" s="1"/>
  <c r="T79" i="1"/>
  <c r="T58" i="1"/>
  <c r="R165" i="1"/>
  <c r="E202" i="1" s="1"/>
  <c r="Q38" i="1"/>
  <c r="F117" i="1"/>
  <c r="F135" i="1" s="1"/>
  <c r="E112" i="1"/>
  <c r="Q20" i="1"/>
  <c r="E114" i="1" s="1"/>
  <c r="E132" i="1" s="1"/>
  <c r="E113" i="1"/>
  <c r="E131" i="1" s="1"/>
  <c r="Y65" i="1"/>
  <c r="AB77" i="1"/>
  <c r="AC77" i="1" s="1"/>
  <c r="Q172" i="1"/>
  <c r="W172" i="1" s="1"/>
  <c r="I117" i="2"/>
  <c r="I135" i="2" s="1"/>
  <c r="R169" i="2"/>
  <c r="I116" i="3"/>
  <c r="I134" i="3" s="1"/>
  <c r="I153" i="3" s="1"/>
  <c r="F113" i="3"/>
  <c r="E118" i="2"/>
  <c r="E136" i="2" s="1"/>
  <c r="E291" i="2"/>
  <c r="I117" i="1"/>
  <c r="I135" i="1" s="1"/>
  <c r="F118" i="2"/>
  <c r="F136" i="2" s="1"/>
  <c r="R166" i="3"/>
  <c r="Q33" i="3"/>
  <c r="F67" i="2"/>
  <c r="F291" i="2" s="1"/>
  <c r="J67" i="3"/>
  <c r="AB77" i="3"/>
  <c r="AC77" i="3" s="1"/>
  <c r="AB85" i="3"/>
  <c r="AC85" i="3" s="1"/>
  <c r="R60" i="1"/>
  <c r="Q63" i="1"/>
  <c r="E72" i="1"/>
  <c r="AC78" i="1"/>
  <c r="Q20" i="2"/>
  <c r="E114" i="2" s="1"/>
  <c r="I113" i="3"/>
  <c r="T61" i="3"/>
  <c r="J63" i="3"/>
  <c r="AB83" i="3"/>
  <c r="AC83" i="3" s="1"/>
  <c r="I97" i="3"/>
  <c r="H97" i="3"/>
  <c r="G97" i="3"/>
  <c r="F97" i="3"/>
  <c r="E97" i="3"/>
  <c r="V76" i="1"/>
  <c r="AB76" i="1" s="1"/>
  <c r="AC76" i="1" s="1"/>
  <c r="T65" i="3"/>
  <c r="T38" i="3"/>
  <c r="H111" i="4"/>
  <c r="H117" i="4" s="1"/>
  <c r="T75" i="3"/>
  <c r="H65" i="2"/>
  <c r="T38" i="1"/>
  <c r="Y64" i="1"/>
  <c r="V75" i="1"/>
  <c r="AB75" i="1" s="1"/>
  <c r="AC75" i="1" s="1"/>
  <c r="V86" i="1"/>
  <c r="AB86" i="1" s="1"/>
  <c r="AC86" i="1" s="1"/>
  <c r="F116" i="1"/>
  <c r="F134" i="1" s="1"/>
  <c r="F155" i="1" s="1"/>
  <c r="C311" i="1"/>
  <c r="U15" i="2"/>
  <c r="I118" i="2" s="1"/>
  <c r="I136" i="2" s="1"/>
  <c r="S20" i="2"/>
  <c r="F23" i="2"/>
  <c r="R23" i="2" s="1"/>
  <c r="Q31" i="2"/>
  <c r="G114" i="3"/>
  <c r="G132" i="3" s="1"/>
  <c r="J69" i="3"/>
  <c r="V87" i="3"/>
  <c r="Y71" i="1"/>
  <c r="Q79" i="1"/>
  <c r="F113" i="1"/>
  <c r="F131" i="1" s="1"/>
  <c r="T20" i="2"/>
  <c r="R31" i="2"/>
  <c r="R163" i="2"/>
  <c r="R60" i="3"/>
  <c r="F72" i="3"/>
  <c r="J61" i="3"/>
  <c r="G61" i="2"/>
  <c r="J61" i="2" s="1"/>
  <c r="J64" i="3"/>
  <c r="G64" i="2"/>
  <c r="T72" i="3"/>
  <c r="W87" i="3"/>
  <c r="AB78" i="3"/>
  <c r="AC78" i="3" s="1"/>
  <c r="AB80" i="3"/>
  <c r="AC80" i="3" s="1"/>
  <c r="I72" i="1"/>
  <c r="I295" i="1" s="1"/>
  <c r="U20" i="2"/>
  <c r="AB84" i="3"/>
  <c r="AC84" i="3" s="1"/>
  <c r="Q33" i="1"/>
  <c r="E116" i="2"/>
  <c r="E134" i="2" s="1"/>
  <c r="I23" i="2"/>
  <c r="U23" i="2" s="1"/>
  <c r="T31" i="2"/>
  <c r="Q38" i="2"/>
  <c r="E117" i="2"/>
  <c r="E135" i="2" s="1"/>
  <c r="E117" i="3"/>
  <c r="Q72" i="3"/>
  <c r="Q15" i="3"/>
  <c r="E118" i="3" s="1"/>
  <c r="T60" i="3"/>
  <c r="E111" i="4"/>
  <c r="AB82" i="3"/>
  <c r="AC82" i="3" s="1"/>
  <c r="Y61" i="1"/>
  <c r="Y72" i="1" s="1"/>
  <c r="F116" i="2"/>
  <c r="F134" i="2" s="1"/>
  <c r="F155" i="2" s="1"/>
  <c r="U31" i="2"/>
  <c r="T38" i="2"/>
  <c r="F117" i="2"/>
  <c r="F135" i="2" s="1"/>
  <c r="Y72" i="3"/>
  <c r="AB76" i="3"/>
  <c r="AC76" i="3" s="1"/>
  <c r="AB86" i="3"/>
  <c r="AC86" i="3" s="1"/>
  <c r="Q170" i="1"/>
  <c r="E113" i="2"/>
  <c r="E131" i="2" s="1"/>
  <c r="R168" i="2"/>
  <c r="E72" i="2"/>
  <c r="T169" i="2"/>
  <c r="AC72" i="3"/>
  <c r="G60" i="3"/>
  <c r="T176" i="3"/>
  <c r="E116" i="3"/>
  <c r="E134" i="3" s="1"/>
  <c r="F112" i="2"/>
  <c r="Q165" i="2"/>
  <c r="W165" i="2" s="1"/>
  <c r="E113" i="3"/>
  <c r="H60" i="2"/>
  <c r="H72" i="3"/>
  <c r="T71" i="3"/>
  <c r="I132" i="3"/>
  <c r="I110" i="4"/>
  <c r="I131" i="3"/>
  <c r="I65" i="2"/>
  <c r="U64" i="3"/>
  <c r="AB79" i="3"/>
  <c r="AC79" i="3" s="1"/>
  <c r="AC161" i="2"/>
  <c r="I114" i="3"/>
  <c r="U31" i="3"/>
  <c r="E135" i="3"/>
  <c r="AG72" i="3"/>
  <c r="Q76" i="3"/>
  <c r="C13" i="7"/>
  <c r="C17" i="7" s="1"/>
  <c r="F117" i="3"/>
  <c r="F135" i="3" s="1"/>
  <c r="T69" i="3"/>
  <c r="T76" i="3"/>
  <c r="Q79" i="3"/>
  <c r="E132" i="3"/>
  <c r="E112" i="4"/>
  <c r="E112" i="3"/>
  <c r="T79" i="3"/>
  <c r="H117" i="3"/>
  <c r="H135" i="3" s="1"/>
  <c r="T33" i="3"/>
  <c r="I136" i="3"/>
  <c r="E72" i="3"/>
  <c r="I117" i="3"/>
  <c r="I135" i="3" s="1"/>
  <c r="G112" i="3"/>
  <c r="H177" i="2"/>
  <c r="M60" i="3"/>
  <c r="M72" i="3" s="1"/>
  <c r="E131" i="3"/>
  <c r="Q75" i="3"/>
  <c r="C15" i="5"/>
  <c r="D13" i="6"/>
  <c r="Q149" i="2"/>
  <c r="R15" i="3"/>
  <c r="I112" i="3"/>
  <c r="Q58" i="3"/>
  <c r="Q60" i="3"/>
  <c r="F131" i="3"/>
  <c r="T95" i="3"/>
  <c r="F132" i="3"/>
  <c r="E114" i="3"/>
  <c r="G110" i="4"/>
  <c r="E38" i="6"/>
  <c r="C15" i="6" s="1"/>
  <c r="D38" i="6"/>
  <c r="T15" i="3"/>
  <c r="H118" i="3" s="1"/>
  <c r="H136" i="3" s="1"/>
  <c r="R20" i="3"/>
  <c r="F114" i="3" s="1"/>
  <c r="R161" i="3"/>
  <c r="Q161" i="3"/>
  <c r="F116" i="3"/>
  <c r="F134" i="3" s="1"/>
  <c r="F153" i="3" s="1"/>
  <c r="F217" i="3" s="1"/>
  <c r="E136" i="3"/>
  <c r="T20" i="3"/>
  <c r="H114" i="3" s="1"/>
  <c r="H132" i="3" s="1"/>
  <c r="Q38" i="3"/>
  <c r="U60" i="3"/>
  <c r="R64" i="3"/>
  <c r="J65" i="3"/>
  <c r="Q71" i="3"/>
  <c r="Q73" i="3" s="1"/>
  <c r="T167" i="3" s="1"/>
  <c r="H116" i="3"/>
  <c r="H134" i="3" s="1"/>
  <c r="E198" i="3"/>
  <c r="I197" i="3"/>
  <c r="F197" i="3"/>
  <c r="E197" i="3"/>
  <c r="C11" i="6"/>
  <c r="D11" i="6" s="1"/>
  <c r="T148" i="3"/>
  <c r="H173" i="3"/>
  <c r="C11" i="5"/>
  <c r="D11" i="5" s="1"/>
  <c r="D13" i="5" s="1"/>
  <c r="Z148" i="3"/>
  <c r="Q184" i="3"/>
  <c r="Q188" i="3" s="1"/>
  <c r="R184" i="3"/>
  <c r="R188" i="3" s="1"/>
  <c r="J70" i="2" l="1"/>
  <c r="J69" i="1"/>
  <c r="AC72" i="2"/>
  <c r="G294" i="1"/>
  <c r="J64" i="2"/>
  <c r="S64" i="2"/>
  <c r="T75" i="2"/>
  <c r="T65" i="2"/>
  <c r="T64" i="2"/>
  <c r="T76" i="2"/>
  <c r="T152" i="2" s="1"/>
  <c r="J62" i="3"/>
  <c r="G62" i="1"/>
  <c r="J62" i="1" s="1"/>
  <c r="T61" i="1"/>
  <c r="Q157" i="1" s="1"/>
  <c r="H204" i="1" s="1"/>
  <c r="T64" i="1"/>
  <c r="AC72" i="1"/>
  <c r="H116" i="2"/>
  <c r="H134" i="2" s="1"/>
  <c r="AC158" i="2" s="1"/>
  <c r="T60" i="2"/>
  <c r="T72" i="2"/>
  <c r="T61" i="2"/>
  <c r="T71" i="2"/>
  <c r="J71" i="3"/>
  <c r="G117" i="3"/>
  <c r="G135" i="3" s="1"/>
  <c r="J135" i="3" s="1"/>
  <c r="G291" i="2"/>
  <c r="G71" i="1"/>
  <c r="J71" i="1" s="1"/>
  <c r="E203" i="2"/>
  <c r="E202" i="2"/>
  <c r="Q65" i="2"/>
  <c r="Q86" i="2" s="1"/>
  <c r="Q87" i="2" s="1"/>
  <c r="Q66" i="2"/>
  <c r="Q62" i="2"/>
  <c r="M72" i="2"/>
  <c r="Q61" i="2"/>
  <c r="Q82" i="2" s="1"/>
  <c r="Q83" i="2" s="1"/>
  <c r="S64" i="1"/>
  <c r="J60" i="3"/>
  <c r="J65" i="2"/>
  <c r="T71" i="1"/>
  <c r="H118" i="1"/>
  <c r="H136" i="1" s="1"/>
  <c r="T72" i="1"/>
  <c r="T82" i="1" s="1"/>
  <c r="H113" i="2"/>
  <c r="T76" i="1"/>
  <c r="H117" i="1"/>
  <c r="H135" i="1" s="1"/>
  <c r="J65" i="1"/>
  <c r="H114" i="1"/>
  <c r="H132" i="1" s="1"/>
  <c r="T75" i="1"/>
  <c r="H113" i="1"/>
  <c r="H131" i="1" s="1"/>
  <c r="J131" i="1" s="1"/>
  <c r="J61" i="1"/>
  <c r="T62" i="3"/>
  <c r="Q155" i="3" s="1"/>
  <c r="H116" i="1"/>
  <c r="H134" i="1" s="1"/>
  <c r="H155" i="1" s="1"/>
  <c r="T60" i="1"/>
  <c r="T62" i="1" s="1"/>
  <c r="Q158" i="1" s="1"/>
  <c r="H294" i="1"/>
  <c r="H72" i="1"/>
  <c r="H295" i="1" s="1"/>
  <c r="H112" i="1"/>
  <c r="H130" i="1" s="1"/>
  <c r="T65" i="1"/>
  <c r="T66" i="1" s="1"/>
  <c r="Q154" i="1" s="1"/>
  <c r="G201" i="1"/>
  <c r="G112" i="1"/>
  <c r="G130" i="1" s="1"/>
  <c r="J66" i="1"/>
  <c r="G113" i="2"/>
  <c r="G131" i="2" s="1"/>
  <c r="G114" i="1"/>
  <c r="J66" i="2"/>
  <c r="G132" i="1"/>
  <c r="F72" i="2"/>
  <c r="F292" i="2" s="1"/>
  <c r="H114" i="2"/>
  <c r="H132" i="2" s="1"/>
  <c r="H291" i="2"/>
  <c r="Q168" i="2"/>
  <c r="T164" i="2"/>
  <c r="E132" i="2"/>
  <c r="F113" i="2"/>
  <c r="F131" i="2" s="1"/>
  <c r="F114" i="2"/>
  <c r="F132" i="2" s="1"/>
  <c r="J131" i="3"/>
  <c r="Q150" i="3"/>
  <c r="H196" i="3" s="1"/>
  <c r="U65" i="3"/>
  <c r="E295" i="1"/>
  <c r="R162" i="3"/>
  <c r="Q162" i="3"/>
  <c r="Q66" i="3"/>
  <c r="G130" i="3"/>
  <c r="E120" i="3"/>
  <c r="E130" i="3"/>
  <c r="H244" i="3"/>
  <c r="H249" i="2"/>
  <c r="H250" i="1"/>
  <c r="S60" i="3"/>
  <c r="G72" i="3"/>
  <c r="J72" i="3" s="1"/>
  <c r="G60" i="1"/>
  <c r="G116" i="3"/>
  <c r="G134" i="3" s="1"/>
  <c r="G153" i="3" s="1"/>
  <c r="G60" i="2"/>
  <c r="S60" i="2" s="1"/>
  <c r="T168" i="2"/>
  <c r="I116" i="2"/>
  <c r="I134" i="2" s="1"/>
  <c r="I155" i="2" s="1"/>
  <c r="E116" i="1"/>
  <c r="E134" i="1" s="1"/>
  <c r="AB87" i="3"/>
  <c r="G97" i="1"/>
  <c r="F97" i="1"/>
  <c r="E97" i="1"/>
  <c r="I97" i="1"/>
  <c r="H97" i="1"/>
  <c r="F120" i="1"/>
  <c r="Q62" i="1"/>
  <c r="R171" i="1"/>
  <c r="Q171" i="1"/>
  <c r="T154" i="3"/>
  <c r="T82" i="3"/>
  <c r="T83" i="3" s="1"/>
  <c r="U72" i="3"/>
  <c r="G114" i="2"/>
  <c r="G132" i="2" s="1"/>
  <c r="G112" i="2"/>
  <c r="Q167" i="3"/>
  <c r="R167" i="3"/>
  <c r="Q62" i="3"/>
  <c r="I72" i="2"/>
  <c r="I200" i="1"/>
  <c r="F200" i="1"/>
  <c r="E200" i="1"/>
  <c r="AC87" i="3"/>
  <c r="E112" i="2"/>
  <c r="T66" i="3"/>
  <c r="Q151" i="3" s="1"/>
  <c r="Q166" i="3"/>
  <c r="U167" i="3" s="1"/>
  <c r="Q73" i="1"/>
  <c r="T171" i="1" s="1"/>
  <c r="D15" i="5"/>
  <c r="D16" i="5" s="1"/>
  <c r="D17" i="5" s="1"/>
  <c r="C16" i="5"/>
  <c r="Q61" i="3"/>
  <c r="R168" i="3"/>
  <c r="G118" i="3"/>
  <c r="G136" i="3" s="1"/>
  <c r="H112" i="2"/>
  <c r="R72" i="1"/>
  <c r="Q82" i="1"/>
  <c r="Q83" i="1" s="1"/>
  <c r="T170" i="1"/>
  <c r="T165" i="1"/>
  <c r="R76" i="1"/>
  <c r="Q164" i="3"/>
  <c r="U184" i="3"/>
  <c r="U188" i="3" s="1"/>
  <c r="Q77" i="3"/>
  <c r="T162" i="3" s="1"/>
  <c r="P176" i="3"/>
  <c r="E239" i="3"/>
  <c r="E244" i="2"/>
  <c r="E245" i="1"/>
  <c r="C13" i="5"/>
  <c r="C17" i="5" s="1"/>
  <c r="I291" i="2"/>
  <c r="E238" i="3"/>
  <c r="E120" i="4"/>
  <c r="E244" i="1"/>
  <c r="E253" i="1" s="1"/>
  <c r="E243" i="2"/>
  <c r="E252" i="2" s="1"/>
  <c r="F97" i="2"/>
  <c r="E97" i="2"/>
  <c r="I97" i="2"/>
  <c r="H97" i="2"/>
  <c r="G97" i="2"/>
  <c r="U76" i="1"/>
  <c r="T153" i="1"/>
  <c r="E203" i="1"/>
  <c r="R66" i="3"/>
  <c r="R65" i="3"/>
  <c r="I120" i="4"/>
  <c r="I237" i="3"/>
  <c r="I247" i="3" s="1"/>
  <c r="I242" i="2"/>
  <c r="I252" i="2" s="1"/>
  <c r="I243" i="1"/>
  <c r="I253" i="1" s="1"/>
  <c r="F202" i="2"/>
  <c r="F222" i="2" s="1"/>
  <c r="F130" i="2"/>
  <c r="F120" i="2"/>
  <c r="Q176" i="3"/>
  <c r="T157" i="1"/>
  <c r="W157" i="1" s="1"/>
  <c r="F203" i="1"/>
  <c r="F223" i="1" s="1"/>
  <c r="G120" i="4"/>
  <c r="G237" i="3"/>
  <c r="G247" i="3" s="1"/>
  <c r="G242" i="2"/>
  <c r="G252" i="2" s="1"/>
  <c r="G243" i="1"/>
  <c r="G253" i="1" s="1"/>
  <c r="I217" i="3"/>
  <c r="E130" i="1"/>
  <c r="H112" i="3"/>
  <c r="E292" i="2"/>
  <c r="I195" i="3"/>
  <c r="G195" i="3"/>
  <c r="F195" i="3"/>
  <c r="E195" i="3"/>
  <c r="H175" i="3"/>
  <c r="E196" i="3"/>
  <c r="W167" i="3"/>
  <c r="H179" i="2"/>
  <c r="E201" i="2"/>
  <c r="I200" i="2"/>
  <c r="G200" i="2"/>
  <c r="F200" i="2"/>
  <c r="E200" i="2"/>
  <c r="F112" i="3"/>
  <c r="T73" i="3"/>
  <c r="T155" i="3" s="1"/>
  <c r="T166" i="3"/>
  <c r="R72" i="3"/>
  <c r="Q82" i="3"/>
  <c r="Q83" i="3" s="1"/>
  <c r="R164" i="2"/>
  <c r="Q164" i="2"/>
  <c r="I114" i="2"/>
  <c r="I132" i="2" s="1"/>
  <c r="Q163" i="2"/>
  <c r="W163" i="2" s="1"/>
  <c r="Q154" i="3"/>
  <c r="H198" i="3" s="1"/>
  <c r="U61" i="3"/>
  <c r="Q169" i="2"/>
  <c r="I203" i="1"/>
  <c r="I223" i="1" s="1"/>
  <c r="AC156" i="3"/>
  <c r="H153" i="3"/>
  <c r="E153" i="3"/>
  <c r="AC169" i="3"/>
  <c r="R166" i="1"/>
  <c r="Q166" i="1"/>
  <c r="U166" i="1" s="1"/>
  <c r="Q66" i="1"/>
  <c r="I130" i="1"/>
  <c r="I120" i="1"/>
  <c r="T161" i="3"/>
  <c r="Q86" i="3"/>
  <c r="Q87" i="3" s="1"/>
  <c r="R76" i="3"/>
  <c r="C16" i="6"/>
  <c r="D15" i="6"/>
  <c r="D16" i="6" s="1"/>
  <c r="D17" i="6" s="1"/>
  <c r="I120" i="3"/>
  <c r="I130" i="3"/>
  <c r="C13" i="6"/>
  <c r="C17" i="6" s="1"/>
  <c r="E117" i="4"/>
  <c r="H72" i="2"/>
  <c r="H292" i="2" s="1"/>
  <c r="H117" i="2"/>
  <c r="H135" i="2" s="1"/>
  <c r="T179" i="3"/>
  <c r="T180" i="3"/>
  <c r="T77" i="3"/>
  <c r="T151" i="3" s="1"/>
  <c r="H118" i="2"/>
  <c r="H136" i="2" s="1"/>
  <c r="I112" i="2"/>
  <c r="Q65" i="1"/>
  <c r="Q86" i="1" s="1"/>
  <c r="Q87" i="1" s="1"/>
  <c r="M72" i="1"/>
  <c r="R163" i="3"/>
  <c r="J132" i="3"/>
  <c r="T150" i="3"/>
  <c r="T86" i="3"/>
  <c r="T87" i="3" s="1"/>
  <c r="U76" i="3"/>
  <c r="S176" i="3"/>
  <c r="F118" i="3"/>
  <c r="F136" i="3" s="1"/>
  <c r="I116" i="4"/>
  <c r="E155" i="2"/>
  <c r="AC171" i="2"/>
  <c r="H112" i="4"/>
  <c r="H120" i="4" s="1"/>
  <c r="H238" i="3"/>
  <c r="H243" i="2"/>
  <c r="H244" i="1"/>
  <c r="I113" i="2"/>
  <c r="I131" i="2" s="1"/>
  <c r="F138" i="1"/>
  <c r="F151" i="1"/>
  <c r="J294" i="1" l="1"/>
  <c r="F299" i="1" s="1"/>
  <c r="G118" i="1"/>
  <c r="G136" i="1" s="1"/>
  <c r="U72" i="2"/>
  <c r="T82" i="2"/>
  <c r="U61" i="2"/>
  <c r="T62" i="2"/>
  <c r="T73" i="1"/>
  <c r="T158" i="1" s="1"/>
  <c r="H155" i="2"/>
  <c r="U76" i="2"/>
  <c r="T86" i="2"/>
  <c r="T87" i="2" s="1"/>
  <c r="U65" i="2"/>
  <c r="T66" i="2"/>
  <c r="Q153" i="2" s="1"/>
  <c r="T73" i="2"/>
  <c r="T157" i="2" s="1"/>
  <c r="U72" i="1"/>
  <c r="J291" i="2"/>
  <c r="F296" i="2" s="1"/>
  <c r="T77" i="1"/>
  <c r="T154" i="1" s="1"/>
  <c r="T77" i="2"/>
  <c r="T153" i="2" s="1"/>
  <c r="W153" i="2" s="1"/>
  <c r="H153" i="2" s="1"/>
  <c r="H131" i="2"/>
  <c r="J131" i="2" s="1"/>
  <c r="T83" i="2"/>
  <c r="T83" i="1"/>
  <c r="J136" i="1"/>
  <c r="E120" i="1"/>
  <c r="W164" i="2"/>
  <c r="W154" i="1"/>
  <c r="H153" i="1" s="1"/>
  <c r="H219" i="1" s="1"/>
  <c r="H120" i="1"/>
  <c r="W155" i="3"/>
  <c r="H155" i="3" s="1"/>
  <c r="J132" i="1"/>
  <c r="H156" i="1"/>
  <c r="Z157" i="1" s="1"/>
  <c r="U61" i="1"/>
  <c r="AC159" i="1"/>
  <c r="U65" i="1"/>
  <c r="T86" i="1"/>
  <c r="T87" i="1" s="1"/>
  <c r="Q153" i="1"/>
  <c r="H202" i="1" s="1"/>
  <c r="W151" i="3"/>
  <c r="H151" i="3" s="1"/>
  <c r="Z151" i="3" s="1"/>
  <c r="W158" i="1"/>
  <c r="H157" i="1" s="1"/>
  <c r="H200" i="1"/>
  <c r="W150" i="3"/>
  <c r="H150" i="3" s="1"/>
  <c r="H212" i="3" s="1"/>
  <c r="J136" i="3"/>
  <c r="J134" i="3"/>
  <c r="U163" i="2"/>
  <c r="Q157" i="2"/>
  <c r="J132" i="2"/>
  <c r="H219" i="3"/>
  <c r="Z155" i="3"/>
  <c r="E244" i="3"/>
  <c r="E249" i="2"/>
  <c r="E250" i="1"/>
  <c r="W170" i="1"/>
  <c r="U170" i="1"/>
  <c r="X170" i="1" s="1"/>
  <c r="E156" i="1" s="1"/>
  <c r="W171" i="1"/>
  <c r="U171" i="1"/>
  <c r="X167" i="3"/>
  <c r="E155" i="3" s="1"/>
  <c r="I130" i="2"/>
  <c r="I120" i="2"/>
  <c r="I138" i="1"/>
  <c r="I151" i="1"/>
  <c r="E199" i="2"/>
  <c r="H199" i="2"/>
  <c r="I199" i="2"/>
  <c r="F199" i="2"/>
  <c r="H120" i="3"/>
  <c r="H130" i="3"/>
  <c r="F138" i="2"/>
  <c r="F151" i="2"/>
  <c r="T156" i="2"/>
  <c r="E118" i="4"/>
  <c r="E120" i="2"/>
  <c r="E130" i="2"/>
  <c r="E138" i="3"/>
  <c r="E149" i="3"/>
  <c r="AC164" i="3"/>
  <c r="AC171" i="3" s="1"/>
  <c r="I149" i="3"/>
  <c r="I138" i="3"/>
  <c r="G151" i="1"/>
  <c r="H138" i="1"/>
  <c r="H151" i="1"/>
  <c r="H159" i="1" s="1"/>
  <c r="AC155" i="1"/>
  <c r="G72" i="2"/>
  <c r="G199" i="2" s="1"/>
  <c r="J60" i="2"/>
  <c r="G118" i="2"/>
  <c r="G136" i="2" s="1"/>
  <c r="J136" i="2" s="1"/>
  <c r="G116" i="2"/>
  <c r="G134" i="2" s="1"/>
  <c r="G117" i="2"/>
  <c r="G135" i="2" s="1"/>
  <c r="J135" i="2" s="1"/>
  <c r="H239" i="3"/>
  <c r="H247" i="3" s="1"/>
  <c r="H244" i="2"/>
  <c r="H252" i="2" s="1"/>
  <c r="H245" i="1"/>
  <c r="H253" i="1" s="1"/>
  <c r="X166" i="1"/>
  <c r="E153" i="1" s="1"/>
  <c r="W166" i="1"/>
  <c r="P180" i="3"/>
  <c r="P179" i="3"/>
  <c r="Q169" i="3"/>
  <c r="X166" i="3"/>
  <c r="E154" i="3" s="1"/>
  <c r="G130" i="2"/>
  <c r="G138" i="3"/>
  <c r="G149" i="3"/>
  <c r="F217" i="1"/>
  <c r="F159" i="1"/>
  <c r="F227" i="1" s="1"/>
  <c r="W166" i="3"/>
  <c r="U166" i="3"/>
  <c r="AC168" i="1"/>
  <c r="J130" i="1"/>
  <c r="E138" i="1"/>
  <c r="E151" i="1"/>
  <c r="U162" i="3"/>
  <c r="W162" i="3"/>
  <c r="G72" i="1"/>
  <c r="S60" i="1"/>
  <c r="J60" i="1"/>
  <c r="G116" i="1"/>
  <c r="G117" i="1"/>
  <c r="G135" i="1" s="1"/>
  <c r="J135" i="1" s="1"/>
  <c r="G120" i="3"/>
  <c r="E247" i="3"/>
  <c r="H130" i="2"/>
  <c r="H120" i="2"/>
  <c r="U164" i="2"/>
  <c r="G116" i="4"/>
  <c r="R176" i="3"/>
  <c r="U176" i="3" s="1"/>
  <c r="G197" i="3"/>
  <c r="G217" i="3" s="1"/>
  <c r="E222" i="2"/>
  <c r="E268" i="2" s="1"/>
  <c r="Z170" i="2"/>
  <c r="F120" i="3"/>
  <c r="F130" i="3"/>
  <c r="I194" i="3"/>
  <c r="H194" i="3"/>
  <c r="G194" i="3"/>
  <c r="E194" i="3"/>
  <c r="F194" i="3"/>
  <c r="X162" i="3"/>
  <c r="E151" i="3" s="1"/>
  <c r="Q152" i="2"/>
  <c r="H201" i="2" s="1"/>
  <c r="I121" i="4"/>
  <c r="I122" i="4" s="1"/>
  <c r="I243" i="3"/>
  <c r="I248" i="3" s="1"/>
  <c r="I249" i="3" s="1"/>
  <c r="I248" i="2"/>
  <c r="I253" i="2" s="1"/>
  <c r="I254" i="2" s="1"/>
  <c r="I249" i="1"/>
  <c r="I254" i="1" s="1"/>
  <c r="I255" i="1" s="1"/>
  <c r="Q156" i="2"/>
  <c r="H203" i="2" s="1"/>
  <c r="E180" i="3"/>
  <c r="E181" i="3" s="1"/>
  <c r="F113" i="4"/>
  <c r="E184" i="2"/>
  <c r="E185" i="2" s="1"/>
  <c r="R65" i="1"/>
  <c r="Q180" i="3"/>
  <c r="Q179" i="3"/>
  <c r="F114" i="4"/>
  <c r="R66" i="1"/>
  <c r="X163" i="2"/>
  <c r="E152" i="2" s="1"/>
  <c r="I292" i="2"/>
  <c r="I202" i="2"/>
  <c r="I222" i="2" s="1"/>
  <c r="W154" i="3"/>
  <c r="H154" i="3" s="1"/>
  <c r="E155" i="1"/>
  <c r="AC173" i="1"/>
  <c r="H118" i="4"/>
  <c r="U161" i="3"/>
  <c r="X161" i="3" s="1"/>
  <c r="E150" i="3" s="1"/>
  <c r="W161" i="3"/>
  <c r="U169" i="2"/>
  <c r="X169" i="2" s="1"/>
  <c r="E157" i="2" s="1"/>
  <c r="X171" i="1"/>
  <c r="E157" i="1" s="1"/>
  <c r="S179" i="3"/>
  <c r="S180" i="3"/>
  <c r="Z168" i="3"/>
  <c r="E217" i="3"/>
  <c r="E263" i="3" s="1"/>
  <c r="X164" i="2"/>
  <c r="E153" i="2" s="1"/>
  <c r="W169" i="2"/>
  <c r="W165" i="1"/>
  <c r="U165" i="1"/>
  <c r="X165" i="1" s="1"/>
  <c r="E152" i="1" s="1"/>
  <c r="W168" i="2"/>
  <c r="U168" i="2"/>
  <c r="X168" i="2" s="1"/>
  <c r="E156" i="2" s="1"/>
  <c r="Z154" i="1" l="1"/>
  <c r="H224" i="1"/>
  <c r="H272" i="1" s="1"/>
  <c r="H213" i="3"/>
  <c r="W153" i="1"/>
  <c r="H152" i="1" s="1"/>
  <c r="H218" i="1" s="1"/>
  <c r="Z150" i="3"/>
  <c r="H225" i="1"/>
  <c r="Z158" i="1"/>
  <c r="Z159" i="1" s="1"/>
  <c r="C122" i="3"/>
  <c r="W157" i="2"/>
  <c r="H157" i="2" s="1"/>
  <c r="H224" i="2" s="1"/>
  <c r="I268" i="2"/>
  <c r="I38" i="4" s="1"/>
  <c r="I44" i="4" s="1"/>
  <c r="I271" i="1"/>
  <c r="I277" i="1" s="1"/>
  <c r="I263" i="3"/>
  <c r="Z169" i="2"/>
  <c r="E224" i="2"/>
  <c r="G155" i="2"/>
  <c r="J134" i="2"/>
  <c r="G217" i="1"/>
  <c r="G265" i="1" s="1"/>
  <c r="E245" i="3"/>
  <c r="E248" i="3" s="1"/>
  <c r="E249" i="3" s="1"/>
  <c r="E250" i="2"/>
  <c r="E251" i="1"/>
  <c r="E224" i="1"/>
  <c r="E272" i="1" s="1"/>
  <c r="E18" i="4" s="1"/>
  <c r="Z170" i="1"/>
  <c r="H138" i="2"/>
  <c r="AC154" i="2"/>
  <c r="H151" i="2"/>
  <c r="H159" i="2" s="1"/>
  <c r="H218" i="2"/>
  <c r="H264" i="2" s="1"/>
  <c r="H34" i="4" s="1"/>
  <c r="Z153" i="2"/>
  <c r="I269" i="3"/>
  <c r="I70" i="4"/>
  <c r="I76" i="4" s="1"/>
  <c r="W156" i="2"/>
  <c r="H156" i="2" s="1"/>
  <c r="I159" i="1"/>
  <c r="I227" i="1" s="1"/>
  <c r="I217" i="1"/>
  <c r="I265" i="1" s="1"/>
  <c r="E121" i="4"/>
  <c r="H258" i="3"/>
  <c r="Z171" i="1"/>
  <c r="E225" i="1"/>
  <c r="E273" i="1" s="1"/>
  <c r="E19" i="4" s="1"/>
  <c r="U179" i="3"/>
  <c r="U180" i="3"/>
  <c r="Z164" i="2"/>
  <c r="E218" i="2"/>
  <c r="E264" i="2" s="1"/>
  <c r="E34" i="4" s="1"/>
  <c r="E38" i="4"/>
  <c r="H18" i="4"/>
  <c r="G157" i="3"/>
  <c r="G221" i="3" s="1"/>
  <c r="G211" i="3"/>
  <c r="G257" i="3" s="1"/>
  <c r="I211" i="3"/>
  <c r="I257" i="3" s="1"/>
  <c r="I157" i="3"/>
  <c r="I221" i="3" s="1"/>
  <c r="E254" i="1"/>
  <c r="F138" i="3"/>
  <c r="F149" i="3"/>
  <c r="F159" i="2"/>
  <c r="F226" i="2" s="1"/>
  <c r="F216" i="2"/>
  <c r="F219" i="2" s="1"/>
  <c r="E253" i="2"/>
  <c r="E213" i="3"/>
  <c r="E259" i="3" s="1"/>
  <c r="E66" i="4" s="1"/>
  <c r="Z162" i="3"/>
  <c r="E219" i="1"/>
  <c r="E267" i="1" s="1"/>
  <c r="E13" i="4" s="1"/>
  <c r="Z166" i="1"/>
  <c r="G292" i="2"/>
  <c r="J292" i="2" s="1"/>
  <c r="F297" i="2" s="1"/>
  <c r="G202" i="2"/>
  <c r="J72" i="2"/>
  <c r="Z167" i="1"/>
  <c r="E217" i="1"/>
  <c r="E265" i="1" s="1"/>
  <c r="E159" i="1"/>
  <c r="E227" i="1" s="1"/>
  <c r="G120" i="2"/>
  <c r="C122" i="2" s="1"/>
  <c r="H138" i="3"/>
  <c r="H149" i="3"/>
  <c r="H157" i="3" s="1"/>
  <c r="AC152" i="3"/>
  <c r="I138" i="2"/>
  <c r="I151" i="2"/>
  <c r="H267" i="1"/>
  <c r="H13" i="4" s="1"/>
  <c r="G134" i="1"/>
  <c r="G120" i="1"/>
  <c r="C122" i="1" s="1"/>
  <c r="G138" i="2"/>
  <c r="G151" i="2"/>
  <c r="J130" i="3"/>
  <c r="Z163" i="2"/>
  <c r="E217" i="2"/>
  <c r="E263" i="2" s="1"/>
  <c r="E33" i="4" s="1"/>
  <c r="F241" i="3"/>
  <c r="F246" i="2"/>
  <c r="F247" i="1"/>
  <c r="E223" i="2"/>
  <c r="E269" i="2" s="1"/>
  <c r="E39" i="4" s="1"/>
  <c r="Z168" i="2"/>
  <c r="G121" i="4"/>
  <c r="G122" i="4" s="1"/>
  <c r="G243" i="3"/>
  <c r="G248" i="3" s="1"/>
  <c r="G249" i="3" s="1"/>
  <c r="G248" i="2"/>
  <c r="G253" i="2" s="1"/>
  <c r="G254" i="2" s="1"/>
  <c r="G249" i="1"/>
  <c r="G254" i="1" s="1"/>
  <c r="G255" i="1" s="1"/>
  <c r="Z166" i="3"/>
  <c r="E218" i="3"/>
  <c r="E264" i="3" s="1"/>
  <c r="E71" i="4" s="1"/>
  <c r="E157" i="3"/>
  <c r="E221" i="3" s="1"/>
  <c r="Z163" i="3"/>
  <c r="E211" i="3"/>
  <c r="E257" i="3" s="1"/>
  <c r="F240" i="3"/>
  <c r="F247" i="3" s="1"/>
  <c r="F120" i="4"/>
  <c r="F245" i="2"/>
  <c r="F252" i="2" s="1"/>
  <c r="F246" i="1"/>
  <c r="F116" i="4"/>
  <c r="E70" i="4"/>
  <c r="R179" i="3"/>
  <c r="R180" i="3"/>
  <c r="Z172" i="1"/>
  <c r="E223" i="1"/>
  <c r="E271" i="1" s="1"/>
  <c r="AC175" i="1"/>
  <c r="W152" i="2"/>
  <c r="H152" i="2" s="1"/>
  <c r="C140" i="3"/>
  <c r="C158" i="3" s="1"/>
  <c r="E219" i="3"/>
  <c r="Z167" i="3"/>
  <c r="H259" i="3"/>
  <c r="H66" i="4" s="1"/>
  <c r="E212" i="3"/>
  <c r="E258" i="3" s="1"/>
  <c r="E65" i="4" s="1"/>
  <c r="Z161" i="3"/>
  <c r="Z164" i="3" s="1"/>
  <c r="H245" i="3"/>
  <c r="H248" i="3" s="1"/>
  <c r="H249" i="3" s="1"/>
  <c r="H250" i="2"/>
  <c r="H253" i="2" s="1"/>
  <c r="H254" i="2" s="1"/>
  <c r="H251" i="1"/>
  <c r="H121" i="4"/>
  <c r="H122" i="4" s="1"/>
  <c r="E218" i="1"/>
  <c r="E266" i="1" s="1"/>
  <c r="E12" i="4" s="1"/>
  <c r="Z165" i="1"/>
  <c r="H218" i="3"/>
  <c r="H264" i="3" s="1"/>
  <c r="Z154" i="3"/>
  <c r="Z156" i="3" s="1"/>
  <c r="E185" i="1"/>
  <c r="E186" i="1" s="1"/>
  <c r="F220" i="1" s="1"/>
  <c r="G295" i="1"/>
  <c r="J295" i="1" s="1"/>
  <c r="F300" i="1" s="1"/>
  <c r="G203" i="1"/>
  <c r="J72" i="1"/>
  <c r="G200" i="1"/>
  <c r="AC166" i="2"/>
  <c r="AC173" i="2" s="1"/>
  <c r="J130" i="2"/>
  <c r="E138" i="2"/>
  <c r="E151" i="2"/>
  <c r="Z152" i="3"/>
  <c r="Z171" i="2" l="1"/>
  <c r="Z153" i="1"/>
  <c r="Z155" i="1" s="1"/>
  <c r="I17" i="4"/>
  <c r="I274" i="2"/>
  <c r="Z157" i="2"/>
  <c r="H87" i="4"/>
  <c r="H135" i="4" s="1"/>
  <c r="G222" i="2"/>
  <c r="G268" i="2" s="1"/>
  <c r="E270" i="2"/>
  <c r="E40" i="4" s="1"/>
  <c r="E44" i="4" s="1"/>
  <c r="F221" i="1"/>
  <c r="F269" i="1" s="1"/>
  <c r="F15" i="4" s="1"/>
  <c r="F268" i="1"/>
  <c r="J252" i="2"/>
  <c r="E87" i="4"/>
  <c r="J120" i="4"/>
  <c r="E11" i="4"/>
  <c r="E276" i="1"/>
  <c r="E255" i="1"/>
  <c r="G11" i="4"/>
  <c r="G276" i="1"/>
  <c r="E254" i="2"/>
  <c r="I268" i="3"/>
  <c r="I64" i="4"/>
  <c r="I75" i="4" s="1"/>
  <c r="I77" i="4" s="1"/>
  <c r="H265" i="3"/>
  <c r="H72" i="4" s="1"/>
  <c r="G155" i="1"/>
  <c r="J134" i="1"/>
  <c r="G138" i="1"/>
  <c r="G268" i="3"/>
  <c r="G64" i="4"/>
  <c r="G75" i="4" s="1"/>
  <c r="H273" i="1"/>
  <c r="H254" i="1"/>
  <c r="H255" i="1" s="1"/>
  <c r="H221" i="3"/>
  <c r="F265" i="2"/>
  <c r="F220" i="2"/>
  <c r="F266" i="2" s="1"/>
  <c r="F36" i="4" s="1"/>
  <c r="H270" i="2"/>
  <c r="H40" i="4" s="1"/>
  <c r="H268" i="3"/>
  <c r="H65" i="4"/>
  <c r="H75" i="4" s="1"/>
  <c r="Z169" i="3"/>
  <c r="E122" i="4"/>
  <c r="Z173" i="1"/>
  <c r="G263" i="3"/>
  <c r="H217" i="2"/>
  <c r="Z152" i="2"/>
  <c r="Z154" i="2" s="1"/>
  <c r="E17" i="4"/>
  <c r="E277" i="1"/>
  <c r="J247" i="3"/>
  <c r="H71" i="4"/>
  <c r="E76" i="4"/>
  <c r="H266" i="1"/>
  <c r="H227" i="1"/>
  <c r="I11" i="4"/>
  <c r="I276" i="1"/>
  <c r="E92" i="4"/>
  <c r="I159" i="2"/>
  <c r="I226" i="2" s="1"/>
  <c r="I216" i="2"/>
  <c r="I262" i="2" s="1"/>
  <c r="I91" i="4"/>
  <c r="I23" i="4"/>
  <c r="E265" i="3"/>
  <c r="E72" i="4" s="1"/>
  <c r="E93" i="4" s="1"/>
  <c r="F121" i="4"/>
  <c r="F122" i="4" s="1"/>
  <c r="F243" i="3"/>
  <c r="F248" i="2"/>
  <c r="F249" i="1"/>
  <c r="J138" i="2"/>
  <c r="C140" i="2"/>
  <c r="C160" i="2" s="1"/>
  <c r="E268" i="3"/>
  <c r="E64" i="4"/>
  <c r="E75" i="4" s="1"/>
  <c r="Z168" i="1"/>
  <c r="E216" i="2"/>
  <c r="E262" i="2" s="1"/>
  <c r="E159" i="2"/>
  <c r="E226" i="2" s="1"/>
  <c r="Z165" i="2"/>
  <c r="Z166" i="2" s="1"/>
  <c r="E86" i="4"/>
  <c r="J138" i="3"/>
  <c r="F253" i="1"/>
  <c r="G216" i="2"/>
  <c r="G262" i="2" s="1"/>
  <c r="G159" i="2"/>
  <c r="G226" i="2" s="1"/>
  <c r="F157" i="3"/>
  <c r="F221" i="3" s="1"/>
  <c r="F211" i="3"/>
  <c r="F214" i="3" s="1"/>
  <c r="Z156" i="2"/>
  <c r="H223" i="2"/>
  <c r="H269" i="2" s="1"/>
  <c r="Z158" i="2" l="1"/>
  <c r="E274" i="2"/>
  <c r="C287" i="3"/>
  <c r="G38" i="4"/>
  <c r="G44" i="4" s="1"/>
  <c r="G274" i="2"/>
  <c r="N288" i="3"/>
  <c r="D288" i="3"/>
  <c r="E91" i="4"/>
  <c r="E23" i="4"/>
  <c r="J138" i="1"/>
  <c r="C140" i="1"/>
  <c r="C160" i="1" s="1"/>
  <c r="I278" i="1"/>
  <c r="I282" i="1" s="1"/>
  <c r="G223" i="1"/>
  <c r="G271" i="1" s="1"/>
  <c r="G159" i="1"/>
  <c r="G227" i="1" s="1"/>
  <c r="E278" i="1"/>
  <c r="E281" i="1" s="1"/>
  <c r="H19" i="4"/>
  <c r="H277" i="1"/>
  <c r="E22" i="4"/>
  <c r="H12" i="4"/>
  <c r="H276" i="1"/>
  <c r="J121" i="4"/>
  <c r="I270" i="3"/>
  <c r="I274" i="3" s="1"/>
  <c r="I273" i="3"/>
  <c r="H263" i="2"/>
  <c r="H226" i="2"/>
  <c r="H39" i="4"/>
  <c r="H274" i="2"/>
  <c r="G269" i="3"/>
  <c r="G70" i="4"/>
  <c r="G76" i="4" s="1"/>
  <c r="G77" i="4" s="1"/>
  <c r="F253" i="2"/>
  <c r="F268" i="2"/>
  <c r="J122" i="4"/>
  <c r="E32" i="4"/>
  <c r="E43" i="4" s="1"/>
  <c r="E273" i="2"/>
  <c r="H269" i="3"/>
  <c r="H270" i="3" s="1"/>
  <c r="H273" i="3" s="1"/>
  <c r="H76" i="4"/>
  <c r="H77" i="4" s="1"/>
  <c r="F35" i="4"/>
  <c r="F43" i="4" s="1"/>
  <c r="F273" i="2"/>
  <c r="G32" i="4"/>
  <c r="G43" i="4" s="1"/>
  <c r="G273" i="2"/>
  <c r="J253" i="1"/>
  <c r="I22" i="4"/>
  <c r="I24" i="4" s="1"/>
  <c r="F254" i="1"/>
  <c r="J254" i="1" s="1"/>
  <c r="F271" i="1"/>
  <c r="F248" i="3"/>
  <c r="F263" i="3"/>
  <c r="E77" i="4"/>
  <c r="I139" i="4"/>
  <c r="I97" i="4"/>
  <c r="F260" i="3"/>
  <c r="F215" i="3"/>
  <c r="F261" i="3" s="1"/>
  <c r="F68" i="4" s="1"/>
  <c r="F89" i="4" s="1"/>
  <c r="O170" i="4" s="1"/>
  <c r="I32" i="4"/>
  <c r="I43" i="4" s="1"/>
  <c r="I45" i="4" s="1"/>
  <c r="I273" i="2"/>
  <c r="M247" i="3"/>
  <c r="N247" i="3"/>
  <c r="E269" i="3"/>
  <c r="E270" i="3" s="1"/>
  <c r="E273" i="3" s="1"/>
  <c r="F14" i="4"/>
  <c r="F276" i="1"/>
  <c r="J276" i="1" s="1"/>
  <c r="E282" i="1"/>
  <c r="G270" i="3"/>
  <c r="G273" i="3"/>
  <c r="G22" i="4"/>
  <c r="G45" i="4" l="1"/>
  <c r="I281" i="1"/>
  <c r="C306" i="1"/>
  <c r="F269" i="3"/>
  <c r="F70" i="4"/>
  <c r="F76" i="4" s="1"/>
  <c r="J76" i="4" s="1"/>
  <c r="I275" i="2"/>
  <c r="I279" i="2" s="1"/>
  <c r="F38" i="4"/>
  <c r="F44" i="4" s="1"/>
  <c r="F45" i="4" s="1"/>
  <c r="F274" i="2"/>
  <c r="F275" i="2"/>
  <c r="F278" i="2" s="1"/>
  <c r="F249" i="3"/>
  <c r="J249" i="3" s="1"/>
  <c r="J248" i="3"/>
  <c r="E139" i="4"/>
  <c r="E97" i="4"/>
  <c r="F17" i="4"/>
  <c r="F277" i="1"/>
  <c r="H93" i="4"/>
  <c r="H23" i="4"/>
  <c r="F278" i="1"/>
  <c r="F281" i="1" s="1"/>
  <c r="G17" i="4"/>
  <c r="G277" i="1"/>
  <c r="F22" i="4"/>
  <c r="F67" i="4"/>
  <c r="F75" i="4" s="1"/>
  <c r="F268" i="3"/>
  <c r="E275" i="2"/>
  <c r="E278" i="2" s="1"/>
  <c r="H278" i="1"/>
  <c r="H282" i="1" s="1"/>
  <c r="F254" i="2"/>
  <c r="J254" i="2" s="1"/>
  <c r="J253" i="2"/>
  <c r="E45" i="4"/>
  <c r="H22" i="4"/>
  <c r="H274" i="3"/>
  <c r="I85" i="4"/>
  <c r="E274" i="3"/>
  <c r="J269" i="3"/>
  <c r="G85" i="4"/>
  <c r="C45" i="6"/>
  <c r="C45" i="5"/>
  <c r="C45" i="7"/>
  <c r="H44" i="4"/>
  <c r="H92" i="4"/>
  <c r="E85" i="4"/>
  <c r="G275" i="2"/>
  <c r="G279" i="2" s="1"/>
  <c r="H273" i="2"/>
  <c r="H33" i="4"/>
  <c r="H43" i="4" s="1"/>
  <c r="J43" i="4" s="1"/>
  <c r="G274" i="3"/>
  <c r="F255" i="1"/>
  <c r="E24" i="4"/>
  <c r="G278" i="2" l="1"/>
  <c r="I278" i="2"/>
  <c r="H45" i="4"/>
  <c r="J45" i="4" s="1"/>
  <c r="D45" i="5"/>
  <c r="F77" i="4"/>
  <c r="J77" i="4" s="1"/>
  <c r="J75" i="4"/>
  <c r="N295" i="3"/>
  <c r="T296" i="3" s="1"/>
  <c r="C295" i="3"/>
  <c r="I295" i="3" s="1"/>
  <c r="M248" i="3"/>
  <c r="M249" i="3" s="1"/>
  <c r="N248" i="3"/>
  <c r="F88" i="4"/>
  <c r="H281" i="1"/>
  <c r="H141" i="4"/>
  <c r="F279" i="2"/>
  <c r="J274" i="2"/>
  <c r="H275" i="2"/>
  <c r="H279" i="2" s="1"/>
  <c r="G278" i="1"/>
  <c r="G23" i="4"/>
  <c r="G24" i="4" s="1"/>
  <c r="G91" i="4"/>
  <c r="E133" i="4"/>
  <c r="E96" i="4"/>
  <c r="H97" i="4"/>
  <c r="H140" i="4"/>
  <c r="J273" i="2"/>
  <c r="H86" i="4"/>
  <c r="F282" i="1"/>
  <c r="J277" i="1"/>
  <c r="J44" i="4"/>
  <c r="D45" i="6"/>
  <c r="G96" i="4"/>
  <c r="I96" i="4"/>
  <c r="I98" i="4" s="1"/>
  <c r="I133" i="4"/>
  <c r="H24" i="4"/>
  <c r="E279" i="2"/>
  <c r="J22" i="4"/>
  <c r="M200" i="1"/>
  <c r="J255" i="1"/>
  <c r="D45" i="7"/>
  <c r="E45" i="7" s="1"/>
  <c r="F45" i="7" s="1"/>
  <c r="F270" i="3"/>
  <c r="J270" i="3" s="1"/>
  <c r="J274" i="3" s="1"/>
  <c r="F273" i="3"/>
  <c r="J268" i="3"/>
  <c r="F23" i="4"/>
  <c r="F91" i="4"/>
  <c r="J23" i="4" l="1"/>
  <c r="O168" i="4"/>
  <c r="O169" i="4"/>
  <c r="C46" i="6"/>
  <c r="C46" i="5"/>
  <c r="C46" i="7"/>
  <c r="N249" i="3"/>
  <c r="F96" i="4"/>
  <c r="I143" i="4"/>
  <c r="C303" i="2"/>
  <c r="H278" i="2"/>
  <c r="G97" i="4"/>
  <c r="G98" i="4" s="1"/>
  <c r="F24" i="4"/>
  <c r="J24" i="4" s="1"/>
  <c r="C304" i="2"/>
  <c r="E45" i="6"/>
  <c r="F45" i="6" s="1"/>
  <c r="J275" i="2"/>
  <c r="C288" i="2" s="1"/>
  <c r="J179" i="2" s="1"/>
  <c r="C307" i="1"/>
  <c r="G281" i="1"/>
  <c r="J278" i="1"/>
  <c r="E45" i="5"/>
  <c r="H134" i="4"/>
  <c r="H96" i="4"/>
  <c r="H98" i="4" s="1"/>
  <c r="N294" i="3"/>
  <c r="T295" i="3" s="1"/>
  <c r="C294" i="3"/>
  <c r="I294" i="3" s="1"/>
  <c r="I299" i="3" s="1"/>
  <c r="J273" i="3"/>
  <c r="E98" i="4"/>
  <c r="F97" i="4"/>
  <c r="G282" i="1"/>
  <c r="F274" i="3"/>
  <c r="F98" i="4" l="1"/>
  <c r="H143" i="4"/>
  <c r="J279" i="2"/>
  <c r="J97" i="4"/>
  <c r="J96" i="4"/>
  <c r="F171" i="4"/>
  <c r="D46" i="7"/>
  <c r="E46" i="7" s="1"/>
  <c r="F46" i="7" s="1"/>
  <c r="C18" i="7" s="1"/>
  <c r="C19" i="7" s="1"/>
  <c r="C20" i="7" s="1"/>
  <c r="C34" i="7" s="1"/>
  <c r="C50" i="7" s="1"/>
  <c r="F172" i="4"/>
  <c r="F45" i="5"/>
  <c r="E49" i="5"/>
  <c r="M201" i="1"/>
  <c r="C291" i="1"/>
  <c r="J281" i="1"/>
  <c r="I298" i="3"/>
  <c r="J278" i="2"/>
  <c r="D46" i="5"/>
  <c r="J282" i="1"/>
  <c r="D46" i="6"/>
  <c r="E46" i="5" l="1"/>
  <c r="C35" i="7"/>
  <c r="D33" i="7" s="1"/>
  <c r="C49" i="7"/>
  <c r="J98" i="4"/>
  <c r="C153" i="4" s="1"/>
  <c r="E46" i="6"/>
  <c r="F46" i="6" s="1"/>
  <c r="C18" i="6" s="1"/>
  <c r="C19" i="6" l="1"/>
  <c r="C20" i="6" s="1"/>
  <c r="C34" i="6" s="1"/>
  <c r="D18" i="6"/>
  <c r="D19" i="6" s="1"/>
  <c r="D20" i="6" s="1"/>
  <c r="D34" i="6" s="1"/>
  <c r="D49" i="7"/>
  <c r="D35" i="7"/>
  <c r="E33" i="7" s="1"/>
  <c r="D50" i="7"/>
  <c r="D154" i="4"/>
  <c r="D155" i="4"/>
  <c r="F46" i="5"/>
  <c r="C18" i="5" s="1"/>
  <c r="E50" i="5"/>
  <c r="E51" i="5" s="1"/>
  <c r="C51" i="7"/>
  <c r="H168" i="4" l="1"/>
  <c r="I174" i="4"/>
  <c r="E174" i="4"/>
  <c r="I166" i="4"/>
  <c r="E166" i="4"/>
  <c r="H175" i="4"/>
  <c r="H176" i="4"/>
  <c r="H167" i="4"/>
  <c r="I178" i="4"/>
  <c r="H178" i="4"/>
  <c r="E49" i="7"/>
  <c r="F49" i="7" s="1"/>
  <c r="E35" i="7"/>
  <c r="E50" i="7"/>
  <c r="G133" i="4"/>
  <c r="G166" i="4" s="1"/>
  <c r="G139" i="4"/>
  <c r="G174" i="4" s="1"/>
  <c r="G143" i="4"/>
  <c r="D51" i="7"/>
  <c r="D35" i="6"/>
  <c r="E33" i="6" s="1"/>
  <c r="D49" i="6"/>
  <c r="D50" i="6"/>
  <c r="D51" i="6" s="1"/>
  <c r="C35" i="6"/>
  <c r="C49" i="6"/>
  <c r="C50" i="6"/>
  <c r="D18" i="5"/>
  <c r="D19" i="5" s="1"/>
  <c r="D20" i="5" s="1"/>
  <c r="D34" i="5" s="1"/>
  <c r="C19" i="5"/>
  <c r="C20" i="5" s="1"/>
  <c r="C34" i="5" s="1"/>
  <c r="E134" i="4"/>
  <c r="E167" i="4" s="1"/>
  <c r="E135" i="4"/>
  <c r="E168" i="4" s="1"/>
  <c r="E141" i="4"/>
  <c r="E176" i="4" s="1"/>
  <c r="E140" i="4"/>
  <c r="E175" i="4" s="1"/>
  <c r="E143" i="4"/>
  <c r="E51" i="7" l="1"/>
  <c r="C51" i="6"/>
  <c r="E50" i="6"/>
  <c r="E49" i="6"/>
  <c r="F49" i="6" s="1"/>
  <c r="E35" i="6"/>
  <c r="D35" i="5"/>
  <c r="E295" i="2" s="1"/>
  <c r="D49" i="5"/>
  <c r="D50" i="5"/>
  <c r="G178" i="4"/>
  <c r="E178" i="4"/>
  <c r="F50" i="7"/>
  <c r="F51" i="7" s="1"/>
  <c r="F53" i="7" s="1"/>
  <c r="C35" i="5"/>
  <c r="E298" i="1" s="1"/>
  <c r="C49" i="5"/>
  <c r="C50" i="5"/>
  <c r="F137" i="4"/>
  <c r="F136" i="4"/>
  <c r="F139" i="4"/>
  <c r="F174" i="4" s="1"/>
  <c r="F166" i="4"/>
  <c r="F143" i="4"/>
  <c r="D51" i="5" l="1"/>
  <c r="F49" i="5"/>
  <c r="E51" i="6"/>
  <c r="C51" i="5"/>
  <c r="F50" i="5"/>
  <c r="F51" i="5" s="1"/>
  <c r="F53" i="5" s="1"/>
  <c r="E297" i="2"/>
  <c r="E296" i="2"/>
  <c r="F178" i="4"/>
  <c r="F50" i="6"/>
  <c r="F51" i="6" s="1"/>
  <c r="F53" i="6" s="1"/>
  <c r="E300" i="1"/>
  <c r="E299" i="1"/>
  <c r="G307" i="1" l="1"/>
  <c r="F307" i="1"/>
  <c r="G300" i="1"/>
  <c r="F306" i="1"/>
  <c r="G306" i="1"/>
  <c r="G299" i="1"/>
  <c r="G301" i="1" s="1"/>
  <c r="F304" i="2"/>
  <c r="G304" i="2"/>
  <c r="G297" i="2"/>
  <c r="G303" i="2"/>
  <c r="F303" i="2"/>
  <c r="G296" i="2"/>
  <c r="G29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1502</author>
    <author>Peng, Yongmei</author>
  </authors>
  <commentList>
    <comment ref="R65" authorId="0" shapeId="0" xr:uid="{79A2E135-9B2D-49BE-985C-93334523824E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R66" authorId="0" shapeId="0" xr:uid="{0907A475-5B0D-4655-AE9D-39F0ADD7BBCD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C77" authorId="1" shapeId="0" xr:uid="{81272478-77C5-418C-B2C1-D88303F466A0}">
      <text>
        <r>
          <rPr>
            <b/>
            <sz val="9"/>
            <color indexed="81"/>
            <rFont val="Tahoma"/>
            <family val="2"/>
          </rPr>
          <t>Peng, Yongmei:</t>
        </r>
        <r>
          <rPr>
            <sz val="9"/>
            <color indexed="81"/>
            <rFont val="Tahoma"/>
            <family val="2"/>
          </rPr>
          <t xml:space="preserve">
Jan 2020 Updt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1502</author>
    <author>Peng, Yongmei</author>
  </authors>
  <commentList>
    <comment ref="R65" authorId="0" shapeId="0" xr:uid="{040A7424-C1B8-485F-B777-8E0341B55357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R66" authorId="0" shapeId="0" xr:uid="{46F95CF2-F2DA-48FE-A87F-839F874BE157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C77" authorId="1" shapeId="0" xr:uid="{413AB536-644C-4DB9-AB1E-E805A076E48E}">
      <text>
        <r>
          <rPr>
            <b/>
            <sz val="9"/>
            <color indexed="81"/>
            <rFont val="Tahoma"/>
            <family val="2"/>
          </rPr>
          <t>Peng, Yongmei:</t>
        </r>
        <r>
          <rPr>
            <sz val="9"/>
            <color indexed="81"/>
            <rFont val="Tahoma"/>
            <family val="2"/>
          </rPr>
          <t xml:space="preserve">
NERA Jan 2021update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1502</author>
    <author>2963</author>
    <author>Peng, Yongmei</author>
  </authors>
  <commentList>
    <comment ref="R65" authorId="0" shapeId="0" xr:uid="{FCEB2125-CE4F-4748-BB10-9B6BF5AB21DE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R66" authorId="0" shapeId="0" xr:uid="{FD9A6015-80FC-4191-AF93-981D49F40EA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D77" authorId="1" shapeId="0" xr:uid="{F09596BE-E44A-487F-8979-A83FF65024B6}">
      <text>
        <r>
          <rPr>
            <b/>
            <sz val="8"/>
            <color indexed="81"/>
            <rFont val="Tahoma"/>
            <family val="2"/>
          </rPr>
          <t xml:space="preserve">NERA
</t>
        </r>
        <r>
          <rPr>
            <sz val="8"/>
            <color indexed="81"/>
            <rFont val="Tahoma"/>
            <family val="2"/>
          </rPr>
          <t>Summer: 201406-201609
Winter:201403-201702</t>
        </r>
      </text>
    </comment>
    <comment ref="T95" authorId="2" shapeId="0" xr:uid="{FA91037E-4877-4F1F-9866-099A9CC947B5}">
      <text>
        <r>
          <rPr>
            <b/>
            <sz val="11"/>
            <color indexed="81"/>
            <rFont val="Tahoma"/>
            <family val="2"/>
          </rPr>
          <t>Peng, Yongmei:</t>
        </r>
        <r>
          <rPr>
            <sz val="11"/>
            <color indexed="81"/>
            <rFont val="Tahoma"/>
            <family val="2"/>
          </rPr>
          <t xml:space="preserve">
variance in forecast file..3% variance, ignore</t>
        </r>
      </text>
    </comment>
  </commentList>
</comments>
</file>

<file path=xl/sharedStrings.xml><?xml version="1.0" encoding="utf-8"?>
<sst xmlns="http://schemas.openxmlformats.org/spreadsheetml/2006/main" count="1785" uniqueCount="416">
  <si>
    <t xml:space="preserve">Jersey Central Power &amp; Light </t>
  </si>
  <si>
    <t>Attachment 2</t>
  </si>
  <si>
    <t>2022/2023 BGS Supply Period Estimated Supplier Payments Allocated by Rate Class</t>
  </si>
  <si>
    <t xml:space="preserve"> </t>
  </si>
  <si>
    <t>Development of Post Transition Period BGS Cost and Bid Factors</t>
  </si>
  <si>
    <t>Adjusted to Billing Time Periods</t>
  </si>
  <si>
    <t>Table #1</t>
  </si>
  <si>
    <t>% Usage During PJM On-Peak Period</t>
  </si>
  <si>
    <t>On-Peak periods defined as the 16 hr PJM Trading period, adj for NERC holidays</t>
  </si>
  <si>
    <t>% usage during Off-Peak period</t>
  </si>
  <si>
    <t>Profile Meter Data</t>
  </si>
  <si>
    <t>Other Analysis</t>
  </si>
  <si>
    <t>(data rounded to nearest .01 %)</t>
  </si>
  <si>
    <t>RT{1}</t>
  </si>
  <si>
    <t>RS{2}</t>
  </si>
  <si>
    <t>GS{3}</t>
  </si>
  <si>
    <t>GST</t>
  </si>
  <si>
    <t>OL/SL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</si>
  <si>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</si>
  <si>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</si>
  <si>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</si>
  <si>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</si>
  <si>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</si>
  <si>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</si>
  <si>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</si>
  <si>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</si>
  <si>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</si>
  <si>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</si>
  <si>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</si>
  <si>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</si>
  <si>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</si>
  <si>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% Usage During JCP&amp;L On-Peak Billing Period</t>
  </si>
  <si>
    <t>On-Peak periods as defined in specified rate schedule</t>
  </si>
  <si>
    <t>N/A</t>
  </si>
  <si>
    <t>----</t>
  </si>
  <si>
    <t>{1} For BGS purposes the RT rate class includes the RS and GS rate class Off-Peak (OPWH) and Controlled Water Heating (CTWH) provisions.  The RT rate class also includes the</t>
  </si>
  <si>
    <t xml:space="preserve">  summer billing month RGT rate class usage.  OPWH and CTWH is billed on the average RT rates, while RT and Summer RGT use is billed at on-peak and off-peak rates.</t>
  </si>
  <si>
    <t xml:space="preserve">{2} For BGS purposes the RS rate class excludes the Off-Peak and Controlled Water Heating provisions and includes  </t>
  </si>
  <si>
    <t xml:space="preserve">     the winter billing month RGT rate class usage</t>
  </si>
  <si>
    <t>{3} For BGS purposes the GS rate class excludes the Off-Peak and Controlled Water Heating provisions</t>
  </si>
  <si>
    <t>Table #3</t>
  </si>
  <si>
    <t>Class Usage @ customer</t>
  </si>
  <si>
    <t>kWh</t>
  </si>
  <si>
    <t>Tariff Based kWh</t>
  </si>
  <si>
    <t>Total</t>
  </si>
  <si>
    <t>in MWh</t>
  </si>
  <si>
    <t>GST {4}</t>
  </si>
  <si>
    <t xml:space="preserve">RT Less </t>
  </si>
  <si>
    <t>WH</t>
  </si>
  <si>
    <t>WH GS</t>
  </si>
  <si>
    <t>WH RS</t>
  </si>
  <si>
    <t>RGT</t>
  </si>
  <si>
    <t>RT</t>
  </si>
  <si>
    <t>RS</t>
  </si>
  <si>
    <t>GS</t>
  </si>
  <si>
    <t>Water Heating</t>
  </si>
  <si>
    <t>winter MWh =</t>
  </si>
  <si>
    <t>On-Peak=&gt;</t>
  </si>
  <si>
    <t>&lt;=on-peak=&gt;</t>
  </si>
  <si>
    <t>Off-Peak=&gt;</t>
  </si>
  <si>
    <t>&lt;=off-peak=&gt;</t>
  </si>
  <si>
    <t>Average=&gt;</t>
  </si>
  <si>
    <t>summer MWh =</t>
  </si>
  <si>
    <t>First Block (0-600 kWh/month)=&gt;</t>
  </si>
  <si>
    <t>Second Block (&gt;600 kWh/month)=&gt;</t>
  </si>
  <si>
    <t>PJM based kWh</t>
  </si>
  <si>
    <t>Winter MWh =&gt;</t>
  </si>
  <si>
    <t>on-peak=&gt;</t>
  </si>
  <si>
    <t>off-peak=&gt;</t>
  </si>
  <si>
    <t>OPWH</t>
  </si>
  <si>
    <t>CTWH Total</t>
  </si>
  <si>
    <t>CTWH GS</t>
  </si>
  <si>
    <t>CTWH RS</t>
  </si>
  <si>
    <t>CTWH RSH</t>
  </si>
  <si>
    <t>WH On</t>
  </si>
  <si>
    <t>WH Off</t>
  </si>
  <si>
    <t>Table #4</t>
  </si>
  <si>
    <t>Forwards Prices - Energy Only @ bulk system</t>
  </si>
  <si>
    <t>Table #5</t>
  </si>
  <si>
    <t>Zone-Hub Basis Differential</t>
  </si>
  <si>
    <t>Summer MWh =&gt;</t>
  </si>
  <si>
    <t>in $/MWh</t>
  </si>
  <si>
    <t>Based on 3 Year Average</t>
  </si>
  <si>
    <t>Initial</t>
  </si>
  <si>
    <t>Adjusted</t>
  </si>
  <si>
    <t>On-Peak</t>
  </si>
  <si>
    <t>Off-Peak</t>
  </si>
  <si>
    <t>Delta between PJM and Tariff based On-Peak kWh</t>
  </si>
  <si>
    <t>Winter</t>
  </si>
  <si>
    <t>On-peak kWh=&gt;</t>
  </si>
  <si>
    <t>Associated $=&gt;</t>
  </si>
  <si>
    <t>Summer</t>
  </si>
  <si>
    <t>Average Daily</t>
  </si>
  <si>
    <t>Table #6</t>
  </si>
  <si>
    <t>Losses</t>
  </si>
  <si>
    <t>On-Peak PJM</t>
  </si>
  <si>
    <t>On-peak</t>
  </si>
  <si>
    <t>Hours Mon=&gt;Fri</t>
  </si>
  <si>
    <t>Hours</t>
  </si>
  <si>
    <t>%</t>
  </si>
  <si>
    <t>Loss Factors =</t>
  </si>
  <si>
    <t>Expansion Factor =</t>
  </si>
  <si>
    <t>CTWH</t>
  </si>
  <si>
    <t>Loss Factors from Transmission Nodes =</t>
  </si>
  <si>
    <t>Expansion Factor to Transmission Nodes =</t>
  </si>
  <si>
    <t>Table #7</t>
  </si>
  <si>
    <t>Summary of Average BGS Energy Only Unit Costs @ customer - PJM Time Periods</t>
  </si>
  <si>
    <t>based on Forwards prices corrected for zone-hub differential and losses - PJM time periods</t>
  </si>
  <si>
    <t>Summer - all hrs</t>
  </si>
  <si>
    <t>PJM on pk</t>
  </si>
  <si>
    <t>PJM off pk</t>
  </si>
  <si>
    <t>Winter - all hrs</t>
  </si>
  <si>
    <t>Annual</t>
  </si>
  <si>
    <t>System Total</t>
  </si>
  <si>
    <t>Table #8</t>
  </si>
  <si>
    <t>Summary of Average BGS Energy Only Costs @ customer - PJM Time Periods</t>
  </si>
  <si>
    <t>based on Forwards prices corrected for zone-hub differential and losses</t>
  </si>
  <si>
    <t>in $1000</t>
  </si>
  <si>
    <t>Table #9</t>
  </si>
  <si>
    <t>Summary of Average BGS Energy Only Unit Costs @ customer - JCP&amp;L Time Periods</t>
  </si>
  <si>
    <t>based on Forwards prices corrected for zone-hub differential and losses - JCP&amp;L billing time periods</t>
  </si>
  <si>
    <t>MWhs in JCP&amp;L time periods</t>
  </si>
  <si>
    <t>MWhs in PJM time periods</t>
  </si>
  <si>
    <t>Difference in MWhs</t>
  </si>
  <si>
    <t>Check on total $ recovered</t>
  </si>
  <si>
    <t>(PJM - JCP&amp;L)</t>
  </si>
  <si>
    <t>JCP&amp;L time periods</t>
  </si>
  <si>
    <t>PJM time periods (Table #8)</t>
  </si>
  <si>
    <t>JCP&amp;L On pk</t>
  </si>
  <si>
    <t>JCP&amp;L Off pk</t>
  </si>
  <si>
    <t>Annual Average</t>
  </si>
  <si>
    <t>System Average</t>
  </si>
  <si>
    <t>Table #10</t>
  </si>
  <si>
    <t>Generation &amp; Transmission Obligations and Costs and Other Adjustments</t>
  </si>
  <si>
    <t>BGS-RSCP</t>
  </si>
  <si>
    <t>in MW</t>
  </si>
  <si>
    <t>TOTAL</t>
  </si>
  <si>
    <t>For Proof</t>
  </si>
  <si>
    <t>For Calculation</t>
  </si>
  <si>
    <t>Proof</t>
  </si>
  <si>
    <t>Gen Obl - MW</t>
  </si>
  <si>
    <t>Average</t>
  </si>
  <si>
    <t>Trans Obl - MW</t>
  </si>
  <si>
    <t xml:space="preserve">Not applicable for JCP&amp;L - Transmission rates are based on Retail Tariff rates for the respective rate classes 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</si>
  <si>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</si>
  <si>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</si>
  <si>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</si>
  <si>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</si>
  <si>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</si>
  <si>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</si>
  <si>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Transmission charges will be based on Retail Tariff rates for the applicable rate schedules</t>
  </si>
  <si>
    <t>Generation Capacity cost</t>
  </si>
  <si>
    <t>$/MW/day</t>
  </si>
  <si>
    <t>Summer Total</t>
  </si>
  <si>
    <t>Winter Total</t>
  </si>
  <si>
    <t>Annual Total</t>
  </si>
  <si>
    <t>Residential summer BGS + Transmission charge differential</t>
  </si>
  <si>
    <t>per BPU and summer blocking percentages</t>
  </si>
  <si>
    <t>Charges</t>
  </si>
  <si>
    <t>% usage</t>
  </si>
  <si>
    <t>Block 1 (0-600 kWh/m)</t>
  </si>
  <si>
    <t>Block 2 (&gt;600 kWh/m)</t>
  </si>
  <si>
    <t>Differential (Excl. SUT)</t>
  </si>
  <si>
    <t>¢/kWh</t>
  </si>
  <si>
    <t>Table #11</t>
  </si>
  <si>
    <t>Ancillary Services</t>
  </si>
  <si>
    <t>Forecasted Ancillary Services Cost</t>
  </si>
  <si>
    <t>Renewable Portfolio Standard Cost</t>
  </si>
  <si>
    <t>forecasted overall annual average</t>
  </si>
  <si>
    <t>$/MWh</t>
  </si>
  <si>
    <t>Table #12</t>
  </si>
  <si>
    <t>Summary of Obligation Costs Expressed as $/MWh @ customer</t>
  </si>
  <si>
    <t>Transmission Obl - all months</t>
  </si>
  <si>
    <t>Generation Obl $/MWh - all months</t>
  </si>
  <si>
    <t>Generation Obl $/MWh - Summer - All Hours</t>
  </si>
  <si>
    <t>Generation Obl $/MWh - Summer - On-Peak Hours</t>
  </si>
  <si>
    <t>Generation Obl $/MWh - Winter - All Hours</t>
  </si>
  <si>
    <t>Generation Obl $/MWh - Winter - On-Peak Hours</t>
  </si>
  <si>
    <t>Table #13</t>
  </si>
  <si>
    <t>Summary of BGS Unit Costs @ customer</t>
  </si>
  <si>
    <t>NON-DEMAND RATES</t>
  </si>
  <si>
    <t>includes energy, Generation , and Ancillary Services - adjusted to billing time periods</t>
  </si>
  <si>
    <t>Annual -all hrs</t>
  </si>
  <si>
    <t>DEMAND RATES</t>
  </si>
  <si>
    <t>includes energy and Ancillary Services, G&amp;T obligations charged separately - adjusted to billing time periods</t>
  </si>
  <si>
    <t>JCP&amp;L does not have a demand component in its BGS charges</t>
  </si>
  <si>
    <t>Table #14</t>
  </si>
  <si>
    <t>Units @ Customer</t>
  </si>
  <si>
    <t>in kWh</t>
  </si>
  <si>
    <t>Table #15</t>
  </si>
  <si>
    <t>Summary of Total Estimated BGS Costs by Season</t>
  </si>
  <si>
    <t>Total Costs by Rate - in $1000</t>
  </si>
  <si>
    <t>Total Costs - in $1000</t>
  </si>
  <si>
    <t>% of Annual Total $</t>
  </si>
  <si>
    <t>Table #16</t>
  </si>
  <si>
    <t>Customer &amp; Bulk System Costs</t>
  </si>
  <si>
    <t>Customer Costs Per Allocation Matrix</t>
  </si>
  <si>
    <t>Grand Total Cost in $1000 =</t>
  </si>
  <si>
    <t>Seasonal Units</t>
  </si>
  <si>
    <r>
      <t xml:space="preserve">Supplier Payment </t>
    </r>
    <r>
      <rPr>
        <sz val="10"/>
        <rFont val="Arial"/>
        <family val="2"/>
      </rPr>
      <t>in $1000</t>
    </r>
  </si>
  <si>
    <t>Seasonal</t>
  </si>
  <si>
    <t>Price per MWH</t>
  </si>
  <si>
    <t>Factor</t>
  </si>
  <si>
    <t>Units</t>
  </si>
  <si>
    <t>Payment</t>
  </si>
  <si>
    <t>Seasonally Adjusted Summer Payment</t>
  </si>
  <si>
    <t>Seasonally Adjusted Winter Payment</t>
  </si>
  <si>
    <t>Total Supplier Payment</t>
  </si>
  <si>
    <t>Table #17</t>
  </si>
  <si>
    <t>Adjustment Factor Calculation</t>
  </si>
  <si>
    <t>Adjustment</t>
  </si>
  <si>
    <t>Supplier</t>
  </si>
  <si>
    <t>Allocated Customer Costs on a per MWh basis (on bulk system MWhs):</t>
  </si>
  <si>
    <t>Calculation</t>
  </si>
  <si>
    <t>per MWh @ bulk system</t>
  </si>
  <si>
    <t>Assumptions:</t>
  </si>
  <si>
    <t>Generation Capacity Cost =</t>
  </si>
  <si>
    <t>per MW day Summer</t>
  </si>
  <si>
    <t>per MW day Winter</t>
  </si>
  <si>
    <t>Transmission cost =</t>
  </si>
  <si>
    <t>Zero, as Transmission product will be excluded from BGS product starting June 1, 2021.</t>
  </si>
  <si>
    <t>Analysis time period =</t>
  </si>
  <si>
    <t>summer months</t>
  </si>
  <si>
    <t>winter months</t>
  </si>
  <si>
    <t>Ancillary Services =</t>
  </si>
  <si>
    <t>per MWh</t>
  </si>
  <si>
    <t>Energy Costs =</t>
  </si>
  <si>
    <t xml:space="preserve"> Based on Forwards prices @ PJM West corrected for hub-zone basis differential (both based on the figures used to derive the </t>
  </si>
  <si>
    <t>Usage patterns =</t>
  </si>
  <si>
    <t>Obligations =</t>
  </si>
  <si>
    <t>Losses =</t>
  </si>
  <si>
    <t xml:space="preserve"> Consistent with Losses as approved by the BPU</t>
  </si>
  <si>
    <t>PJM Time Periods =</t>
  </si>
  <si>
    <t xml:space="preserve"> PJM trading time periods - 7 AM to 11 PM weekdays, local time, excluding NERC </t>
  </si>
  <si>
    <t xml:space="preserve">     holidays - New Year's, Memorial, 4th of July, Labor Day, Thanksgiving &amp; Christmas</t>
  </si>
  <si>
    <t>JCP&amp;L Billing time periods =</t>
  </si>
  <si>
    <t>RT On-peak hours are 8 am to 8 pm Eastern Standard Time, Monday through Friday.</t>
  </si>
  <si>
    <t>GST On-peak hours are 8 am to 8 pm prevailing time, Monday through Friday.</t>
  </si>
  <si>
    <t>The Holidays identified by PJM are not excluded from the RT or GST Billing On-Peak kWh.</t>
  </si>
  <si>
    <t>NJ Sales and Use Tax (SUT) =</t>
  </si>
  <si>
    <t>SUT excluded from all costs</t>
  </si>
  <si>
    <t>2023/2024 BGS Supply Period Estimated Supplier Payments Allocated by Rate Class</t>
  </si>
  <si>
    <t>includes energy, Generation obligations, and Ancillary Services - adjusted to billing time periods</t>
  </si>
  <si>
    <t>2024 BGS Auction Cost and Bid Factor Tables</t>
  </si>
  <si>
    <t>2024/20205 BGS Supply Period Estimated Supplier Payments Allocated by Rate Class</t>
  </si>
  <si>
    <t>*: Updated Jan</t>
  </si>
  <si>
    <t>Forecast 2023 Delivery MWh</t>
  </si>
  <si>
    <t>JC Tariff Based mWh</t>
  </si>
  <si>
    <t>RS Excluding</t>
  </si>
  <si>
    <t>RT (w/o RGT)</t>
  </si>
  <si>
    <t>RT\RGT\WH</t>
  </si>
  <si>
    <t>GS RSCP</t>
  </si>
  <si>
    <t>Total GS (incl WH)</t>
  </si>
  <si>
    <t>GST RSCP</t>
  </si>
  <si>
    <t>kWh*</t>
  </si>
  <si>
    <t>mWh*</t>
  </si>
  <si>
    <t>mWh</t>
  </si>
  <si>
    <t>WH Average =&gt;</t>
  </si>
  <si>
    <t>WH Average=&gt;</t>
  </si>
  <si>
    <t xml:space="preserve">  </t>
  </si>
  <si>
    <t>CTWH GS*</t>
  </si>
  <si>
    <t>CTWH RS*</t>
  </si>
  <si>
    <t>CTWH RSH*</t>
  </si>
  <si>
    <t>WH OnPeak MWH</t>
  </si>
  <si>
    <t>WH OffPeak MWH</t>
  </si>
  <si>
    <t>Off/On Pk</t>
  </si>
  <si>
    <t>LMP ratio</t>
  </si>
  <si>
    <t>2023 kWh *</t>
  </si>
  <si>
    <t>1st</t>
  </si>
  <si>
    <t>2nd</t>
  </si>
  <si>
    <t>total</t>
  </si>
  <si>
    <t>Loss Factors @ Bulk =</t>
  </si>
  <si>
    <t>RSH</t>
  </si>
  <si>
    <t>Expansion Factors @ Bulk =</t>
  </si>
  <si>
    <t>Total RS</t>
  </si>
  <si>
    <t>Loss Factors @ Transmission Node =</t>
  </si>
  <si>
    <t>Expansion Factors @ Transmission Node =</t>
  </si>
  <si>
    <t>PSEG</t>
  </si>
  <si>
    <t>PSEG CSA</t>
  </si>
  <si>
    <t>NERA</t>
  </si>
  <si>
    <t>Change of kWh</t>
  </si>
  <si>
    <t xml:space="preserve">Change of kW </t>
  </si>
  <si>
    <t>Total Forecasted Ancillary Services &amp; Renewable Power Costs</t>
  </si>
  <si>
    <t>includes Energy, Generation Obligations, and Ancillary Services - adjusted to billing time periods</t>
  </si>
  <si>
    <t>includes Energy and Ancillary Services, Generation Obligations charged separately - adjusted to billing time periods</t>
  </si>
  <si>
    <t>@ Bulk mwh</t>
  </si>
  <si>
    <t>@ Transmission</t>
  </si>
  <si>
    <t>Table #16 &amp; Table #17</t>
  </si>
  <si>
    <t>Not Applicable to 2024/2025 BGS Supply Period</t>
  </si>
  <si>
    <t>Table #18</t>
  </si>
  <si>
    <t>Bulk System Costs</t>
  </si>
  <si>
    <t>ALL RATES</t>
  </si>
  <si>
    <t>All-In Average costs @ bulk system =</t>
  </si>
  <si>
    <t>per MWh at bulk system (per bulk system metered MWh)</t>
  </si>
  <si>
    <t>All-In Average costs @ transmission nodes =</t>
  </si>
  <si>
    <t>per MWh at transmission nodes (per transmission nodes metered MWh)</t>
  </si>
  <si>
    <t>Table #19</t>
  </si>
  <si>
    <t>Seasonal Payment Factors</t>
  </si>
  <si>
    <t xml:space="preserve">         If total $ were split on a per MWh basis (on bulk nodes MWhs):</t>
  </si>
  <si>
    <t>Ratio to All-In Cost (rounded to 4 decimal places)</t>
  </si>
  <si>
    <t xml:space="preserve">         If total $ were split on a per MWh basis (on transmission nodes MWhs):</t>
  </si>
  <si>
    <t>per MWh @ transmission nodes</t>
  </si>
  <si>
    <t>Ratio to All-In Cost (If Winter is greater than Summer)</t>
  </si>
  <si>
    <t>Ancillary Services and Renewable Power Cost =</t>
  </si>
  <si>
    <t xml:space="preserve">Loss = </t>
  </si>
  <si>
    <t>Consistent with Losses as approved by the BPU</t>
  </si>
  <si>
    <t xml:space="preserve">PJM Marginal Losses = </t>
  </si>
  <si>
    <t>PJM's calculated mean value of hourly marginal loss factor</t>
  </si>
  <si>
    <t>BGS-RSCP Composite Cost Allocation</t>
  </si>
  <si>
    <t>Table #C1</t>
  </si>
  <si>
    <t>Post Transition Year 20 Costs w/o Transmission</t>
  </si>
  <si>
    <t>Size of Tranches =</t>
  </si>
  <si>
    <t>in $1,000's</t>
  </si>
  <si>
    <t>Table #C2</t>
  </si>
  <si>
    <t>Post Transition Year 21 Costs w/o Transmission</t>
  </si>
  <si>
    <t>Table #C3</t>
  </si>
  <si>
    <t>Post Transition Year 22 Costs w/o Transmission</t>
  </si>
  <si>
    <t>Table #C4</t>
  </si>
  <si>
    <t>Composite (Tranche Weighted) Costs w/o Transmission</t>
  </si>
  <si>
    <t>Table #C5</t>
  </si>
  <si>
    <t>Fixed Unit Cost Adjustment</t>
  </si>
  <si>
    <t>= Q112-S112</t>
  </si>
  <si>
    <t>Table #C6</t>
  </si>
  <si>
    <t>includes Energy, Generation obligations, and Ancillary Services - adjusted to billing time periods</t>
  </si>
  <si>
    <t>Table #C7</t>
  </si>
  <si>
    <t>Ratio of BGS Unit Costs @ customer to All-In Average Cost @ transmission nodes (rounded to 3 decimal places)</t>
  </si>
  <si>
    <t>Constant for Block 1 (0-600 kWh/m) usage (Excl. SUT)</t>
  </si>
  <si>
    <t>Constant for Block 2 (&gt;600 kWh/m) usage (Excl. SUT)</t>
  </si>
  <si>
    <t>Annual - all hrs</t>
  </si>
  <si>
    <t>Attachment 3 - Page 1 of 3</t>
  </si>
  <si>
    <t>Development of Capacity Proxy Price True-Up $/MWh 
and Calculation of Composite BGS-RSCP Price</t>
  </si>
  <si>
    <t xml:space="preserve">Table A - 2024/2025 Delivery Year </t>
  </si>
  <si>
    <t>2024/2025
Delivery Year for Winning Suppliers from 2022 BGS-RSCP Auction</t>
  </si>
  <si>
    <t>2024/2025
Delivery Year for Winning Suppliers from 2023 BGS-RSCP Auction</t>
  </si>
  <si>
    <t>Notes:</t>
  </si>
  <si>
    <t>Zonal Capacity Price ($/MW-day) - JCPL Zone</t>
  </si>
  <si>
    <t>PJM RPM BRA for delivery year 2024/2025 as illustration. Will be updated with Final PJM RPM</t>
  </si>
  <si>
    <t>Capacity Proxy Price ($/MW-day)</t>
  </si>
  <si>
    <t>BGS Order Docket No. ER21030631 dated Nov. 17, 2021 and ER22030127 dated Nov. 9, 2022</t>
  </si>
  <si>
    <t>Capacity Proxy Price True-Up - $/MW-day</t>
  </si>
  <si>
    <t xml:space="preserve"> Line 1 - Line2</t>
  </si>
  <si>
    <t>Total BGS-RSCP Gen Obl - MW</t>
  </si>
  <si>
    <t>Days in BGS Delivery Year</t>
  </si>
  <si>
    <t xml:space="preserve">Capacity Proxy Price True-Up Annual Cost </t>
  </si>
  <si>
    <t>= line 3 * line 4 * line 5</t>
  </si>
  <si>
    <t>Eligible Tranches</t>
  </si>
  <si>
    <t>Total Tranches</t>
  </si>
  <si>
    <t>% of tranches eligible for Payment</t>
  </si>
  <si>
    <t>= line 7/ line 8</t>
  </si>
  <si>
    <t>Capacity Proxy Price True-Up Cost</t>
  </si>
  <si>
    <t>= line 6 * line 9</t>
  </si>
  <si>
    <r>
      <t xml:space="preserve">Total Applicable Customer Usage 
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</si>
  <si>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r>
      <t>Eligible customer Usage 
@ transmission nodes -</t>
    </r>
    <r>
      <rPr>
        <i/>
        <sz val="10"/>
        <rFont val="Arial"/>
        <family val="2"/>
      </rPr>
      <t xml:space="preserve"> in MWh</t>
    </r>
  </si>
  <si>
    <t>= line 9 * line 11</t>
  </si>
  <si>
    <t>Capacity Proxy Price True-Up - $/MWh</t>
  </si>
  <si>
    <t>= line 10 / line 12 (rounded to 2 decimal places)</t>
  </si>
  <si>
    <t>NJ Sales and Use Tax (SUT) excluded</t>
  </si>
  <si>
    <t>Calculation of Composite BGS-RSCP Price</t>
  </si>
  <si>
    <t>June 1, 2024 through May 31, 2025</t>
  </si>
  <si>
    <t>Total
BGS-RSCP
Cost</t>
  </si>
  <si>
    <t>2022 Auction</t>
  </si>
  <si>
    <t>2023 Auction</t>
  </si>
  <si>
    <t>2024 Auction</t>
  </si>
  <si>
    <t>1 Year Term Remaining</t>
  </si>
  <si>
    <t>2 Year Term Remaining</t>
  </si>
  <si>
    <t>3 Year Term</t>
  </si>
  <si>
    <t>Final Auction Price - in $/MWh</t>
  </si>
  <si>
    <t>Capacity Proxy Price True Up in $/MWH</t>
  </si>
  <si>
    <t>Total # of Tranches</t>
  </si>
  <si>
    <t>Size of Tranches</t>
  </si>
  <si>
    <t>Seasonal Factors</t>
  </si>
  <si>
    <t>Applicable Customer Usage
@ transmission node</t>
  </si>
  <si>
    <t>Summer MWh</t>
  </si>
  <si>
    <t>Winter MWh</t>
  </si>
  <si>
    <t>All-in BGS-RSCP Cost</t>
  </si>
  <si>
    <t>Composite Bid Price</t>
  </si>
  <si>
    <t>Attachment 3 - Page 2 of 3</t>
  </si>
  <si>
    <t>Table A - 2025/2026 Delivery Year - Illustrative Only</t>
  </si>
  <si>
    <t>2025/2026
Delivery Year for Winning Suppliers from 2023 BGS-RSCP Auction*</t>
  </si>
  <si>
    <t>2025/2026
Delivery Year for Winning Suppliers from 2024 BGS-RSCP Auction*</t>
  </si>
  <si>
    <t>Illustrative Only</t>
  </si>
  <si>
    <t>BGS Order Docket No. ER22030127 dated Nov. 9, 2022 and ER23030124, dated Nov. ??, 2023</t>
  </si>
  <si>
    <t>June 1, 2025 through May 31, 2026 - Illustrative Only</t>
  </si>
  <si>
    <t>2025 Auction</t>
  </si>
  <si>
    <t>Attachment 3 - Page 3 of 3</t>
  </si>
  <si>
    <t>Table A - 2026/2027 Delivery Year - Illustrative Only</t>
  </si>
  <si>
    <t>2026/2027
Delivery Year for Winning Suppliers from 2024 BGS-RSCP Auction*</t>
  </si>
  <si>
    <t>BGS Order Docket No. ER23030124 dated Nov. ??, 2023</t>
  </si>
  <si>
    <t>June 1, 2026 through May 31, 2027 - Illustrative Only</t>
  </si>
  <si>
    <t>2026 Auction</t>
  </si>
  <si>
    <r>
      <t xml:space="preserve">{4} The GS and GST units exclude the units associated with the </t>
    </r>
    <r>
      <rPr>
        <sz val="10"/>
        <rFont val="Arial"/>
        <family val="2"/>
      </rPr>
      <t>500 kW and above PLS accounts that will be required to take service under BGS-CIEP</t>
    </r>
  </si>
  <si>
    <t>2023 Auction with Capacity Proxy True-Up</t>
  </si>
  <si>
    <r>
      <t xml:space="preserve"> Bid Factors and establish retail rates in Post Transition Year </t>
    </r>
    <r>
      <rPr>
        <sz val="10"/>
        <rFont val="Arial"/>
        <family val="2"/>
      </rPr>
      <t>19 and adjusted to match the total cost at the actual supplier bid price.</t>
    </r>
  </si>
  <si>
    <t>2022 Auction with Capacity Proxy True-Up</t>
  </si>
  <si>
    <r>
      <t xml:space="preserve"> Bid Factors and establish retail rates in Post Transition Year </t>
    </r>
    <r>
      <rPr>
        <sz val="10"/>
        <rFont val="Arial"/>
        <family val="2"/>
      </rPr>
      <t>20 and adjusted to match the total cost at the actual supplier bid price.</t>
    </r>
  </si>
  <si>
    <t>Based on an average of 201907 to 202206 Load Profile Information</t>
  </si>
  <si>
    <t>2023 Forecasted Calendar Month Sales</t>
  </si>
  <si>
    <t>Delivery kWh</t>
  </si>
  <si>
    <r>
      <t>calendar month sales forecasted for</t>
    </r>
    <r>
      <rPr>
        <b/>
        <i/>
        <sz val="10"/>
        <rFont val="Arial"/>
        <family val="2"/>
      </rPr>
      <t xml:space="preserve"> 2023</t>
    </r>
  </si>
  <si>
    <t>obligations - annual average forecasted for 2023; costs are market estimates</t>
  </si>
  <si>
    <r>
      <t xml:space="preserve"> based on </t>
    </r>
    <r>
      <rPr>
        <sz val="10"/>
        <rFont val="Arial"/>
        <family val="2"/>
      </rPr>
      <t>6/24 to 5/25 Forwards @ PJM West corrected for hub-zone basis differential</t>
    </r>
  </si>
  <si>
    <r>
      <t xml:space="preserve"> forecasted </t>
    </r>
    <r>
      <rPr>
        <sz val="10"/>
        <rFont val="Arial"/>
        <family val="2"/>
      </rPr>
      <t>2023 energy use by class based upon PJM on/off % from 201907 through 202206 class load profiles</t>
    </r>
  </si>
  <si>
    <r>
      <t xml:space="preserve">   JCP&amp;L billing on/off % from </t>
    </r>
    <r>
      <rPr>
        <sz val="10"/>
        <rFont val="Arial"/>
        <family val="2"/>
      </rPr>
      <t>2023 forecasted billing determinants</t>
    </r>
  </si>
  <si>
    <r>
      <t xml:space="preserve"> class totals for </t>
    </r>
    <r>
      <rPr>
        <sz val="10"/>
        <rFont val="Arial"/>
        <family val="2"/>
      </rPr>
      <t>2023 excluding accounts required to take service under BGS-CIEP as of June 1, 2024</t>
    </r>
  </si>
  <si>
    <t>Forecasted 2023 kWh</t>
  </si>
  <si>
    <r>
      <t xml:space="preserve">Table #10 of the </t>
    </r>
    <r>
      <rPr>
        <sz val="10"/>
        <rFont val="Arial"/>
        <family val="2"/>
      </rPr>
      <t xml:space="preserve">2024 BGS Auction Cost and Bid Factor Tables </t>
    </r>
  </si>
  <si>
    <r>
      <t xml:space="preserve">Table #14 * Table #6 from </t>
    </r>
    <r>
      <rPr>
        <sz val="10"/>
        <rFont val="Arial"/>
        <family val="2"/>
      </rPr>
      <t>2024 BGS Auction Cost and Bid Factor Tables</t>
    </r>
  </si>
  <si>
    <t>BGS Post Transition
Year 20</t>
  </si>
  <si>
    <t>BGS Post Transition
Year 21</t>
  </si>
  <si>
    <t>BGS Post Transition
Year 22</t>
  </si>
  <si>
    <r>
      <t xml:space="preserve">Table #14 * Table #6 from </t>
    </r>
    <r>
      <rPr>
        <sz val="10"/>
        <rFont val="Arial"/>
        <family val="2"/>
      </rPr>
      <t>2024 BGS Auction Cost and Bid Factor Tables 
- Illustrative Only</t>
    </r>
  </si>
  <si>
    <t>BGS Post Transition
Year 23</t>
  </si>
  <si>
    <t>BGS Post Transition
Year 24</t>
  </si>
  <si>
    <t>Rounded to 2 decimals</t>
  </si>
  <si>
    <t xml:space="preserve"> Rounded to 2 decimals</t>
  </si>
  <si>
    <t xml:space="preserve">Table #10 of the 2024 BGS Auction Cost and Bid Factor 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</si>
</sst>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"/>
    <numFmt numFmtId="166" formatCode="#,##0.000"/>
    <numFmt numFmtId="167" formatCode="_(&quot;$&quot;* #,##0_);_(&quot;$&quot;* \(#,##0\);_(&quot;$&quot;* &quot;-&quot;??_);_(@_)"/>
    <numFmt numFmtId="168" formatCode="0.0000%"/>
    <numFmt numFmtId="169" formatCode="_(&quot;$&quot;* #,##0.000_);_(&quot;$&quot;* \(#,##0.000\);_(&quot;$&quot;* &quot;-&quot;??_);_(@_)"/>
    <numFmt numFmtId="170" formatCode="#,##0.0"/>
    <numFmt numFmtId="171" formatCode="0.0000"/>
    <numFmt numFmtId="172" formatCode="&quot;$&quot;#,##0.00"/>
    <numFmt numFmtId="173" formatCode="_(&quot;$&quot;* #,##0.0000_);_(&quot;$&quot;* \(#,##0.0000\);_(&quot;$&quot;* &quot;-&quot;??_);_(@_)"/>
    <numFmt numFmtId="174" formatCode="0.000"/>
    <numFmt numFmtId="175" formatCode="_(* #,##0.0000_);_(* \(#,##0.0000\);_(* &quot;-&quot;??_);_(@_)"/>
    <numFmt numFmtId="176" formatCode="_(* #,##0.000000_);_(* \(#,##0.000000\);_(* &quot;-&quot;??_);_(@_)"/>
    <numFmt numFmtId="177" formatCode="_(* #,##0_);_(* \(#,##0\);_(* &quot;-&quot;??_);_(@_)"/>
    <numFmt numFmtId="178" formatCode="&quot;$&quot;#,##0.000"/>
    <numFmt numFmtId="179" formatCode="_(* #,##0.00000_);_(* \(#,##0.00000\);_(* &quot;-&quot;??_);_(@_)"/>
    <numFmt numFmtId="180" formatCode="0.0"/>
    <numFmt numFmtId="181" formatCode="0.000%"/>
    <numFmt numFmtId="182" formatCode="0.000000%"/>
    <numFmt numFmtId="183" formatCode="0.00000%"/>
    <numFmt numFmtId="184" formatCode="_(* #,##0.0_);_(* \(#,##0.0\);_(* &quot;-&quot;??_);_(@_)"/>
    <numFmt numFmtId="185" formatCode="mm/dd/yy;@"/>
    <numFmt numFmtId="186" formatCode="&quot;$&quot;#,##0"/>
    <numFmt numFmtId="187" formatCode="_(* #,##0.000_);_(* \(#,##0.000\);_(* &quot;-&quot;??_);_(@_)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0" xfId="0" quotePrefix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quotePrefix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3" applyFont="1" applyFill="1"/>
    <xf numFmtId="17" fontId="4" fillId="0" borderId="0" xfId="0" applyNumberFormat="1" applyFont="1"/>
    <xf numFmtId="17" fontId="5" fillId="0" borderId="0" xfId="0" applyNumberFormat="1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8" fontId="0" fillId="0" borderId="0" xfId="3" applyNumberFormat="1" applyFont="1" applyFill="1" applyBorder="1"/>
    <xf numFmtId="167" fontId="8" fillId="0" borderId="0" xfId="2" applyNumberFormat="1" applyFont="1" applyFill="1"/>
    <xf numFmtId="167" fontId="0" fillId="0" borderId="0" xfId="2" applyNumberFormat="1" applyFont="1" applyFill="1"/>
    <xf numFmtId="0" fontId="7" fillId="0" borderId="0" xfId="0" applyFont="1" applyAlignment="1">
      <alignment horizontal="right"/>
    </xf>
    <xf numFmtId="167" fontId="8" fillId="0" borderId="0" xfId="0" applyNumberFormat="1" applyFont="1"/>
    <xf numFmtId="9" fontId="0" fillId="0" borderId="0" xfId="3" applyFont="1" applyFill="1" applyAlignment="1">
      <alignment horizontal="right"/>
    </xf>
    <xf numFmtId="0" fontId="4" fillId="0" borderId="0" xfId="0" applyFont="1" applyAlignment="1">
      <alignment horizontal="centerContinuous"/>
    </xf>
    <xf numFmtId="9" fontId="4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7" fillId="0" borderId="0" xfId="0" applyNumberFormat="1" applyFont="1"/>
    <xf numFmtId="175" fontId="4" fillId="0" borderId="0" xfId="1" applyNumberFormat="1" applyFont="1"/>
    <xf numFmtId="43" fontId="4" fillId="0" borderId="0" xfId="1" quotePrefix="1" applyFont="1" applyFill="1" applyBorder="1"/>
    <xf numFmtId="44" fontId="4" fillId="0" borderId="0" xfId="0" applyNumberFormat="1" applyFont="1"/>
    <xf numFmtId="177" fontId="7" fillId="0" borderId="0" xfId="1" applyNumberFormat="1" applyFont="1" applyFill="1"/>
    <xf numFmtId="0" fontId="4" fillId="0" borderId="0" xfId="0" applyFont="1" applyAlignment="1">
      <alignment horizontal="left"/>
    </xf>
    <xf numFmtId="168" fontId="0" fillId="0" borderId="0" xfId="3" applyNumberFormat="1" applyFont="1" applyFill="1"/>
    <xf numFmtId="181" fontId="0" fillId="0" borderId="0" xfId="3" applyNumberFormat="1" applyFont="1" applyFill="1"/>
    <xf numFmtId="181" fontId="0" fillId="0" borderId="0" xfId="3" quotePrefix="1" applyNumberFormat="1" applyFont="1" applyFill="1"/>
    <xf numFmtId="164" fontId="0" fillId="0" borderId="0" xfId="3" applyNumberFormat="1" applyFont="1" applyFill="1"/>
    <xf numFmtId="182" fontId="0" fillId="0" borderId="0" xfId="3" applyNumberFormat="1" applyFont="1" applyFill="1"/>
    <xf numFmtId="183" fontId="0" fillId="0" borderId="17" xfId="3" applyNumberFormat="1" applyFont="1" applyFill="1" applyBorder="1"/>
    <xf numFmtId="184" fontId="0" fillId="0" borderId="0" xfId="1" applyNumberFormat="1" applyFont="1" applyFill="1"/>
    <xf numFmtId="177" fontId="0" fillId="0" borderId="0" xfId="1" applyNumberFormat="1" applyFont="1" applyFill="1"/>
    <xf numFmtId="9" fontId="0" fillId="0" borderId="0" xfId="3" applyFont="1" applyFill="1"/>
    <xf numFmtId="0" fontId="2" fillId="0" borderId="0" xfId="0" quotePrefix="1" applyFont="1" applyAlignment="1">
      <alignment horizontal="center"/>
    </xf>
    <xf numFmtId="177" fontId="4" fillId="0" borderId="0" xfId="1" applyNumberFormat="1" applyFont="1" applyFill="1" applyAlignment="1">
      <alignment horizontal="center"/>
    </xf>
    <xf numFmtId="177" fontId="4" fillId="0" borderId="0" xfId="1" applyNumberFormat="1" applyFont="1" applyFill="1"/>
    <xf numFmtId="44" fontId="0" fillId="0" borderId="0" xfId="2" applyFont="1" applyFill="1"/>
    <xf numFmtId="0" fontId="15" fillId="0" borderId="0" xfId="0" applyFont="1"/>
    <xf numFmtId="175" fontId="4" fillId="0" borderId="0" xfId="1" applyNumberFormat="1" applyFont="1" applyFill="1"/>
    <xf numFmtId="10" fontId="0" fillId="0" borderId="0" xfId="3" applyNumberFormat="1" applyFont="1" applyFill="1"/>
    <xf numFmtId="0" fontId="4" fillId="2" borderId="0" xfId="0" applyFont="1" applyFill="1" applyAlignment="1">
      <alignment horizontal="center"/>
    </xf>
    <xf numFmtId="175" fontId="4" fillId="2" borderId="0" xfId="1" applyNumberFormat="1" applyFont="1" applyFill="1"/>
    <xf numFmtId="171" fontId="4" fillId="0" borderId="0" xfId="0" applyNumberFormat="1" applyFont="1"/>
    <xf numFmtId="164" fontId="0" fillId="0" borderId="0" xfId="3" applyNumberFormat="1" applyFont="1" applyFill="1" applyBorder="1"/>
    <xf numFmtId="164" fontId="4" fillId="0" borderId="0" xfId="3" applyNumberFormat="1" applyFont="1" applyFill="1" applyBorder="1" applyAlignment="1" applyProtection="1">
      <alignment horizontal="right"/>
    </xf>
    <xf numFmtId="9" fontId="0" fillId="0" borderId="0" xfId="3" applyFont="1" applyFill="1" applyBorder="1"/>
    <xf numFmtId="164" fontId="4" fillId="0" borderId="0" xfId="3" applyNumberFormat="1" applyFont="1" applyFill="1" applyBorder="1"/>
    <xf numFmtId="10" fontId="0" fillId="0" borderId="0" xfId="3" applyNumberFormat="1" applyFont="1" applyFill="1" applyBorder="1"/>
    <xf numFmtId="44" fontId="0" fillId="0" borderId="0" xfId="2" applyFont="1" applyFill="1" applyBorder="1"/>
    <xf numFmtId="10" fontId="4" fillId="0" borderId="0" xfId="3" applyNumberFormat="1" applyFont="1" applyFill="1"/>
    <xf numFmtId="10" fontId="4" fillId="0" borderId="0" xfId="3" applyNumberFormat="1" applyFont="1" applyFill="1" applyAlignment="1">
      <alignment horizontal="right"/>
    </xf>
    <xf numFmtId="186" fontId="4" fillId="0" borderId="17" xfId="0" applyNumberFormat="1" applyFont="1" applyBorder="1"/>
    <xf numFmtId="9" fontId="0" fillId="0" borderId="0" xfId="2" applyNumberFormat="1" applyFont="1" applyFill="1"/>
    <xf numFmtId="44" fontId="0" fillId="0" borderId="0" xfId="2" quotePrefix="1" applyFont="1" applyFill="1"/>
    <xf numFmtId="44" fontId="0" fillId="2" borderId="0" xfId="2" quotePrefix="1" applyFont="1" applyFill="1"/>
    <xf numFmtId="0" fontId="4" fillId="2" borderId="0" xfId="0" applyFont="1" applyFill="1"/>
    <xf numFmtId="0" fontId="5" fillId="2" borderId="0" xfId="0" applyFont="1" applyFill="1"/>
    <xf numFmtId="43" fontId="4" fillId="2" borderId="0" xfId="1" quotePrefix="1" applyFont="1" applyFill="1" applyBorder="1"/>
    <xf numFmtId="187" fontId="4" fillId="2" borderId="0" xfId="1" quotePrefix="1" applyNumberFormat="1" applyFont="1" applyFill="1" applyBorder="1"/>
    <xf numFmtId="187" fontId="4" fillId="0" borderId="0" xfId="1" quotePrefix="1" applyNumberFormat="1" applyFont="1" applyFill="1" applyBorder="1"/>
    <xf numFmtId="44" fontId="4" fillId="0" borderId="0" xfId="2" quotePrefix="1" applyFont="1" applyFill="1" applyBorder="1"/>
    <xf numFmtId="187" fontId="4" fillId="2" borderId="0" xfId="1" quotePrefix="1" applyNumberFormat="1" applyFont="1" applyFill="1"/>
    <xf numFmtId="0" fontId="4" fillId="0" borderId="0" xfId="4" applyFont="1" applyAlignment="1">
      <alignment horizontal="center" wrapText="1"/>
    </xf>
    <xf numFmtId="0" fontId="4" fillId="0" borderId="0" xfId="4" applyFont="1" applyAlignment="1">
      <alignment vertical="center" wrapText="1"/>
    </xf>
    <xf numFmtId="0" fontId="15" fillId="0" borderId="0" xfId="4" applyFont="1" applyAlignment="1">
      <alignment vertical="center" wrapText="1"/>
    </xf>
    <xf numFmtId="0" fontId="4" fillId="0" borderId="0" xfId="4" applyFont="1" applyAlignment="1">
      <alignment vertical="center"/>
    </xf>
    <xf numFmtId="0" fontId="4" fillId="0" borderId="0" xfId="4" applyFont="1" applyAlignment="1">
      <alignment vertical="top"/>
    </xf>
    <xf numFmtId="0" fontId="4" fillId="0" borderId="0" xfId="4" applyFont="1" applyAlignment="1">
      <alignment vertical="top" wrapText="1"/>
    </xf>
    <xf numFmtId="0" fontId="4" fillId="0" borderId="0" xfId="4" applyFont="1" applyAlignment="1">
      <alignment wrapText="1"/>
    </xf>
    <xf numFmtId="22" fontId="4" fillId="0" borderId="0" xfId="4" applyNumberFormat="1" applyFont="1" applyAlignment="1">
      <alignment horizontal="center"/>
    </xf>
    <xf numFmtId="22" fontId="4" fillId="0" borderId="21" xfId="4" applyNumberFormat="1" applyFont="1" applyBorder="1" applyAlignment="1">
      <alignment horizontal="center" wrapText="1"/>
    </xf>
    <xf numFmtId="22" fontId="5" fillId="0" borderId="21" xfId="4" applyNumberFormat="1" applyFont="1" applyBorder="1" applyAlignment="1">
      <alignment horizontal="center" wrapText="1"/>
    </xf>
    <xf numFmtId="22" fontId="5" fillId="0" borderId="22" xfId="4" applyNumberFormat="1" applyFont="1" applyBorder="1" applyAlignment="1">
      <alignment horizontal="center" wrapText="1"/>
    </xf>
    <xf numFmtId="0" fontId="4" fillId="0" borderId="0" xfId="4" applyFont="1"/>
    <xf numFmtId="0" fontId="7" fillId="0" borderId="0" xfId="4" applyFont="1" applyAlignment="1">
      <alignment horizontal="left"/>
    </xf>
    <xf numFmtId="7" fontId="7" fillId="0" borderId="19" xfId="2" applyNumberFormat="1" applyFont="1" applyFill="1" applyBorder="1"/>
    <xf numFmtId="0" fontId="7" fillId="0" borderId="0" xfId="4" applyFont="1" applyAlignment="1">
      <alignment horizontal="left" wrapText="1"/>
    </xf>
    <xf numFmtId="0" fontId="5" fillId="0" borderId="0" xfId="4" applyFont="1" applyAlignment="1">
      <alignment horizontal="left"/>
    </xf>
    <xf numFmtId="9" fontId="7" fillId="0" borderId="0" xfId="3" applyFont="1" applyAlignment="1">
      <alignment horizontal="left"/>
    </xf>
    <xf numFmtId="186" fontId="8" fillId="0" borderId="19" xfId="2" applyNumberFormat="1" applyFont="1" applyBorder="1"/>
    <xf numFmtId="172" fontId="4" fillId="0" borderId="0" xfId="2" applyNumberFormat="1" applyFont="1" applyFill="1"/>
    <xf numFmtId="7" fontId="7" fillId="8" borderId="19" xfId="2" applyNumberFormat="1" applyFont="1" applyFill="1" applyBorder="1"/>
    <xf numFmtId="168" fontId="4" fillId="3" borderId="0" xfId="0" applyNumberFormat="1" applyFont="1" applyFill="1"/>
    <xf numFmtId="0" fontId="0" fillId="0" borderId="0" xfId="0" applyAlignment="1">
      <alignment horizontal="left"/>
    </xf>
    <xf numFmtId="22" fontId="0" fillId="0" borderId="0" xfId="0" applyNumberFormat="1"/>
    <xf numFmtId="39" fontId="0" fillId="0" borderId="0" xfId="0" quotePrefix="1" applyNumberFormat="1"/>
    <xf numFmtId="17" fontId="0" fillId="0" borderId="0" xfId="0" applyNumberFormat="1"/>
    <xf numFmtId="164" fontId="0" fillId="0" borderId="0" xfId="3" quotePrefix="1" applyNumberFormat="1" applyFont="1" applyFill="1"/>
    <xf numFmtId="9" fontId="0" fillId="0" borderId="0" xfId="3" quotePrefix="1" applyFont="1" applyFill="1"/>
    <xf numFmtId="17" fontId="0" fillId="0" borderId="9" xfId="0" applyNumberFormat="1" applyBorder="1"/>
    <xf numFmtId="164" fontId="0" fillId="0" borderId="10" xfId="3" applyNumberFormat="1" applyFont="1" applyFill="1" applyBorder="1"/>
    <xf numFmtId="10" fontId="0" fillId="0" borderId="10" xfId="3" applyNumberFormat="1" applyFont="1" applyFill="1" applyBorder="1"/>
    <xf numFmtId="10" fontId="0" fillId="0" borderId="11" xfId="3" applyNumberFormat="1" applyFont="1" applyFill="1" applyBorder="1"/>
    <xf numFmtId="17" fontId="0" fillId="0" borderId="12" xfId="0" applyNumberFormat="1" applyBorder="1"/>
    <xf numFmtId="10" fontId="0" fillId="0" borderId="13" xfId="3" applyNumberFormat="1" applyFont="1" applyFill="1" applyBorder="1"/>
    <xf numFmtId="17" fontId="0" fillId="0" borderId="14" xfId="0" applyNumberFormat="1" applyBorder="1"/>
    <xf numFmtId="164" fontId="0" fillId="0" borderId="15" xfId="3" applyNumberFormat="1" applyFont="1" applyFill="1" applyBorder="1"/>
    <xf numFmtId="10" fontId="0" fillId="0" borderId="15" xfId="3" applyNumberFormat="1" applyFont="1" applyFill="1" applyBorder="1"/>
    <xf numFmtId="10" fontId="0" fillId="0" borderId="16" xfId="3" applyNumberFormat="1" applyFont="1" applyFill="1" applyBorder="1"/>
    <xf numFmtId="9" fontId="0" fillId="0" borderId="0" xfId="3" quotePrefix="1" applyFont="1" applyFill="1" applyAlignment="1">
      <alignment horizontal="center"/>
    </xf>
    <xf numFmtId="10" fontId="0" fillId="0" borderId="0" xfId="3" quotePrefix="1" applyNumberFormat="1" applyFont="1" applyFill="1" applyAlignment="1">
      <alignment horizontal="center"/>
    </xf>
    <xf numFmtId="17" fontId="0" fillId="0" borderId="0" xfId="0" quotePrefix="1" applyNumberFormat="1"/>
    <xf numFmtId="9" fontId="4" fillId="0" borderId="0" xfId="3" quotePrefix="1" applyFont="1" applyFill="1"/>
    <xf numFmtId="9" fontId="4" fillId="0" borderId="0" xfId="3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0" fillId="0" borderId="0" xfId="0" applyNumberFormat="1"/>
    <xf numFmtId="0" fontId="0" fillId="0" borderId="4" xfId="0" applyBorder="1" applyAlignment="1">
      <alignment horizontal="right"/>
    </xf>
    <xf numFmtId="3" fontId="0" fillId="0" borderId="0" xfId="0" quotePrefix="1" applyNumberFormat="1"/>
    <xf numFmtId="3" fontId="0" fillId="0" borderId="5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17" fontId="0" fillId="0" borderId="0" xfId="0" applyNumberFormat="1" applyAlignment="1">
      <alignment horizontal="center"/>
    </xf>
    <xf numFmtId="37" fontId="0" fillId="0" borderId="0" xfId="0" applyNumberFormat="1"/>
    <xf numFmtId="0" fontId="0" fillId="0" borderId="6" xfId="0" applyBorder="1" applyAlignment="1">
      <alignment horizontal="right"/>
    </xf>
    <xf numFmtId="3" fontId="0" fillId="0" borderId="7" xfId="0" quotePrefix="1" applyNumberFormat="1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center"/>
    </xf>
    <xf numFmtId="4" fontId="0" fillId="0" borderId="0" xfId="0" applyNumberFormat="1"/>
    <xf numFmtId="166" fontId="0" fillId="0" borderId="0" xfId="0" applyNumberFormat="1"/>
    <xf numFmtId="167" fontId="0" fillId="0" borderId="0" xfId="2" applyNumberFormat="1" applyFont="1" applyFill="1" applyBorder="1"/>
    <xf numFmtId="4" fontId="0" fillId="0" borderId="10" xfId="0" applyNumberFormat="1" applyBorder="1"/>
    <xf numFmtId="166" fontId="0" fillId="0" borderId="10" xfId="0" applyNumberFormat="1" applyBorder="1"/>
    <xf numFmtId="166" fontId="0" fillId="0" borderId="11" xfId="0" applyNumberFormat="1" applyBorder="1"/>
    <xf numFmtId="9" fontId="0" fillId="0" borderId="9" xfId="3" applyFont="1" applyFill="1" applyBorder="1"/>
    <xf numFmtId="9" fontId="0" fillId="0" borderId="11" xfId="3" applyFont="1" applyFill="1" applyBorder="1"/>
    <xf numFmtId="167" fontId="0" fillId="0" borderId="0" xfId="0" applyNumberFormat="1"/>
    <xf numFmtId="166" fontId="0" fillId="0" borderId="13" xfId="0" applyNumberFormat="1" applyBorder="1"/>
    <xf numFmtId="9" fontId="0" fillId="0" borderId="12" xfId="3" applyFont="1" applyFill="1" applyBorder="1"/>
    <xf numFmtId="9" fontId="0" fillId="0" borderId="13" xfId="3" applyFont="1" applyFill="1" applyBorder="1"/>
    <xf numFmtId="4" fontId="0" fillId="0" borderId="15" xfId="0" applyNumberFormat="1" applyBorder="1"/>
    <xf numFmtId="166" fontId="0" fillId="0" borderId="15" xfId="0" applyNumberFormat="1" applyBorder="1"/>
    <xf numFmtId="166" fontId="0" fillId="0" borderId="16" xfId="0" applyNumberFormat="1" applyBorder="1"/>
    <xf numFmtId="9" fontId="0" fillId="0" borderId="14" xfId="3" applyFont="1" applyFill="1" applyBorder="1"/>
    <xf numFmtId="9" fontId="0" fillId="0" borderId="16" xfId="3" applyFont="1" applyFill="1" applyBorder="1"/>
    <xf numFmtId="167" fontId="0" fillId="0" borderId="7" xfId="2" applyNumberFormat="1" applyFont="1" applyFill="1" applyBorder="1"/>
    <xf numFmtId="168" fontId="0" fillId="0" borderId="0" xfId="0" applyNumberFormat="1"/>
    <xf numFmtId="165" fontId="0" fillId="0" borderId="0" xfId="0" applyNumberFormat="1"/>
    <xf numFmtId="10" fontId="0" fillId="0" borderId="0" xfId="0" applyNumberFormat="1"/>
    <xf numFmtId="168" fontId="0" fillId="4" borderId="0" xfId="0" applyNumberFormat="1" applyFill="1"/>
    <xf numFmtId="169" fontId="0" fillId="0" borderId="0" xfId="2" quotePrefix="1" applyNumberFormat="1" applyFont="1" applyFill="1"/>
    <xf numFmtId="167" fontId="0" fillId="0" borderId="0" xfId="2" quotePrefix="1" applyNumberFormat="1" applyFont="1" applyFill="1"/>
    <xf numFmtId="17" fontId="0" fillId="0" borderId="0" xfId="0" applyNumberFormat="1" applyAlignment="1">
      <alignment horizontal="right"/>
    </xf>
    <xf numFmtId="169" fontId="0" fillId="0" borderId="0" xfId="2" applyNumberFormat="1" applyFont="1" applyFill="1"/>
    <xf numFmtId="44" fontId="0" fillId="0" borderId="0" xfId="2" quotePrefix="1" applyFont="1" applyFill="1" applyBorder="1"/>
    <xf numFmtId="167" fontId="0" fillId="0" borderId="0" xfId="2" quotePrefix="1" applyNumberFormat="1" applyFont="1" applyFill="1" applyBorder="1"/>
    <xf numFmtId="3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quotePrefix="1"/>
    <xf numFmtId="0" fontId="0" fillId="0" borderId="0" xfId="0" quotePrefix="1" applyAlignment="1">
      <alignment horizontal="center"/>
    </xf>
    <xf numFmtId="0" fontId="0" fillId="0" borderId="0" xfId="0" applyAlignment="1">
      <alignment horizontal="centerContinuous"/>
    </xf>
    <xf numFmtId="171" fontId="0" fillId="0" borderId="0" xfId="0" applyNumberFormat="1"/>
    <xf numFmtId="8" fontId="0" fillId="0" borderId="0" xfId="0" applyNumberFormat="1" applyAlignment="1">
      <alignment horizontal="right"/>
    </xf>
    <xf numFmtId="172" fontId="7" fillId="0" borderId="0" xfId="0" applyNumberFormat="1" applyFont="1" applyAlignment="1">
      <alignment horizontal="right"/>
    </xf>
    <xf numFmtId="8" fontId="0" fillId="0" borderId="0" xfId="2" applyNumberFormat="1" applyFont="1" applyFill="1" applyAlignment="1">
      <alignment horizontal="right"/>
    </xf>
    <xf numFmtId="178" fontId="0" fillId="0" borderId="0" xfId="0" applyNumberFormat="1"/>
    <xf numFmtId="3" fontId="0" fillId="0" borderId="0" xfId="2" quotePrefix="1" applyNumberFormat="1" applyFont="1" applyFill="1"/>
    <xf numFmtId="173" fontId="0" fillId="0" borderId="0" xfId="2" quotePrefix="1" applyNumberFormat="1" applyFont="1" applyFill="1"/>
    <xf numFmtId="167" fontId="0" fillId="0" borderId="0" xfId="2" applyNumberFormat="1" applyFont="1"/>
    <xf numFmtId="167" fontId="0" fillId="0" borderId="0" xfId="3" applyNumberFormat="1" applyFont="1"/>
    <xf numFmtId="9" fontId="0" fillId="0" borderId="0" xfId="3" applyFont="1"/>
    <xf numFmtId="44" fontId="0" fillId="0" borderId="0" xfId="2" applyFont="1" applyFill="1" applyAlignment="1">
      <alignment horizontal="center"/>
    </xf>
    <xf numFmtId="174" fontId="0" fillId="0" borderId="0" xfId="0" applyNumberFormat="1"/>
    <xf numFmtId="175" fontId="0" fillId="0" borderId="0" xfId="1" applyNumberFormat="1" applyFont="1"/>
    <xf numFmtId="44" fontId="0" fillId="0" borderId="0" xfId="2" applyFont="1"/>
    <xf numFmtId="2" fontId="0" fillId="0" borderId="0" xfId="0" applyNumberFormat="1"/>
    <xf numFmtId="176" fontId="0" fillId="0" borderId="0" xfId="1" applyNumberFormat="1" applyFont="1"/>
    <xf numFmtId="179" fontId="0" fillId="0" borderId="0" xfId="1" applyNumberFormat="1" applyFont="1"/>
    <xf numFmtId="44" fontId="0" fillId="0" borderId="0" xfId="0" applyNumberFormat="1"/>
    <xf numFmtId="43" fontId="0" fillId="0" borderId="0" xfId="1" quotePrefix="1" applyFont="1" applyFill="1" applyBorder="1"/>
    <xf numFmtId="43" fontId="0" fillId="0" borderId="0" xfId="1" applyFont="1" applyFill="1"/>
    <xf numFmtId="43" fontId="0" fillId="0" borderId="0" xfId="1" quotePrefix="1" applyFont="1" applyFill="1"/>
    <xf numFmtId="43" fontId="0" fillId="0" borderId="0" xfId="1" applyFont="1" applyFill="1" applyAlignment="1">
      <alignment horizontal="left"/>
    </xf>
    <xf numFmtId="1" fontId="0" fillId="0" borderId="0" xfId="0" applyNumberFormat="1"/>
    <xf numFmtId="43" fontId="0" fillId="0" borderId="0" xfId="1" quotePrefix="1" applyFont="1"/>
    <xf numFmtId="0" fontId="0" fillId="2" borderId="0" xfId="0" applyFill="1"/>
    <xf numFmtId="0" fontId="0" fillId="0" borderId="0" xfId="0" quotePrefix="1" applyAlignment="1">
      <alignment wrapText="1"/>
    </xf>
    <xf numFmtId="8" fontId="0" fillId="0" borderId="0" xfId="0" applyNumberFormat="1"/>
    <xf numFmtId="172" fontId="7" fillId="0" borderId="0" xfId="0" applyNumberFormat="1" applyFont="1"/>
    <xf numFmtId="8" fontId="0" fillId="0" borderId="0" xfId="2" applyNumberFormat="1" applyFont="1" applyFill="1"/>
    <xf numFmtId="10" fontId="0" fillId="0" borderId="0" xfId="3" quotePrefix="1" applyNumberFormat="1" applyFont="1" applyFill="1" applyAlignment="1">
      <alignment horizontal="right"/>
    </xf>
    <xf numFmtId="9" fontId="0" fillId="0" borderId="10" xfId="3" quotePrefix="1" applyFont="1" applyFill="1" applyBorder="1" applyAlignment="1">
      <alignment horizontal="center"/>
    </xf>
    <xf numFmtId="10" fontId="0" fillId="0" borderId="10" xfId="3" quotePrefix="1" applyNumberFormat="1" applyFont="1" applyFill="1" applyBorder="1" applyAlignment="1">
      <alignment horizontal="center"/>
    </xf>
    <xf numFmtId="10" fontId="0" fillId="0" borderId="10" xfId="3" quotePrefix="1" applyNumberFormat="1" applyFont="1" applyFill="1" applyBorder="1" applyAlignment="1">
      <alignment horizontal="right"/>
    </xf>
    <xf numFmtId="9" fontId="0" fillId="0" borderId="11" xfId="3" quotePrefix="1" applyFont="1" applyFill="1" applyBorder="1" applyAlignment="1">
      <alignment horizontal="center"/>
    </xf>
    <xf numFmtId="9" fontId="0" fillId="0" borderId="0" xfId="3" quotePrefix="1" applyFont="1" applyFill="1" applyBorder="1" applyAlignment="1">
      <alignment horizontal="center"/>
    </xf>
    <xf numFmtId="10" fontId="0" fillId="0" borderId="0" xfId="3" quotePrefix="1" applyNumberFormat="1" applyFont="1" applyFill="1" applyBorder="1" applyAlignment="1">
      <alignment horizontal="center"/>
    </xf>
    <xf numFmtId="10" fontId="0" fillId="0" borderId="0" xfId="3" quotePrefix="1" applyNumberFormat="1" applyFont="1" applyFill="1" applyBorder="1" applyAlignment="1">
      <alignment horizontal="right"/>
    </xf>
    <xf numFmtId="9" fontId="0" fillId="0" borderId="13" xfId="3" quotePrefix="1" applyFont="1" applyFill="1" applyBorder="1" applyAlignment="1">
      <alignment horizontal="center"/>
    </xf>
    <xf numFmtId="9" fontId="0" fillId="0" borderId="15" xfId="3" quotePrefix="1" applyFont="1" applyFill="1" applyBorder="1" applyAlignment="1">
      <alignment horizontal="center"/>
    </xf>
    <xf numFmtId="10" fontId="0" fillId="0" borderId="15" xfId="3" quotePrefix="1" applyNumberFormat="1" applyFont="1" applyFill="1" applyBorder="1" applyAlignment="1">
      <alignment horizontal="center"/>
    </xf>
    <xf numFmtId="10" fontId="0" fillId="0" borderId="15" xfId="3" quotePrefix="1" applyNumberFormat="1" applyFont="1" applyFill="1" applyBorder="1" applyAlignment="1">
      <alignment horizontal="right"/>
    </xf>
    <xf numFmtId="9" fontId="0" fillId="0" borderId="16" xfId="3" quotePrefix="1" applyFont="1" applyFill="1" applyBorder="1" applyAlignment="1">
      <alignment horizontal="center"/>
    </xf>
    <xf numFmtId="9" fontId="4" fillId="5" borderId="0" xfId="3" applyFont="1" applyFill="1" applyAlignment="1">
      <alignment horizontal="right"/>
    </xf>
    <xf numFmtId="9" fontId="4" fillId="3" borderId="0" xfId="3" applyFont="1" applyFill="1"/>
    <xf numFmtId="3" fontId="0" fillId="3" borderId="0" xfId="0" applyNumberFormat="1" applyFill="1" applyAlignment="1">
      <alignment horizontal="center"/>
    </xf>
    <xf numFmtId="3" fontId="0" fillId="3" borderId="0" xfId="0" applyNumberFormat="1" applyFill="1"/>
    <xf numFmtId="3" fontId="0" fillId="5" borderId="0" xfId="0" applyNumberFormat="1" applyFill="1"/>
    <xf numFmtId="3" fontId="0" fillId="0" borderId="15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8" xfId="0" applyNumberFormat="1" applyBorder="1"/>
    <xf numFmtId="3" fontId="0" fillId="3" borderId="10" xfId="0" applyNumberFormat="1" applyFill="1" applyBorder="1"/>
    <xf numFmtId="3" fontId="0" fillId="5" borderId="10" xfId="0" applyNumberFormat="1" applyFill="1" applyBorder="1"/>
    <xf numFmtId="0" fontId="0" fillId="0" borderId="10" xfId="0" applyBorder="1"/>
    <xf numFmtId="3" fontId="0" fillId="0" borderId="13" xfId="0" applyNumberFormat="1" applyBorder="1"/>
    <xf numFmtId="3" fontId="0" fillId="0" borderId="19" xfId="0" applyNumberFormat="1" applyBorder="1"/>
    <xf numFmtId="3" fontId="0" fillId="0" borderId="16" xfId="0" applyNumberFormat="1" applyBorder="1"/>
    <xf numFmtId="3" fontId="0" fillId="0" borderId="20" xfId="0" applyNumberFormat="1" applyBorder="1"/>
    <xf numFmtId="3" fontId="0" fillId="0" borderId="2" xfId="0" applyNumberFormat="1" applyBorder="1"/>
    <xf numFmtId="3" fontId="0" fillId="3" borderId="15" xfId="0" applyNumberFormat="1" applyFill="1" applyBorder="1"/>
    <xf numFmtId="3" fontId="0" fillId="5" borderId="15" xfId="0" applyNumberFormat="1" applyFill="1" applyBorder="1"/>
    <xf numFmtId="0" fontId="0" fillId="0" borderId="15" xfId="0" quotePrefix="1" applyBorder="1"/>
    <xf numFmtId="0" fontId="0" fillId="0" borderId="15" xfId="0" applyBorder="1"/>
    <xf numFmtId="3" fontId="7" fillId="3" borderId="0" xfId="0" applyNumberFormat="1" applyFont="1" applyFill="1"/>
    <xf numFmtId="3" fontId="7" fillId="5" borderId="0" xfId="0" applyNumberFormat="1" applyFont="1" applyFill="1"/>
    <xf numFmtId="180" fontId="0" fillId="0" borderId="0" xfId="0" applyNumberFormat="1"/>
    <xf numFmtId="4" fontId="0" fillId="0" borderId="9" xfId="0" applyNumberFormat="1" applyBorder="1"/>
    <xf numFmtId="171" fontId="0" fillId="0" borderId="10" xfId="0" applyNumberFormat="1" applyBorder="1"/>
    <xf numFmtId="4" fontId="0" fillId="0" borderId="12" xfId="0" applyNumberFormat="1" applyBorder="1"/>
    <xf numFmtId="4" fontId="0" fillId="0" borderId="14" xfId="0" applyNumberFormat="1" applyBorder="1"/>
    <xf numFmtId="171" fontId="0" fillId="0" borderId="15" xfId="0" applyNumberFormat="1" applyBorder="1"/>
    <xf numFmtId="3" fontId="0" fillId="6" borderId="0" xfId="0" applyNumberFormat="1" applyFill="1"/>
    <xf numFmtId="165" fontId="0" fillId="0" borderId="0" xfId="0" applyNumberFormat="1" applyAlignment="1">
      <alignment horizontal="right"/>
    </xf>
    <xf numFmtId="10" fontId="0" fillId="4" borderId="0" xfId="0" applyNumberFormat="1" applyFill="1"/>
    <xf numFmtId="168" fontId="16" fillId="3" borderId="0" xfId="4" applyNumberFormat="1" applyFont="1" applyFill="1" applyAlignment="1">
      <alignment vertical="center"/>
    </xf>
    <xf numFmtId="185" fontId="0" fillId="0" borderId="0" xfId="0" applyNumberFormat="1"/>
    <xf numFmtId="14" fontId="0" fillId="0" borderId="0" xfId="0" applyNumberFormat="1"/>
    <xf numFmtId="9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77" fontId="0" fillId="0" borderId="0" xfId="1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44" fontId="0" fillId="2" borderId="0" xfId="2" quotePrefix="1" applyFont="1" applyFill="1" applyAlignment="1">
      <alignment horizontal="left"/>
    </xf>
    <xf numFmtId="0" fontId="0" fillId="2" borderId="0" xfId="0" applyFill="1" applyAlignment="1">
      <alignment horizontal="center"/>
    </xf>
    <xf numFmtId="44" fontId="0" fillId="2" borderId="0" xfId="2" applyFont="1" applyFill="1"/>
    <xf numFmtId="1" fontId="15" fillId="0" borderId="0" xfId="3" applyNumberFormat="1" applyFont="1" applyFill="1" applyAlignment="1">
      <alignment horizontal="center"/>
    </xf>
    <xf numFmtId="10" fontId="15" fillId="0" borderId="0" xfId="3" applyNumberFormat="1" applyFont="1" applyFill="1" applyAlignment="1">
      <alignment horizontal="center"/>
    </xf>
    <xf numFmtId="17" fontId="0" fillId="0" borderId="0" xfId="0" applyNumberFormat="1" applyAlignment="1">
      <alignment horizontal="left"/>
    </xf>
    <xf numFmtId="177" fontId="0" fillId="0" borderId="0" xfId="1" applyNumberFormat="1" applyFont="1" applyFill="1" applyBorder="1"/>
    <xf numFmtId="177" fontId="0" fillId="0" borderId="0" xfId="0" applyNumberFormat="1"/>
    <xf numFmtId="186" fontId="0" fillId="0" borderId="0" xfId="0" applyNumberFormat="1" applyAlignment="1">
      <alignment horizontal="center"/>
    </xf>
    <xf numFmtId="186" fontId="0" fillId="0" borderId="0" xfId="0" applyNumberFormat="1"/>
    <xf numFmtId="172" fontId="0" fillId="0" borderId="0" xfId="0" applyNumberFormat="1"/>
    <xf numFmtId="164" fontId="0" fillId="0" borderId="0" xfId="0" applyNumberFormat="1"/>
    <xf numFmtId="186" fontId="4" fillId="0" borderId="0" xfId="0" applyNumberFormat="1" applyFont="1"/>
    <xf numFmtId="43" fontId="0" fillId="0" borderId="0" xfId="0" applyNumberFormat="1"/>
    <xf numFmtId="10" fontId="0" fillId="0" borderId="0" xfId="3" quotePrefix="1" applyNumberFormat="1" applyFont="1" applyFill="1"/>
    <xf numFmtId="171" fontId="0" fillId="0" borderId="0" xfId="0" applyNumberFormat="1" applyAlignment="1">
      <alignment horizontal="right"/>
    </xf>
    <xf numFmtId="171" fontId="0" fillId="0" borderId="0" xfId="2" quotePrefix="1" applyNumberFormat="1" applyFont="1" applyFill="1" applyBorder="1"/>
    <xf numFmtId="0" fontId="0" fillId="2" borderId="0" xfId="0" applyFill="1" applyAlignment="1">
      <alignment horizontal="right"/>
    </xf>
    <xf numFmtId="17" fontId="0" fillId="2" borderId="0" xfId="0" applyNumberFormat="1" applyFill="1"/>
    <xf numFmtId="17" fontId="0" fillId="2" borderId="0" xfId="0" applyNumberFormat="1" applyFill="1" applyAlignment="1">
      <alignment horizontal="right"/>
    </xf>
    <xf numFmtId="43" fontId="0" fillId="2" borderId="0" xfId="1" quotePrefix="1" applyFont="1" applyFill="1" applyBorder="1"/>
    <xf numFmtId="187" fontId="0" fillId="2" borderId="0" xfId="1" quotePrefix="1" applyNumberFormat="1" applyFont="1" applyFill="1" applyBorder="1"/>
    <xf numFmtId="187" fontId="0" fillId="0" borderId="0" xfId="1" quotePrefix="1" applyNumberFormat="1" applyFont="1" applyFill="1" applyBorder="1"/>
    <xf numFmtId="187" fontId="0" fillId="0" borderId="0" xfId="0" applyNumberFormat="1" applyAlignment="1">
      <alignment horizontal="right"/>
    </xf>
    <xf numFmtId="43" fontId="0" fillId="2" borderId="0" xfId="1" quotePrefix="1" applyFont="1" applyFill="1"/>
    <xf numFmtId="187" fontId="0" fillId="2" borderId="0" xfId="1" quotePrefix="1" applyNumberFormat="1" applyFont="1" applyFill="1"/>
    <xf numFmtId="174" fontId="0" fillId="7" borderId="0" xfId="0" applyNumberFormat="1" applyFill="1"/>
    <xf numFmtId="7" fontId="0" fillId="0" borderId="0" xfId="0" applyNumberFormat="1"/>
    <xf numFmtId="187" fontId="0" fillId="0" borderId="0" xfId="1" quotePrefix="1" applyNumberFormat="1" applyFont="1" applyFill="1"/>
    <xf numFmtId="187" fontId="4" fillId="0" borderId="0" xfId="1" quotePrefix="1" applyNumberFormat="1" applyFont="1" applyFill="1"/>
    <xf numFmtId="0" fontId="0" fillId="0" borderId="0" xfId="4" applyFont="1"/>
    <xf numFmtId="0" fontId="0" fillId="0" borderId="0" xfId="4" applyFont="1" applyAlignment="1">
      <alignment horizontal="center" wrapText="1"/>
    </xf>
    <xf numFmtId="0" fontId="0" fillId="0" borderId="0" xfId="4" applyFont="1" applyAlignment="1">
      <alignment vertical="top"/>
    </xf>
    <xf numFmtId="172" fontId="0" fillId="0" borderId="0" xfId="4" applyNumberFormat="1" applyFont="1" applyAlignment="1">
      <alignment horizontal="center" vertical="top"/>
    </xf>
    <xf numFmtId="0" fontId="0" fillId="0" borderId="0" xfId="0" quotePrefix="1" applyAlignment="1">
      <alignment vertical="top"/>
    </xf>
    <xf numFmtId="0" fontId="0" fillId="0" borderId="0" xfId="0" quotePrefix="1" applyAlignment="1">
      <alignment vertical="top" wrapText="1"/>
    </xf>
    <xf numFmtId="172" fontId="7" fillId="0" borderId="0" xfId="4" applyNumberFormat="1" applyFont="1" applyAlignment="1">
      <alignment horizontal="center" vertical="top"/>
    </xf>
    <xf numFmtId="0" fontId="0" fillId="0" borderId="0" xfId="0" quotePrefix="1" applyAlignment="1">
      <alignment horizontal="left" vertical="top"/>
    </xf>
    <xf numFmtId="0" fontId="0" fillId="0" borderId="0" xfId="4" applyFont="1" applyAlignment="1">
      <alignment horizontal="right"/>
    </xf>
    <xf numFmtId="170" fontId="0" fillId="0" borderId="0" xfId="4" applyNumberFormat="1" applyFont="1" applyAlignment="1">
      <alignment horizontal="center" vertical="top"/>
    </xf>
    <xf numFmtId="3" fontId="0" fillId="0" borderId="0" xfId="4" applyNumberFormat="1" applyFont="1" applyAlignment="1">
      <alignment horizontal="center" vertical="top"/>
    </xf>
    <xf numFmtId="0" fontId="0" fillId="0" borderId="0" xfId="4" applyFont="1" applyAlignment="1">
      <alignment horizontal="left" vertical="top"/>
    </xf>
    <xf numFmtId="0" fontId="7" fillId="0" borderId="0" xfId="4" applyFont="1"/>
    <xf numFmtId="186" fontId="0" fillId="0" borderId="0" xfId="4" applyNumberFormat="1" applyFont="1" applyAlignment="1">
      <alignment horizontal="center" vertical="top"/>
    </xf>
    <xf numFmtId="0" fontId="0" fillId="0" borderId="0" xfId="4" quotePrefix="1" applyFont="1" applyAlignment="1">
      <alignment horizontal="left" vertical="top"/>
    </xf>
    <xf numFmtId="1" fontId="0" fillId="0" borderId="0" xfId="4" applyNumberFormat="1" applyFont="1" applyAlignment="1">
      <alignment horizontal="center" vertical="top"/>
    </xf>
    <xf numFmtId="2" fontId="0" fillId="0" borderId="0" xfId="4" applyNumberFormat="1" applyFont="1" applyAlignment="1">
      <alignment horizontal="right"/>
    </xf>
    <xf numFmtId="8" fontId="0" fillId="0" borderId="0" xfId="4" applyNumberFormat="1" applyFont="1"/>
    <xf numFmtId="164" fontId="0" fillId="0" borderId="0" xfId="3" applyNumberFormat="1" applyFont="1" applyAlignment="1">
      <alignment horizontal="center" vertical="top"/>
    </xf>
    <xf numFmtId="0" fontId="0" fillId="0" borderId="0" xfId="4" applyFont="1" applyAlignment="1">
      <alignment vertical="center"/>
    </xf>
    <xf numFmtId="37" fontId="0" fillId="0" borderId="0" xfId="1" applyNumberFormat="1" applyFont="1" applyAlignment="1">
      <alignment horizontal="center" vertical="top"/>
    </xf>
    <xf numFmtId="172" fontId="0" fillId="0" borderId="0" xfId="4" applyNumberFormat="1" applyFont="1" applyAlignment="1">
      <alignment horizontal="center" vertical="top" wrapText="1"/>
    </xf>
    <xf numFmtId="172" fontId="0" fillId="0" borderId="0" xfId="4" applyNumberFormat="1" applyFont="1" applyAlignment="1">
      <alignment vertical="top" wrapText="1"/>
    </xf>
    <xf numFmtId="0" fontId="0" fillId="0" borderId="0" xfId="4" applyFont="1" applyAlignment="1">
      <alignment vertical="top" wrapText="1"/>
    </xf>
    <xf numFmtId="22" fontId="0" fillId="0" borderId="0" xfId="4" applyNumberFormat="1" applyFont="1"/>
    <xf numFmtId="0" fontId="0" fillId="0" borderId="0" xfId="4" quotePrefix="1" applyFont="1"/>
    <xf numFmtId="0" fontId="0" fillId="0" borderId="21" xfId="4" applyFont="1" applyBorder="1" applyAlignment="1">
      <alignment horizontal="center" wrapText="1"/>
    </xf>
    <xf numFmtId="0" fontId="0" fillId="0" borderId="22" xfId="4" applyFont="1" applyBorder="1" applyAlignment="1">
      <alignment horizontal="center" wrapText="1"/>
    </xf>
    <xf numFmtId="0" fontId="0" fillId="0" borderId="18" xfId="4" quotePrefix="1" applyFont="1" applyBorder="1" applyAlignment="1">
      <alignment horizontal="center"/>
    </xf>
    <xf numFmtId="0" fontId="0" fillId="0" borderId="13" xfId="4" quotePrefix="1" applyFont="1" applyBorder="1" applyAlignment="1">
      <alignment horizontal="center"/>
    </xf>
    <xf numFmtId="0" fontId="0" fillId="0" borderId="0" xfId="4" applyFont="1" applyAlignment="1">
      <alignment horizontal="left"/>
    </xf>
    <xf numFmtId="7" fontId="0" fillId="0" borderId="19" xfId="2" applyNumberFormat="1" applyFont="1" applyFill="1" applyBorder="1"/>
    <xf numFmtId="7" fontId="0" fillId="0" borderId="19" xfId="4" applyNumberFormat="1" applyFont="1" applyBorder="1"/>
    <xf numFmtId="44" fontId="0" fillId="0" borderId="13" xfId="2" applyFont="1" applyFill="1" applyBorder="1"/>
    <xf numFmtId="44" fontId="0" fillId="0" borderId="0" xfId="4" applyNumberFormat="1" applyFont="1"/>
    <xf numFmtId="172" fontId="7" fillId="8" borderId="19" xfId="4" applyNumberFormat="1" applyFont="1" applyFill="1" applyBorder="1"/>
    <xf numFmtId="1" fontId="0" fillId="0" borderId="19" xfId="3" applyNumberFormat="1" applyFont="1" applyFill="1" applyBorder="1"/>
    <xf numFmtId="10" fontId="0" fillId="0" borderId="13" xfId="4" applyNumberFormat="1" applyFont="1" applyBorder="1"/>
    <xf numFmtId="10" fontId="0" fillId="0" borderId="13" xfId="3" applyNumberFormat="1" applyFont="1" applyBorder="1"/>
    <xf numFmtId="10" fontId="0" fillId="0" borderId="19" xfId="3" applyNumberFormat="1" applyFont="1" applyBorder="1"/>
    <xf numFmtId="0" fontId="0" fillId="0" borderId="19" xfId="4" applyFont="1" applyBorder="1"/>
    <xf numFmtId="0" fontId="0" fillId="0" borderId="13" xfId="4" applyFont="1" applyBorder="1"/>
    <xf numFmtId="9" fontId="0" fillId="0" borderId="0" xfId="3" applyFont="1" applyAlignment="1">
      <alignment horizontal="left"/>
    </xf>
    <xf numFmtId="171" fontId="0" fillId="0" borderId="19" xfId="4" applyNumberFormat="1" applyFont="1" applyBorder="1"/>
    <xf numFmtId="171" fontId="0" fillId="0" borderId="13" xfId="4" applyNumberFormat="1" applyFont="1" applyBorder="1"/>
    <xf numFmtId="3" fontId="0" fillId="0" borderId="19" xfId="4" applyNumberFormat="1" applyFont="1" applyBorder="1"/>
    <xf numFmtId="186" fontId="0" fillId="0" borderId="19" xfId="2" applyNumberFormat="1" applyFont="1" applyBorder="1"/>
    <xf numFmtId="186" fontId="0" fillId="0" borderId="20" xfId="4" applyNumberFormat="1" applyFont="1" applyBorder="1"/>
    <xf numFmtId="186" fontId="0" fillId="0" borderId="16" xfId="4" applyNumberFormat="1" applyFont="1" applyBorder="1"/>
    <xf numFmtId="186" fontId="0" fillId="0" borderId="0" xfId="4" applyNumberFormat="1" applyFont="1"/>
    <xf numFmtId="0" fontId="0" fillId="0" borderId="0" xfId="4" applyFont="1" applyAlignment="1">
      <alignment wrapText="1"/>
    </xf>
    <xf numFmtId="0" fontId="0" fillId="0" borderId="0" xfId="4" quotePrefix="1" applyFont="1" applyAlignment="1">
      <alignment vertical="top" wrapText="1"/>
    </xf>
    <xf numFmtId="172" fontId="0" fillId="0" borderId="0" xfId="4" applyNumberFormat="1" applyFont="1" applyAlignment="1">
      <alignment horizontal="center" vertical="center"/>
    </xf>
    <xf numFmtId="172" fontId="7" fillId="0" borderId="0" xfId="4" applyNumberFormat="1" applyFont="1" applyAlignment="1">
      <alignment horizontal="center" vertical="center"/>
    </xf>
    <xf numFmtId="172" fontId="4" fillId="0" borderId="0" xfId="2" applyNumberFormat="1" applyFont="1" applyFill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22" fontId="2" fillId="0" borderId="0" xfId="4" applyNumberFormat="1" applyFont="1" applyAlignment="1">
      <alignment horizontal="center"/>
    </xf>
    <xf numFmtId="0" fontId="0" fillId="0" borderId="12" xfId="4" applyFont="1" applyBorder="1" applyAlignment="1">
      <alignment horizontal="left" wrapText="1"/>
    </xf>
    <xf numFmtId="0" fontId="0" fillId="0" borderId="0" xfId="0" quotePrefix="1" applyAlignment="1">
      <alignment horizontal="left" vertical="top" wrapText="1"/>
    </xf>
    <xf numFmtId="0" fontId="0" fillId="0" borderId="0" xfId="4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7" fillId="0" borderId="0" xfId="4" applyFont="1" applyAlignment="1">
      <alignment horizontal="center"/>
    </xf>
    <xf numFmtId="0" fontId="0" fillId="0" borderId="0" xfId="4" quotePrefix="1" applyFont="1" applyAlignment="1">
      <alignment horizontal="left" vertical="top" wrapText="1"/>
    </xf>
    <xf numFmtId="0" fontId="0" fillId="0" borderId="0" xfId="4" applyFont="1" applyAlignment="1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 4" xfId="4" xr:uid="{66CD0B42-024A-4BF6-A86C-D36F784549D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8840-E6FB-4936-8EAC-70F525B52BDD}">
  <dimension ref="A1:AY347"/>
  <sheetViews>
    <sheetView tabSelected="1" view="pageBreakPreview" zoomScale="80" zoomScaleNormal="95" zoomScaleSheetLayoutView="80" workbookViewId="0"/>
  </sheetViews>
  <sheetFormatPr defaultColWidth="9.08984375" defaultRowHeight="13" x14ac:dyDescent="0.6"/>
  <cols>
    <col min="1" max="1" width="16.08984375" style="96" customWidth="1"/>
    <col min="2" max="2" width="27.90625" customWidth="1"/>
    <col min="3" max="3" width="17.36328125" customWidth="1"/>
    <col min="4" max="4" width="12.54296875" customWidth="1"/>
    <col min="5" max="5" width="16.54296875" customWidth="1"/>
    <col min="6" max="6" width="16" customWidth="1"/>
    <col min="7" max="7" width="16.54296875" customWidth="1"/>
    <col min="8" max="8" width="15.453125" customWidth="1"/>
    <col min="9" max="9" width="14.08984375" customWidth="1"/>
    <col min="10" max="10" width="16.453125" customWidth="1"/>
    <col min="11" max="11" width="12.54296875" customWidth="1"/>
    <col min="12" max="12" width="16.54296875" hidden="1" customWidth="1"/>
    <col min="13" max="13" width="13.6328125" hidden="1" customWidth="1"/>
    <col min="14" max="14" width="14.7265625" hidden="1" customWidth="1"/>
    <col min="15" max="15" width="12.453125" hidden="1" customWidth="1"/>
    <col min="16" max="16" width="31.7265625" hidden="1" customWidth="1"/>
    <col min="17" max="17" width="44.90625" hidden="1" customWidth="1"/>
    <col min="18" max="18" width="13.90625" hidden="1" customWidth="1"/>
    <col min="19" max="19" width="16" hidden="1" customWidth="1"/>
    <col min="20" max="20" width="24.08984375" hidden="1" customWidth="1"/>
    <col min="21" max="21" width="13.90625" hidden="1" customWidth="1"/>
    <col min="22" max="22" width="8.08984375" hidden="1" customWidth="1"/>
    <col min="23" max="23" width="26.6328125" hidden="1" customWidth="1"/>
    <col min="24" max="24" width="14.90625" hidden="1" customWidth="1"/>
    <col min="25" max="25" width="13.08984375" hidden="1" customWidth="1"/>
    <col min="26" max="26" width="24.08984375" hidden="1" customWidth="1"/>
    <col min="27" max="28" width="13.08984375" hidden="1" customWidth="1"/>
    <col min="29" max="29" width="25.54296875" hidden="1" customWidth="1"/>
    <col min="30" max="30" width="9.54296875" hidden="1" customWidth="1"/>
    <col min="31" max="31" width="2.1796875" hidden="1" customWidth="1"/>
    <col min="32" max="32" width="9.08984375" customWidth="1"/>
    <col min="33" max="33" width="8.08984375" customWidth="1"/>
    <col min="34" max="34" width="13.08984375" customWidth="1"/>
    <col min="35" max="37" width="9.08984375" customWidth="1"/>
    <col min="38" max="38" width="9.453125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26" ht="15.5" x14ac:dyDescent="0.7">
      <c r="B2" s="340" t="s">
        <v>1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26" ht="15.5" x14ac:dyDescent="0.7">
      <c r="B3" s="340" t="str">
        <f>'BGS PTY22 Cost Alloc'!$B$3</f>
        <v>2024 BGS Auction Cost and Bid Factor Tables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</row>
    <row r="4" spans="1:26" ht="15.5" x14ac:dyDescent="0.7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6" ht="15.5" x14ac:dyDescent="0.7">
      <c r="B5" s="340" t="s">
        <v>2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</row>
    <row r="6" spans="1:26" x14ac:dyDescent="0.6">
      <c r="L6" s="97" t="s">
        <v>3</v>
      </c>
    </row>
    <row r="8" spans="1:26" ht="15.5" x14ac:dyDescent="0.7">
      <c r="B8" s="2" t="s">
        <v>4</v>
      </c>
    </row>
    <row r="9" spans="1:26" x14ac:dyDescent="0.6">
      <c r="A9" s="3"/>
      <c r="B9" s="4" t="s">
        <v>5</v>
      </c>
    </row>
    <row r="10" spans="1:26" x14ac:dyDescent="0.6">
      <c r="E10" s="5" t="str">
        <f>'BGS PTY22 Cost Alloc'!$E$10</f>
        <v>Based on an average of 201907 to 202206 Load Profile Information</v>
      </c>
    </row>
    <row r="11" spans="1:26" x14ac:dyDescent="0.6">
      <c r="A11" s="6" t="s">
        <v>6</v>
      </c>
      <c r="B11" s="7" t="s">
        <v>7</v>
      </c>
      <c r="C11" s="98"/>
      <c r="E11" s="5" t="s">
        <v>8</v>
      </c>
      <c r="N11" s="7"/>
      <c r="Q11" s="7" t="s">
        <v>9</v>
      </c>
    </row>
    <row r="12" spans="1:26" ht="26" x14ac:dyDescent="0.6">
      <c r="A12" s="8"/>
      <c r="C12" s="9"/>
      <c r="D12" s="9"/>
      <c r="E12" s="9" t="s">
        <v>10</v>
      </c>
      <c r="F12" s="9" t="s">
        <v>10</v>
      </c>
      <c r="G12" s="9" t="s">
        <v>10</v>
      </c>
      <c r="H12" s="9" t="s">
        <v>10</v>
      </c>
      <c r="I12" s="9" t="s">
        <v>11</v>
      </c>
      <c r="K12" s="9"/>
      <c r="L12" s="9"/>
      <c r="M12" s="9"/>
      <c r="N12" s="5"/>
      <c r="O12" s="9"/>
      <c r="P12" s="9"/>
      <c r="Q12" s="9" t="s">
        <v>10</v>
      </c>
      <c r="R12" s="9" t="s">
        <v>10</v>
      </c>
      <c r="S12" s="9" t="s">
        <v>10</v>
      </c>
      <c r="T12" s="9" t="s">
        <v>10</v>
      </c>
      <c r="U12" s="9" t="s">
        <v>11</v>
      </c>
      <c r="W12" s="9"/>
      <c r="X12" s="9"/>
      <c r="Y12" s="9"/>
      <c r="Z12" s="9"/>
    </row>
    <row r="13" spans="1:26" x14ac:dyDescent="0.6">
      <c r="A13" s="8"/>
      <c r="B13" s="10" t="s">
        <v>12</v>
      </c>
      <c r="C13" s="11"/>
      <c r="D13" s="11"/>
      <c r="E13" s="11" t="s">
        <v>13</v>
      </c>
      <c r="F13" s="11" t="s">
        <v>14</v>
      </c>
      <c r="G13" s="11" t="s">
        <v>15</v>
      </c>
      <c r="H13" s="11" t="s">
        <v>16</v>
      </c>
      <c r="I13" s="11" t="s">
        <v>17</v>
      </c>
      <c r="J13" s="11"/>
      <c r="K13" s="11"/>
      <c r="L13" s="11"/>
      <c r="M13" s="11"/>
      <c r="N13" s="12"/>
      <c r="O13" s="11"/>
      <c r="P13" s="11"/>
      <c r="Q13" s="11" t="str">
        <f>+E13</f>
        <v>RT{1}</v>
      </c>
      <c r="R13" s="11" t="str">
        <f>+F13</f>
        <v>RS{2}</v>
      </c>
      <c r="S13" s="11" t="str">
        <f>+G13</f>
        <v>GS{3}</v>
      </c>
      <c r="T13" s="11" t="str">
        <f>+H13</f>
        <v>GST</v>
      </c>
      <c r="U13" s="11" t="str">
        <f>+I13</f>
        <v>OL/SL</v>
      </c>
      <c r="V13" s="11"/>
      <c r="W13" s="11"/>
      <c r="X13" s="11"/>
      <c r="Y13" s="11"/>
      <c r="Z13" s="11"/>
    </row>
    <row r="14" spans="1:26" x14ac:dyDescent="0.6">
      <c r="A14" s="8"/>
    </row>
    <row r="15" spans="1:26" x14ac:dyDescent="0.6">
      <c r="A15" s="8"/>
      <c r="B15" s="99" t="s">
        <v>18</v>
      </c>
      <c r="C15" s="40"/>
      <c r="D15" s="40"/>
      <c r="E15" s="52">
        <f>'BGS PTY22 Cost Alloc'!E15</f>
        <v>0.46079999999999999</v>
      </c>
      <c r="F15" s="52">
        <f>'BGS PTY22 Cost Alloc'!F15</f>
        <v>0.48230000000000001</v>
      </c>
      <c r="G15" s="52">
        <f>'BGS PTY22 Cost Alloc'!G15</f>
        <v>0.54600000000000004</v>
      </c>
      <c r="H15" s="52">
        <f>'BGS PTY22 Cost Alloc'!H15</f>
        <v>0.5212</v>
      </c>
      <c r="I15" s="52">
        <f>'BGS PTY22 Cost Alloc'!I15</f>
        <v>0.32529999999999998</v>
      </c>
      <c r="J15" s="40"/>
      <c r="K15" s="100"/>
      <c r="L15" s="100"/>
      <c r="M15" s="100"/>
      <c r="N15" s="101"/>
      <c r="O15" s="101"/>
      <c r="P15" s="101"/>
      <c r="Q15" s="101">
        <f t="shared" ref="Q15:U26" si="0">1-E15</f>
        <v>0.53920000000000001</v>
      </c>
      <c r="R15" s="101">
        <f t="shared" si="0"/>
        <v>0.51770000000000005</v>
      </c>
      <c r="S15" s="101">
        <f t="shared" si="0"/>
        <v>0.45399999999999996</v>
      </c>
      <c r="T15" s="101">
        <f t="shared" si="0"/>
        <v>0.4788</v>
      </c>
      <c r="U15" s="101">
        <f t="shared" si="0"/>
        <v>0.67470000000000008</v>
      </c>
      <c r="V15" s="101"/>
      <c r="W15" s="101"/>
      <c r="X15" s="101"/>
      <c r="Y15" s="101"/>
      <c r="Z15" s="101"/>
    </row>
    <row r="16" spans="1:26" x14ac:dyDescent="0.6">
      <c r="A16" s="8"/>
      <c r="B16" s="99" t="s">
        <v>19</v>
      </c>
      <c r="C16" s="40"/>
      <c r="D16" s="40"/>
      <c r="E16" s="52">
        <f>'BGS PTY22 Cost Alloc'!E16</f>
        <v>0.46920000000000001</v>
      </c>
      <c r="F16" s="52">
        <f>'BGS PTY22 Cost Alloc'!F16</f>
        <v>0.49780000000000002</v>
      </c>
      <c r="G16" s="52">
        <f>'BGS PTY22 Cost Alloc'!G16</f>
        <v>0.56100000000000005</v>
      </c>
      <c r="H16" s="52">
        <f>'BGS PTY22 Cost Alloc'!H16</f>
        <v>0.53710000000000002</v>
      </c>
      <c r="I16" s="52">
        <f>'BGS PTY22 Cost Alloc'!I16</f>
        <v>0.30880000000000002</v>
      </c>
      <c r="J16" s="40"/>
      <c r="K16" s="100"/>
      <c r="L16" s="100"/>
      <c r="M16" s="100"/>
      <c r="N16" s="101"/>
      <c r="O16" s="101"/>
      <c r="P16" s="101"/>
      <c r="Q16" s="101">
        <f t="shared" si="0"/>
        <v>0.53079999999999994</v>
      </c>
      <c r="R16" s="101">
        <f t="shared" si="0"/>
        <v>0.50219999999999998</v>
      </c>
      <c r="S16" s="101">
        <f t="shared" si="0"/>
        <v>0.43899999999999995</v>
      </c>
      <c r="T16" s="101">
        <f t="shared" si="0"/>
        <v>0.46289999999999998</v>
      </c>
      <c r="U16" s="101">
        <f t="shared" si="0"/>
        <v>0.69120000000000004</v>
      </c>
      <c r="V16" s="101"/>
      <c r="W16" s="101"/>
      <c r="X16" s="101"/>
      <c r="Y16" s="101"/>
      <c r="Z16" s="101"/>
    </row>
    <row r="17" spans="1:26" x14ac:dyDescent="0.6">
      <c r="A17" s="8"/>
      <c r="B17" s="99" t="s">
        <v>20</v>
      </c>
      <c r="C17" s="40"/>
      <c r="D17" s="40"/>
      <c r="E17" s="52">
        <f>'BGS PTY22 Cost Alloc'!E17</f>
        <v>0.49280000000000002</v>
      </c>
      <c r="F17" s="52">
        <f>'BGS PTY22 Cost Alloc'!F17</f>
        <v>0.52270000000000005</v>
      </c>
      <c r="G17" s="52">
        <f>'BGS PTY22 Cost Alloc'!G17</f>
        <v>0.60070000000000001</v>
      </c>
      <c r="H17" s="52">
        <f>'BGS PTY22 Cost Alloc'!H17</f>
        <v>0.55249999999999999</v>
      </c>
      <c r="I17" s="52">
        <f>'BGS PTY22 Cost Alloc'!I17</f>
        <v>0.31859999999999999</v>
      </c>
      <c r="J17" s="40"/>
      <c r="K17" s="100"/>
      <c r="L17" s="100"/>
      <c r="M17" s="100"/>
      <c r="N17" s="101"/>
      <c r="O17" s="101"/>
      <c r="P17" s="101"/>
      <c r="Q17" s="101">
        <f t="shared" si="0"/>
        <v>0.50719999999999998</v>
      </c>
      <c r="R17" s="101">
        <f t="shared" si="0"/>
        <v>0.47729999999999995</v>
      </c>
      <c r="S17" s="101">
        <f t="shared" si="0"/>
        <v>0.39929999999999999</v>
      </c>
      <c r="T17" s="101">
        <f t="shared" si="0"/>
        <v>0.44750000000000001</v>
      </c>
      <c r="U17" s="101">
        <f t="shared" si="0"/>
        <v>0.68140000000000001</v>
      </c>
      <c r="V17" s="101"/>
      <c r="W17" s="101"/>
      <c r="X17" s="101"/>
      <c r="Y17" s="101"/>
      <c r="Z17" s="101"/>
    </row>
    <row r="18" spans="1:26" x14ac:dyDescent="0.6">
      <c r="A18" s="8"/>
      <c r="B18" s="99" t="s">
        <v>21</v>
      </c>
      <c r="C18" s="40"/>
      <c r="D18" s="40"/>
      <c r="E18" s="52">
        <f>'BGS PTY22 Cost Alloc'!E18</f>
        <v>0.49680000000000002</v>
      </c>
      <c r="F18" s="52">
        <f>'BGS PTY22 Cost Alloc'!F18</f>
        <v>0.52239999999999998</v>
      </c>
      <c r="G18" s="52">
        <f>'BGS PTY22 Cost Alloc'!G18</f>
        <v>0.59540000000000004</v>
      </c>
      <c r="H18" s="52">
        <f>'BGS PTY22 Cost Alloc'!H18</f>
        <v>0.5474</v>
      </c>
      <c r="I18" s="52">
        <f>'BGS PTY22 Cost Alloc'!I18</f>
        <v>0.31840000000000002</v>
      </c>
      <c r="J18" s="40"/>
      <c r="K18" s="100"/>
      <c r="L18" s="100"/>
      <c r="M18" s="100"/>
      <c r="N18" s="101"/>
      <c r="O18" s="101"/>
      <c r="P18" s="101"/>
      <c r="Q18" s="101">
        <f t="shared" si="0"/>
        <v>0.50319999999999998</v>
      </c>
      <c r="R18" s="101">
        <f t="shared" si="0"/>
        <v>0.47760000000000002</v>
      </c>
      <c r="S18" s="101">
        <f t="shared" si="0"/>
        <v>0.40459999999999996</v>
      </c>
      <c r="T18" s="101">
        <f t="shared" si="0"/>
        <v>0.4526</v>
      </c>
      <c r="U18" s="101">
        <f t="shared" si="0"/>
        <v>0.68159999999999998</v>
      </c>
      <c r="V18" s="101"/>
      <c r="W18" s="101"/>
      <c r="X18" s="101"/>
      <c r="Y18" s="101"/>
      <c r="Z18" s="101"/>
    </row>
    <row r="19" spans="1:26" x14ac:dyDescent="0.6">
      <c r="A19" s="8"/>
      <c r="B19" s="99" t="s">
        <v>22</v>
      </c>
      <c r="C19" s="40"/>
      <c r="D19" s="40"/>
      <c r="E19" s="52">
        <f>'BGS PTY22 Cost Alloc'!E19</f>
        <v>0.44340000000000002</v>
      </c>
      <c r="F19" s="52">
        <f>'BGS PTY22 Cost Alloc'!F19</f>
        <v>0.4572</v>
      </c>
      <c r="G19" s="52">
        <f>'BGS PTY22 Cost Alloc'!G19</f>
        <v>0.55259999999999998</v>
      </c>
      <c r="H19" s="52">
        <f>'BGS PTY22 Cost Alloc'!H19</f>
        <v>0.51890000000000003</v>
      </c>
      <c r="I19" s="52">
        <f>'BGS PTY22 Cost Alloc'!I19</f>
        <v>0.28349999999999997</v>
      </c>
      <c r="J19" s="40"/>
      <c r="K19" s="100"/>
      <c r="L19" s="100"/>
      <c r="M19" s="100"/>
      <c r="N19" s="101"/>
      <c r="O19" s="101"/>
      <c r="P19" s="101"/>
      <c r="Q19" s="101">
        <f t="shared" si="0"/>
        <v>0.55659999999999998</v>
      </c>
      <c r="R19" s="101">
        <f t="shared" si="0"/>
        <v>0.54279999999999995</v>
      </c>
      <c r="S19" s="101">
        <f t="shared" si="0"/>
        <v>0.44740000000000002</v>
      </c>
      <c r="T19" s="101">
        <f t="shared" si="0"/>
        <v>0.48109999999999997</v>
      </c>
      <c r="U19" s="101">
        <f t="shared" si="0"/>
        <v>0.71650000000000003</v>
      </c>
      <c r="V19" s="101"/>
      <c r="W19" s="101"/>
      <c r="X19" s="101"/>
      <c r="Y19" s="101"/>
      <c r="Z19" s="101"/>
    </row>
    <row r="20" spans="1:26" x14ac:dyDescent="0.6">
      <c r="A20" s="8"/>
      <c r="B20" s="99" t="s">
        <v>23</v>
      </c>
      <c r="C20" s="40"/>
      <c r="D20" s="40"/>
      <c r="E20" s="52">
        <f>'BGS PTY22 Cost Alloc'!E20</f>
        <v>0.54610000000000003</v>
      </c>
      <c r="F20" s="52">
        <f>'BGS PTY22 Cost Alloc'!F20</f>
        <v>0.55520000000000003</v>
      </c>
      <c r="G20" s="52">
        <f>'BGS PTY22 Cost Alloc'!G20</f>
        <v>0.59860000000000002</v>
      </c>
      <c r="H20" s="52">
        <f>'BGS PTY22 Cost Alloc'!H20</f>
        <v>0.57689999999999997</v>
      </c>
      <c r="I20" s="52">
        <f>'BGS PTY22 Cost Alloc'!I20</f>
        <v>0.30940000000000001</v>
      </c>
      <c r="J20" s="40"/>
      <c r="K20" s="100"/>
      <c r="L20" s="100"/>
      <c r="M20" s="100"/>
      <c r="N20" s="101"/>
      <c r="O20" s="101"/>
      <c r="P20" s="101"/>
      <c r="Q20" s="101">
        <f t="shared" si="0"/>
        <v>0.45389999999999997</v>
      </c>
      <c r="R20" s="101">
        <f t="shared" si="0"/>
        <v>0.44479999999999997</v>
      </c>
      <c r="S20" s="101">
        <f t="shared" si="0"/>
        <v>0.40139999999999998</v>
      </c>
      <c r="T20" s="101">
        <f t="shared" si="0"/>
        <v>0.42310000000000003</v>
      </c>
      <c r="U20" s="101">
        <f t="shared" si="0"/>
        <v>0.69059999999999999</v>
      </c>
      <c r="V20" s="101"/>
      <c r="W20" s="101"/>
      <c r="X20" s="101"/>
      <c r="Y20" s="101"/>
      <c r="Z20" s="101"/>
    </row>
    <row r="21" spans="1:26" x14ac:dyDescent="0.6">
      <c r="A21" s="8"/>
      <c r="B21" s="99" t="s">
        <v>24</v>
      </c>
      <c r="C21" s="40"/>
      <c r="D21" s="40"/>
      <c r="E21" s="52">
        <f>'BGS PTY22 Cost Alloc'!E21</f>
        <v>0.53010000000000002</v>
      </c>
      <c r="F21" s="52">
        <f>'BGS PTY22 Cost Alloc'!F21</f>
        <v>0.52810000000000001</v>
      </c>
      <c r="G21" s="52">
        <f>'BGS PTY22 Cost Alloc'!G21</f>
        <v>0.58140000000000003</v>
      </c>
      <c r="H21" s="52">
        <f>'BGS PTY22 Cost Alloc'!H21</f>
        <v>0.5575</v>
      </c>
      <c r="I21" s="52">
        <f>'BGS PTY22 Cost Alloc'!I21</f>
        <v>0.29630000000000001</v>
      </c>
      <c r="J21" s="40"/>
      <c r="K21" s="100"/>
      <c r="L21" s="100"/>
      <c r="M21" s="100"/>
      <c r="N21" s="101"/>
      <c r="O21" s="101"/>
      <c r="P21" s="101"/>
      <c r="Q21" s="101">
        <f t="shared" si="0"/>
        <v>0.46989999999999998</v>
      </c>
      <c r="R21" s="101">
        <f t="shared" si="0"/>
        <v>0.47189999999999999</v>
      </c>
      <c r="S21" s="101">
        <f t="shared" si="0"/>
        <v>0.41859999999999997</v>
      </c>
      <c r="T21" s="101">
        <f t="shared" si="0"/>
        <v>0.4425</v>
      </c>
      <c r="U21" s="101">
        <f t="shared" si="0"/>
        <v>0.70369999999999999</v>
      </c>
      <c r="V21" s="101"/>
      <c r="W21" s="101"/>
      <c r="X21" s="101"/>
      <c r="Y21" s="101"/>
      <c r="Z21" s="101"/>
    </row>
    <row r="22" spans="1:26" x14ac:dyDescent="0.6">
      <c r="A22" s="8"/>
      <c r="B22" s="99" t="s">
        <v>25</v>
      </c>
      <c r="C22" s="40"/>
      <c r="D22" s="40"/>
      <c r="E22" s="52">
        <f>'BGS PTY22 Cost Alloc'!E22</f>
        <v>0.53069999999999995</v>
      </c>
      <c r="F22" s="52">
        <f>'BGS PTY22 Cost Alloc'!F22</f>
        <v>0.53090000000000004</v>
      </c>
      <c r="G22" s="52">
        <f>'BGS PTY22 Cost Alloc'!G22</f>
        <v>0.57820000000000005</v>
      </c>
      <c r="H22" s="52">
        <f>'BGS PTY22 Cost Alloc'!H22</f>
        <v>0.55389999999999995</v>
      </c>
      <c r="I22" s="52">
        <f>'BGS PTY22 Cost Alloc'!I22</f>
        <v>0.30009999999999998</v>
      </c>
      <c r="J22" s="40"/>
      <c r="K22" s="100"/>
      <c r="L22" s="100"/>
      <c r="M22" s="100"/>
      <c r="N22" s="101"/>
      <c r="O22" s="101"/>
      <c r="P22" s="101"/>
      <c r="Q22" s="101">
        <f t="shared" si="0"/>
        <v>0.46930000000000005</v>
      </c>
      <c r="R22" s="101">
        <f t="shared" si="0"/>
        <v>0.46909999999999996</v>
      </c>
      <c r="S22" s="101">
        <f t="shared" si="0"/>
        <v>0.42179999999999995</v>
      </c>
      <c r="T22" s="101">
        <f t="shared" si="0"/>
        <v>0.44610000000000005</v>
      </c>
      <c r="U22" s="101">
        <f t="shared" si="0"/>
        <v>0.69989999999999997</v>
      </c>
      <c r="V22" s="101"/>
      <c r="W22" s="101"/>
      <c r="X22" s="101"/>
      <c r="Y22" s="101"/>
      <c r="Z22" s="101"/>
    </row>
    <row r="23" spans="1:26" x14ac:dyDescent="0.6">
      <c r="A23" s="8"/>
      <c r="B23" s="99" t="s">
        <v>26</v>
      </c>
      <c r="C23" s="40"/>
      <c r="D23" s="40"/>
      <c r="E23" s="52">
        <f>'BGS PTY22 Cost Alloc'!E23</f>
        <v>0.4824</v>
      </c>
      <c r="F23" s="52">
        <f>'BGS PTY22 Cost Alloc'!F23</f>
        <v>0.49249999999999999</v>
      </c>
      <c r="G23" s="52">
        <f>'BGS PTY22 Cost Alloc'!G23</f>
        <v>0.58209999999999995</v>
      </c>
      <c r="H23" s="52">
        <f>'BGS PTY22 Cost Alloc'!H23</f>
        <v>0.55189999999999995</v>
      </c>
      <c r="I23" s="52">
        <f>'BGS PTY22 Cost Alloc'!I23</f>
        <v>0.31309999999999999</v>
      </c>
      <c r="J23" s="40"/>
      <c r="K23" s="100"/>
      <c r="L23" s="100"/>
      <c r="M23" s="100"/>
      <c r="N23" s="101"/>
      <c r="O23" s="101"/>
      <c r="P23" s="101"/>
      <c r="Q23" s="101">
        <f t="shared" si="0"/>
        <v>0.51760000000000006</v>
      </c>
      <c r="R23" s="101">
        <f t="shared" si="0"/>
        <v>0.50750000000000006</v>
      </c>
      <c r="S23" s="101">
        <f t="shared" si="0"/>
        <v>0.41790000000000005</v>
      </c>
      <c r="T23" s="101">
        <f t="shared" si="0"/>
        <v>0.44810000000000005</v>
      </c>
      <c r="U23" s="101">
        <f t="shared" si="0"/>
        <v>0.68690000000000007</v>
      </c>
      <c r="V23" s="101"/>
      <c r="W23" s="101"/>
      <c r="X23" s="101"/>
      <c r="Y23" s="101"/>
      <c r="Z23" s="101"/>
    </row>
    <row r="24" spans="1:26" x14ac:dyDescent="0.6">
      <c r="A24" s="8"/>
      <c r="B24" s="99" t="s">
        <v>27</v>
      </c>
      <c r="C24" s="40"/>
      <c r="D24" s="40"/>
      <c r="E24" s="52">
        <f>'BGS PTY22 Cost Alloc'!E24</f>
        <v>0.48709999999999998</v>
      </c>
      <c r="F24" s="52">
        <f>'BGS PTY22 Cost Alloc'!F24</f>
        <v>0.51280000000000003</v>
      </c>
      <c r="G24" s="52">
        <f>'BGS PTY22 Cost Alloc'!G24</f>
        <v>0.58860000000000001</v>
      </c>
      <c r="H24" s="52">
        <f>'BGS PTY22 Cost Alloc'!H24</f>
        <v>0.56169999999999998</v>
      </c>
      <c r="I24" s="52">
        <f>'BGS PTY22 Cost Alloc'!I24</f>
        <v>0.33639999999999998</v>
      </c>
      <c r="J24" s="40"/>
      <c r="K24" s="100"/>
      <c r="L24" s="100"/>
      <c r="M24" s="100"/>
      <c r="N24" s="101"/>
      <c r="O24" s="101"/>
      <c r="P24" s="101"/>
      <c r="Q24" s="101">
        <f t="shared" si="0"/>
        <v>0.51290000000000002</v>
      </c>
      <c r="R24" s="101">
        <f t="shared" si="0"/>
        <v>0.48719999999999997</v>
      </c>
      <c r="S24" s="101">
        <f t="shared" si="0"/>
        <v>0.41139999999999999</v>
      </c>
      <c r="T24" s="101">
        <f t="shared" si="0"/>
        <v>0.43830000000000002</v>
      </c>
      <c r="U24" s="101">
        <f t="shared" si="0"/>
        <v>0.66359999999999997</v>
      </c>
      <c r="V24" s="101"/>
      <c r="W24" s="101"/>
      <c r="X24" s="101"/>
      <c r="Y24" s="101"/>
      <c r="Z24" s="101"/>
    </row>
    <row r="25" spans="1:26" x14ac:dyDescent="0.6">
      <c r="A25" s="8"/>
      <c r="B25" s="99" t="s">
        <v>28</v>
      </c>
      <c r="C25" s="40"/>
      <c r="D25" s="40"/>
      <c r="E25" s="52">
        <f>'BGS PTY22 Cost Alloc'!E25</f>
        <v>0.45250000000000001</v>
      </c>
      <c r="F25" s="52">
        <f>'BGS PTY22 Cost Alloc'!F25</f>
        <v>0.48230000000000001</v>
      </c>
      <c r="G25" s="52">
        <f>'BGS PTY22 Cost Alloc'!G25</f>
        <v>0.56159999999999999</v>
      </c>
      <c r="H25" s="52">
        <f>'BGS PTY22 Cost Alloc'!H25</f>
        <v>0.52959999999999996</v>
      </c>
      <c r="I25" s="52">
        <f>'BGS PTY22 Cost Alloc'!I25</f>
        <v>0.32190000000000002</v>
      </c>
      <c r="J25" s="40"/>
      <c r="K25" s="100"/>
      <c r="L25" s="100"/>
      <c r="M25" s="100"/>
      <c r="N25" s="101"/>
      <c r="O25" s="101"/>
      <c r="P25" s="101"/>
      <c r="Q25" s="101">
        <f t="shared" si="0"/>
        <v>0.54749999999999999</v>
      </c>
      <c r="R25" s="101">
        <f t="shared" si="0"/>
        <v>0.51770000000000005</v>
      </c>
      <c r="S25" s="101">
        <f t="shared" si="0"/>
        <v>0.43840000000000001</v>
      </c>
      <c r="T25" s="101">
        <f t="shared" si="0"/>
        <v>0.47040000000000004</v>
      </c>
      <c r="U25" s="101">
        <f t="shared" si="0"/>
        <v>0.67809999999999993</v>
      </c>
      <c r="V25" s="101"/>
      <c r="W25" s="101"/>
      <c r="X25" s="101"/>
      <c r="Y25" s="101"/>
      <c r="Z25" s="101"/>
    </row>
    <row r="26" spans="1:26" x14ac:dyDescent="0.6">
      <c r="A26" s="8"/>
      <c r="B26" s="99" t="s">
        <v>29</v>
      </c>
      <c r="C26" s="40"/>
      <c r="D26" s="40"/>
      <c r="E26" s="52">
        <f>'BGS PTY22 Cost Alloc'!E26</f>
        <v>0.4834</v>
      </c>
      <c r="F26" s="52">
        <f>'BGS PTY22 Cost Alloc'!F26</f>
        <v>0.50560000000000005</v>
      </c>
      <c r="G26" s="52">
        <f>'BGS PTY22 Cost Alloc'!G26</f>
        <v>0.57509999999999994</v>
      </c>
      <c r="H26" s="52">
        <f>'BGS PTY22 Cost Alloc'!H26</f>
        <v>0.54320000000000002</v>
      </c>
      <c r="I26" s="52">
        <f>'BGS PTY22 Cost Alloc'!I26</f>
        <v>0.34179999999999999</v>
      </c>
      <c r="J26" s="40"/>
      <c r="K26" s="100"/>
      <c r="L26" s="100"/>
      <c r="M26" s="100"/>
      <c r="N26" s="101"/>
      <c r="O26" s="101"/>
      <c r="P26" s="101"/>
      <c r="Q26" s="101">
        <f t="shared" si="0"/>
        <v>0.51659999999999995</v>
      </c>
      <c r="R26" s="101">
        <f t="shared" si="0"/>
        <v>0.49439999999999995</v>
      </c>
      <c r="S26" s="101">
        <f t="shared" si="0"/>
        <v>0.42490000000000006</v>
      </c>
      <c r="T26" s="101">
        <f t="shared" si="0"/>
        <v>0.45679999999999998</v>
      </c>
      <c r="U26" s="101">
        <f t="shared" si="0"/>
        <v>0.65820000000000001</v>
      </c>
      <c r="V26" s="101"/>
      <c r="W26" s="101"/>
      <c r="X26" s="101"/>
      <c r="Y26" s="101"/>
      <c r="Z26" s="101"/>
    </row>
    <row r="27" spans="1:26" x14ac:dyDescent="0.6">
      <c r="A27" s="8"/>
      <c r="B27" s="99"/>
      <c r="C27" s="101"/>
      <c r="D27" s="101"/>
      <c r="E27" s="101"/>
      <c r="F27" s="101"/>
      <c r="G27" s="101"/>
      <c r="H27" s="101"/>
      <c r="I27" s="45"/>
      <c r="J27" s="45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</row>
    <row r="28" spans="1:26" x14ac:dyDescent="0.6">
      <c r="A28" s="8"/>
      <c r="B28" s="99"/>
      <c r="C28" s="101"/>
      <c r="D28" s="101"/>
      <c r="E28" s="101"/>
      <c r="F28" s="101"/>
      <c r="G28" s="101"/>
      <c r="H28" s="101"/>
      <c r="I28" s="45"/>
      <c r="J28" s="45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spans="1:26" x14ac:dyDescent="0.6">
      <c r="A29" s="6" t="s">
        <v>30</v>
      </c>
      <c r="B29" s="7" t="s">
        <v>31</v>
      </c>
      <c r="C29" s="101"/>
      <c r="D29" s="101"/>
      <c r="E29" s="101"/>
      <c r="F29" s="13" t="s">
        <v>32</v>
      </c>
      <c r="G29" s="101"/>
      <c r="H29" s="101"/>
      <c r="I29" s="45"/>
      <c r="J29" s="45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</row>
    <row r="30" spans="1:26" ht="53.25" customHeight="1" x14ac:dyDescent="0.6">
      <c r="A30" s="8"/>
      <c r="C30" s="9"/>
      <c r="D30" s="9"/>
      <c r="E30" s="9" t="str">
        <f>'BGS PTY22 Cost Alloc'!$E$30</f>
        <v>2023 Forecasted Calendar Month Sales</v>
      </c>
      <c r="F30" s="9" t="s">
        <v>33</v>
      </c>
      <c r="G30" s="9" t="s">
        <v>33</v>
      </c>
      <c r="H30" s="9" t="str">
        <f>'BGS PTY22 Cost Alloc'!$E$30</f>
        <v>2023 Forecasted Calendar Month Sales</v>
      </c>
      <c r="I30" s="9" t="s">
        <v>33</v>
      </c>
      <c r="J30" s="9"/>
      <c r="K30" s="9"/>
      <c r="L30" s="9"/>
      <c r="M30" s="9"/>
      <c r="N30" s="5"/>
      <c r="O30" s="9"/>
      <c r="P30" s="9"/>
      <c r="Q30" s="9" t="str">
        <f>'BGS PTY22 Cost Alloc'!Q30</f>
        <v>2023 Forecasted Calendar Month Sales</v>
      </c>
      <c r="R30" s="9" t="s">
        <v>33</v>
      </c>
      <c r="S30" s="9" t="s">
        <v>33</v>
      </c>
      <c r="T30" s="9" t="str">
        <f>'BGS PTY22 Cost Alloc'!T30</f>
        <v>2023 Forecasted Calendar Month Sales</v>
      </c>
      <c r="U30" s="9" t="s">
        <v>33</v>
      </c>
      <c r="V30" s="9"/>
      <c r="W30" s="9"/>
      <c r="X30" s="9"/>
      <c r="Y30" s="9"/>
      <c r="Z30" s="9"/>
    </row>
    <row r="31" spans="1:26" x14ac:dyDescent="0.6">
      <c r="A31" s="8"/>
      <c r="B31" s="10" t="s">
        <v>12</v>
      </c>
      <c r="C31" s="11"/>
      <c r="D31" s="11"/>
      <c r="E31" s="11" t="str">
        <f>+E$13</f>
        <v>RT{1}</v>
      </c>
      <c r="F31" s="11" t="str">
        <f>+F$13</f>
        <v>RS{2}</v>
      </c>
      <c r="G31" s="11" t="str">
        <f>+G$13</f>
        <v>GS{3}</v>
      </c>
      <c r="H31" s="11" t="str">
        <f>+H$13</f>
        <v>GST</v>
      </c>
      <c r="I31" s="11" t="str">
        <f>+I$13</f>
        <v>OL/SL</v>
      </c>
      <c r="J31" s="11"/>
      <c r="K31" s="11"/>
      <c r="L31" s="11"/>
      <c r="M31" s="11"/>
      <c r="N31" s="12"/>
      <c r="O31" s="11"/>
      <c r="P31" s="11"/>
      <c r="Q31" s="11" t="str">
        <f>+Q$13</f>
        <v>RT{1}</v>
      </c>
      <c r="R31" s="11" t="str">
        <f>+R$13</f>
        <v>RS{2}</v>
      </c>
      <c r="S31" s="11" t="str">
        <f>+S$13</f>
        <v>GS{3}</v>
      </c>
      <c r="T31" s="11" t="str">
        <f>+T$13</f>
        <v>GST</v>
      </c>
      <c r="U31" s="11" t="str">
        <f>+U$13</f>
        <v>OL/SL</v>
      </c>
      <c r="V31" s="11"/>
      <c r="W31" s="11"/>
      <c r="X31" s="11"/>
      <c r="Y31" s="11"/>
      <c r="Z31" s="11"/>
    </row>
    <row r="32" spans="1:26" x14ac:dyDescent="0.6">
      <c r="A32" s="8"/>
    </row>
    <row r="33" spans="1:26" x14ac:dyDescent="0.6">
      <c r="A33" s="8"/>
      <c r="B33" s="99" t="s">
        <v>18</v>
      </c>
      <c r="C33" s="112"/>
      <c r="D33" s="113"/>
      <c r="E33" s="52">
        <f>'BGS PTY22 Cost Alloc'!E33</f>
        <v>0.3579</v>
      </c>
      <c r="F33" s="112" t="s">
        <v>34</v>
      </c>
      <c r="G33" s="112" t="s">
        <v>34</v>
      </c>
      <c r="H33" s="52">
        <f>'BGS PTY22 Cost Alloc'!H33</f>
        <v>0.4158</v>
      </c>
      <c r="I33" s="112" t="s">
        <v>34</v>
      </c>
      <c r="J33" s="112"/>
      <c r="K33" s="112"/>
      <c r="L33" s="101"/>
      <c r="M33" s="100"/>
      <c r="N33" s="101"/>
      <c r="O33" s="101"/>
      <c r="P33" s="101"/>
      <c r="Q33" s="101">
        <f t="shared" ref="Q33:Q44" si="1">1-E33</f>
        <v>0.6421</v>
      </c>
      <c r="R33" s="101"/>
      <c r="S33" s="101"/>
      <c r="T33" s="101">
        <f t="shared" ref="T33:T44" si="2">1-H33</f>
        <v>0.58420000000000005</v>
      </c>
      <c r="U33" s="101"/>
      <c r="V33" s="101"/>
      <c r="W33" s="101"/>
      <c r="X33" s="101"/>
      <c r="Y33" s="101"/>
      <c r="Z33" s="101"/>
    </row>
    <row r="34" spans="1:26" x14ac:dyDescent="0.6">
      <c r="A34" s="8"/>
      <c r="B34" s="99" t="s">
        <v>19</v>
      </c>
      <c r="C34" s="112"/>
      <c r="D34" s="113"/>
      <c r="E34" s="52">
        <f>'BGS PTY22 Cost Alloc'!E34</f>
        <v>0.3508</v>
      </c>
      <c r="F34" s="112" t="s">
        <v>34</v>
      </c>
      <c r="G34" s="112" t="s">
        <v>34</v>
      </c>
      <c r="H34" s="52">
        <f>'BGS PTY22 Cost Alloc'!H34</f>
        <v>0.42</v>
      </c>
      <c r="I34" s="112" t="s">
        <v>34</v>
      </c>
      <c r="J34" s="112"/>
      <c r="K34" s="112"/>
      <c r="L34" s="101"/>
      <c r="M34" s="100"/>
      <c r="N34" s="101"/>
      <c r="O34" s="101"/>
      <c r="P34" s="101"/>
      <c r="Q34" s="101">
        <f t="shared" si="1"/>
        <v>0.6492</v>
      </c>
      <c r="R34" s="101"/>
      <c r="S34" s="101"/>
      <c r="T34" s="101">
        <f t="shared" si="2"/>
        <v>0.58000000000000007</v>
      </c>
      <c r="U34" s="101"/>
      <c r="V34" s="101"/>
      <c r="W34" s="101"/>
      <c r="X34" s="101"/>
      <c r="Y34" s="101"/>
      <c r="Z34" s="101"/>
    </row>
    <row r="35" spans="1:26" x14ac:dyDescent="0.6">
      <c r="A35" s="8"/>
      <c r="B35" s="99" t="s">
        <v>20</v>
      </c>
      <c r="C35" s="112"/>
      <c r="D35" s="113"/>
      <c r="E35" s="52">
        <f>'BGS PTY22 Cost Alloc'!E35</f>
        <v>0.35049999999999998</v>
      </c>
      <c r="F35" s="112" t="s">
        <v>34</v>
      </c>
      <c r="G35" s="112" t="s">
        <v>34</v>
      </c>
      <c r="H35" s="52">
        <f>'BGS PTY22 Cost Alloc'!H35</f>
        <v>0.42030000000000001</v>
      </c>
      <c r="I35" s="112" t="s">
        <v>34</v>
      </c>
      <c r="J35" s="112"/>
      <c r="K35" s="112"/>
      <c r="L35" s="101"/>
      <c r="M35" s="100"/>
      <c r="N35" s="101"/>
      <c r="O35" s="101"/>
      <c r="P35" s="101"/>
      <c r="Q35" s="101">
        <f t="shared" si="1"/>
        <v>0.64949999999999997</v>
      </c>
      <c r="R35" s="101"/>
      <c r="S35" s="101"/>
      <c r="T35" s="101">
        <f t="shared" si="2"/>
        <v>0.57969999999999999</v>
      </c>
      <c r="U35" s="101"/>
      <c r="V35" s="101"/>
      <c r="W35" s="101"/>
      <c r="X35" s="101"/>
      <c r="Y35" s="101"/>
      <c r="Z35" s="101"/>
    </row>
    <row r="36" spans="1:26" x14ac:dyDescent="0.6">
      <c r="A36" s="8"/>
      <c r="B36" s="99" t="s">
        <v>21</v>
      </c>
      <c r="C36" s="112"/>
      <c r="D36" s="113"/>
      <c r="E36" s="52">
        <f>'BGS PTY22 Cost Alloc'!E36</f>
        <v>0.35899999999999999</v>
      </c>
      <c r="F36" s="112" t="s">
        <v>34</v>
      </c>
      <c r="G36" s="112" t="s">
        <v>34</v>
      </c>
      <c r="H36" s="52">
        <f>'BGS PTY22 Cost Alloc'!H36</f>
        <v>0.4209</v>
      </c>
      <c r="I36" s="112" t="s">
        <v>34</v>
      </c>
      <c r="J36" s="112"/>
      <c r="K36" s="112"/>
      <c r="L36" s="101"/>
      <c r="M36" s="100"/>
      <c r="N36" s="101"/>
      <c r="O36" s="101"/>
      <c r="P36" s="101"/>
      <c r="Q36" s="101">
        <f t="shared" si="1"/>
        <v>0.64100000000000001</v>
      </c>
      <c r="R36" s="101"/>
      <c r="S36" s="101"/>
      <c r="T36" s="101">
        <f t="shared" si="2"/>
        <v>0.57909999999999995</v>
      </c>
      <c r="U36" s="101"/>
      <c r="V36" s="101"/>
      <c r="W36" s="101"/>
      <c r="X36" s="101"/>
      <c r="Y36" s="101"/>
      <c r="Z36" s="101"/>
    </row>
    <row r="37" spans="1:26" x14ac:dyDescent="0.6">
      <c r="A37" s="8"/>
      <c r="B37" s="99" t="s">
        <v>22</v>
      </c>
      <c r="C37" s="112"/>
      <c r="D37" s="113"/>
      <c r="E37" s="52">
        <f>'BGS PTY22 Cost Alloc'!E37</f>
        <v>0.37880000000000003</v>
      </c>
      <c r="F37" s="112" t="s">
        <v>34</v>
      </c>
      <c r="G37" s="112" t="s">
        <v>34</v>
      </c>
      <c r="H37" s="52">
        <f>'BGS PTY22 Cost Alloc'!H37</f>
        <v>0.43309999999999998</v>
      </c>
      <c r="I37" s="112" t="s">
        <v>34</v>
      </c>
      <c r="J37" s="112"/>
      <c r="K37" s="112"/>
      <c r="L37" s="101"/>
      <c r="M37" s="100"/>
      <c r="N37" s="101"/>
      <c r="O37" s="101"/>
      <c r="P37" s="101"/>
      <c r="Q37" s="101">
        <f t="shared" si="1"/>
        <v>0.62119999999999997</v>
      </c>
      <c r="R37" s="101"/>
      <c r="S37" s="101"/>
      <c r="T37" s="101">
        <f t="shared" si="2"/>
        <v>0.56689999999999996</v>
      </c>
      <c r="U37" s="101"/>
      <c r="V37" s="101"/>
      <c r="W37" s="101"/>
      <c r="X37" s="101"/>
      <c r="Y37" s="101"/>
      <c r="Z37" s="101"/>
    </row>
    <row r="38" spans="1:26" x14ac:dyDescent="0.6">
      <c r="A38" s="8"/>
      <c r="B38" s="99" t="s">
        <v>23</v>
      </c>
      <c r="C38" s="112"/>
      <c r="D38" s="113"/>
      <c r="E38" s="52">
        <f>'BGS PTY22 Cost Alloc'!E38</f>
        <v>0.40579999999999999</v>
      </c>
      <c r="F38" s="112" t="s">
        <v>34</v>
      </c>
      <c r="G38" s="112" t="s">
        <v>34</v>
      </c>
      <c r="H38" s="52">
        <f>'BGS PTY22 Cost Alloc'!H38</f>
        <v>0.44679999999999997</v>
      </c>
      <c r="I38" s="112" t="s">
        <v>34</v>
      </c>
      <c r="J38" s="112"/>
      <c r="K38" s="112"/>
      <c r="L38" s="101"/>
      <c r="M38" s="100"/>
      <c r="N38" s="101"/>
      <c r="O38" s="101"/>
      <c r="P38" s="101"/>
      <c r="Q38" s="101">
        <f t="shared" si="1"/>
        <v>0.59420000000000006</v>
      </c>
      <c r="R38" s="101"/>
      <c r="S38" s="101"/>
      <c r="T38" s="101">
        <f t="shared" si="2"/>
        <v>0.55320000000000003</v>
      </c>
      <c r="U38" s="101"/>
      <c r="V38" s="101"/>
      <c r="W38" s="101"/>
      <c r="X38" s="101"/>
      <c r="Y38" s="101"/>
      <c r="Z38" s="101"/>
    </row>
    <row r="39" spans="1:26" x14ac:dyDescent="0.6">
      <c r="A39" s="8"/>
      <c r="B39" s="99" t="s">
        <v>24</v>
      </c>
      <c r="C39" s="112"/>
      <c r="D39" s="113"/>
      <c r="E39" s="52">
        <f>'BGS PTY22 Cost Alloc'!E39</f>
        <v>0.42009999999999997</v>
      </c>
      <c r="F39" s="112" t="s">
        <v>34</v>
      </c>
      <c r="G39" s="112" t="s">
        <v>34</v>
      </c>
      <c r="H39" s="52">
        <f>'BGS PTY22 Cost Alloc'!H39</f>
        <v>0.45200000000000001</v>
      </c>
      <c r="I39" s="112" t="s">
        <v>34</v>
      </c>
      <c r="J39" s="112"/>
      <c r="K39" s="112"/>
      <c r="L39" s="101"/>
      <c r="M39" s="100"/>
      <c r="N39" s="101"/>
      <c r="O39" s="101"/>
      <c r="P39" s="101"/>
      <c r="Q39" s="101">
        <f t="shared" si="1"/>
        <v>0.57990000000000008</v>
      </c>
      <c r="R39" s="101"/>
      <c r="S39" s="101"/>
      <c r="T39" s="101">
        <f t="shared" si="2"/>
        <v>0.54800000000000004</v>
      </c>
      <c r="U39" s="101"/>
      <c r="V39" s="101"/>
      <c r="W39" s="101"/>
      <c r="X39" s="101"/>
      <c r="Y39" s="101"/>
      <c r="Z39" s="101"/>
    </row>
    <row r="40" spans="1:26" x14ac:dyDescent="0.6">
      <c r="A40" s="8"/>
      <c r="B40" s="99" t="s">
        <v>25</v>
      </c>
      <c r="C40" s="112"/>
      <c r="D40" s="113"/>
      <c r="E40" s="52">
        <f>'BGS PTY22 Cost Alloc'!E40</f>
        <v>0.4249</v>
      </c>
      <c r="F40" s="112" t="s">
        <v>34</v>
      </c>
      <c r="G40" s="112" t="s">
        <v>34</v>
      </c>
      <c r="H40" s="52">
        <f>'BGS PTY22 Cost Alloc'!H40</f>
        <v>0.4481</v>
      </c>
      <c r="I40" s="112" t="s">
        <v>34</v>
      </c>
      <c r="J40" s="112"/>
      <c r="K40" s="112"/>
      <c r="L40" s="101"/>
      <c r="M40" s="100"/>
      <c r="N40" s="101"/>
      <c r="O40" s="101"/>
      <c r="P40" s="101"/>
      <c r="Q40" s="101">
        <f t="shared" si="1"/>
        <v>0.57509999999999994</v>
      </c>
      <c r="R40" s="101"/>
      <c r="S40" s="101"/>
      <c r="T40" s="101">
        <f t="shared" si="2"/>
        <v>0.55190000000000006</v>
      </c>
      <c r="U40" s="101"/>
      <c r="V40" s="101"/>
      <c r="W40" s="101"/>
      <c r="X40" s="101"/>
      <c r="Y40" s="101"/>
      <c r="Z40" s="101"/>
    </row>
    <row r="41" spans="1:26" x14ac:dyDescent="0.6">
      <c r="A41" s="8"/>
      <c r="B41" s="99" t="s">
        <v>26</v>
      </c>
      <c r="C41" s="112"/>
      <c r="D41" s="113"/>
      <c r="E41" s="52">
        <f>'BGS PTY22 Cost Alloc'!E41</f>
        <v>0.4168</v>
      </c>
      <c r="F41" s="112" t="s">
        <v>34</v>
      </c>
      <c r="G41" s="112" t="s">
        <v>34</v>
      </c>
      <c r="H41" s="52">
        <f>'BGS PTY22 Cost Alloc'!H41</f>
        <v>0.4531</v>
      </c>
      <c r="I41" s="112" t="s">
        <v>34</v>
      </c>
      <c r="J41" s="112"/>
      <c r="K41" s="112"/>
      <c r="L41" s="101"/>
      <c r="M41" s="100"/>
      <c r="N41" s="101"/>
      <c r="O41" s="101"/>
      <c r="P41" s="101"/>
      <c r="Q41" s="101">
        <f t="shared" si="1"/>
        <v>0.58319999999999994</v>
      </c>
      <c r="R41" s="101"/>
      <c r="S41" s="101"/>
      <c r="T41" s="101">
        <f t="shared" si="2"/>
        <v>0.54689999999999994</v>
      </c>
      <c r="U41" s="101"/>
      <c r="V41" s="101"/>
      <c r="W41" s="101"/>
      <c r="X41" s="101"/>
      <c r="Y41" s="101"/>
      <c r="Z41" s="101"/>
    </row>
    <row r="42" spans="1:26" x14ac:dyDescent="0.6">
      <c r="A42" s="8"/>
      <c r="B42" s="99" t="s">
        <v>27</v>
      </c>
      <c r="C42" s="112"/>
      <c r="D42" s="113"/>
      <c r="E42" s="52">
        <f>'BGS PTY22 Cost Alloc'!E42</f>
        <v>0.38400000000000001</v>
      </c>
      <c r="F42" s="112" t="s">
        <v>34</v>
      </c>
      <c r="G42" s="112" t="s">
        <v>34</v>
      </c>
      <c r="H42" s="52">
        <f>'BGS PTY22 Cost Alloc'!H42</f>
        <v>0.44940000000000002</v>
      </c>
      <c r="I42" s="112" t="s">
        <v>34</v>
      </c>
      <c r="J42" s="112"/>
      <c r="K42" s="112"/>
      <c r="L42" s="101"/>
      <c r="M42" s="100"/>
      <c r="N42" s="101"/>
      <c r="O42" s="101"/>
      <c r="P42" s="101"/>
      <c r="Q42" s="101">
        <f t="shared" si="1"/>
        <v>0.61599999999999999</v>
      </c>
      <c r="R42" s="101"/>
      <c r="S42" s="101"/>
      <c r="T42" s="101">
        <f t="shared" si="2"/>
        <v>0.55059999999999998</v>
      </c>
      <c r="U42" s="101"/>
      <c r="V42" s="101"/>
      <c r="W42" s="101"/>
      <c r="X42" s="101"/>
      <c r="Y42" s="101"/>
      <c r="Z42" s="101"/>
    </row>
    <row r="43" spans="1:26" x14ac:dyDescent="0.6">
      <c r="A43" s="8"/>
      <c r="B43" s="99" t="s">
        <v>28</v>
      </c>
      <c r="C43" s="112"/>
      <c r="D43" s="113"/>
      <c r="E43" s="52">
        <f>'BGS PTY22 Cost Alloc'!E43</f>
        <v>0.3599</v>
      </c>
      <c r="F43" s="112" t="s">
        <v>34</v>
      </c>
      <c r="G43" s="112" t="s">
        <v>34</v>
      </c>
      <c r="H43" s="52">
        <f>'BGS PTY22 Cost Alloc'!H43</f>
        <v>0.44040000000000001</v>
      </c>
      <c r="I43" s="112" t="s">
        <v>34</v>
      </c>
      <c r="J43" s="112"/>
      <c r="K43" s="112"/>
      <c r="L43" s="101"/>
      <c r="M43" s="100"/>
      <c r="N43" s="101"/>
      <c r="O43" s="101"/>
      <c r="P43" s="101"/>
      <c r="Q43" s="101">
        <f t="shared" si="1"/>
        <v>0.6401</v>
      </c>
      <c r="R43" s="101"/>
      <c r="S43" s="101"/>
      <c r="T43" s="101">
        <f t="shared" si="2"/>
        <v>0.55959999999999999</v>
      </c>
      <c r="U43" s="101"/>
      <c r="V43" s="101"/>
      <c r="W43" s="101"/>
      <c r="X43" s="101"/>
      <c r="Y43" s="101"/>
      <c r="Z43" s="101"/>
    </row>
    <row r="44" spans="1:26" x14ac:dyDescent="0.6">
      <c r="A44" s="8"/>
      <c r="B44" s="99" t="s">
        <v>29</v>
      </c>
      <c r="C44" s="112"/>
      <c r="D44" s="113"/>
      <c r="E44" s="52">
        <f>'BGS PTY22 Cost Alloc'!E44</f>
        <v>0.35909999999999997</v>
      </c>
      <c r="F44" s="112" t="s">
        <v>34</v>
      </c>
      <c r="G44" s="112" t="s">
        <v>34</v>
      </c>
      <c r="H44" s="52">
        <f>'BGS PTY22 Cost Alloc'!H44</f>
        <v>0.42199999999999999</v>
      </c>
      <c r="I44" s="112" t="s">
        <v>34</v>
      </c>
      <c r="J44" s="112"/>
      <c r="K44" s="112"/>
      <c r="L44" s="101"/>
      <c r="M44" s="100"/>
      <c r="N44" s="101"/>
      <c r="O44" s="101"/>
      <c r="P44" s="101"/>
      <c r="Q44" s="101">
        <f t="shared" si="1"/>
        <v>0.64090000000000003</v>
      </c>
      <c r="R44" s="101"/>
      <c r="S44" s="101"/>
      <c r="T44" s="101">
        <f t="shared" si="2"/>
        <v>0.57800000000000007</v>
      </c>
      <c r="U44" s="101"/>
      <c r="V44" s="101"/>
      <c r="W44" s="101"/>
      <c r="X44" s="101"/>
      <c r="Y44" s="101"/>
      <c r="Z44" s="101"/>
    </row>
    <row r="45" spans="1:26" x14ac:dyDescent="0.6">
      <c r="A45" s="8"/>
      <c r="B45" s="99"/>
      <c r="C45" s="112"/>
      <c r="D45" s="112"/>
      <c r="E45" s="112"/>
      <c r="F45" s="112"/>
      <c r="G45" s="112"/>
      <c r="H45" s="112"/>
      <c r="I45" s="112"/>
      <c r="J45" s="112"/>
      <c r="K45" s="112"/>
      <c r="L45" s="101"/>
      <c r="M45" s="100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x14ac:dyDescent="0.6">
      <c r="A46" s="8"/>
      <c r="B46" s="114" t="s">
        <v>35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01"/>
      <c r="M46" s="100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x14ac:dyDescent="0.6">
      <c r="A47" s="8"/>
      <c r="B47" s="114" t="s">
        <v>36</v>
      </c>
      <c r="C47" s="101"/>
      <c r="D47" s="101"/>
      <c r="E47" s="101"/>
      <c r="F47" s="101"/>
      <c r="G47" s="101"/>
      <c r="H47" s="101"/>
      <c r="I47" s="45"/>
      <c r="J47" s="45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x14ac:dyDescent="0.6">
      <c r="A48" s="8"/>
      <c r="B48" s="114" t="s">
        <v>37</v>
      </c>
      <c r="C48" s="101"/>
      <c r="D48" s="101"/>
      <c r="E48" s="101"/>
      <c r="F48" s="101"/>
      <c r="G48" s="101"/>
      <c r="H48" s="101"/>
      <c r="I48" s="45"/>
      <c r="J48" s="45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33" x14ac:dyDescent="0.6">
      <c r="A49" s="8"/>
      <c r="B49" s="114" t="s">
        <v>38</v>
      </c>
      <c r="C49" s="101"/>
      <c r="D49" s="101"/>
      <c r="E49" s="101"/>
      <c r="F49" s="101"/>
      <c r="G49" s="101"/>
      <c r="H49" s="101"/>
      <c r="I49" s="45"/>
      <c r="J49" s="45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33" x14ac:dyDescent="0.6">
      <c r="A50" s="8"/>
      <c r="B50" s="114" t="s">
        <v>39</v>
      </c>
      <c r="C50" s="101"/>
      <c r="D50" s="101"/>
      <c r="E50" s="101"/>
      <c r="F50" s="101"/>
      <c r="G50" s="101"/>
      <c r="H50" s="101"/>
      <c r="I50" s="45"/>
      <c r="J50" s="45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33" x14ac:dyDescent="0.6">
      <c r="A51" s="8"/>
      <c r="B51" s="99"/>
      <c r="C51" s="101"/>
      <c r="D51" s="101"/>
      <c r="E51" s="101"/>
      <c r="F51" s="101"/>
      <c r="G51" s="101"/>
      <c r="H51" s="101"/>
      <c r="I51" s="45"/>
      <c r="J51" s="45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spans="1:33" ht="15.5" x14ac:dyDescent="0.7">
      <c r="A52" s="8"/>
      <c r="B52" s="340" t="str">
        <f>$B$1</f>
        <v xml:space="preserve">Jersey Central Power &amp; Light </v>
      </c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  <row r="53" spans="1:33" ht="15.5" x14ac:dyDescent="0.7">
      <c r="A53" s="8"/>
      <c r="B53" s="340" t="str">
        <f>$B$2</f>
        <v>Attachment 2</v>
      </c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spans="1:33" x14ac:dyDescent="0.6">
      <c r="A54" s="8"/>
      <c r="B54" s="99"/>
      <c r="C54" s="101"/>
      <c r="D54" s="101"/>
      <c r="E54" s="101"/>
      <c r="F54" s="101"/>
      <c r="G54" s="101"/>
      <c r="H54" s="101"/>
      <c r="I54" s="45"/>
      <c r="J54" s="45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33" x14ac:dyDescent="0.6">
      <c r="A55" s="8"/>
      <c r="B55" s="99"/>
      <c r="C55" s="101"/>
      <c r="D55" s="101"/>
      <c r="E55" s="101"/>
      <c r="F55" s="101"/>
      <c r="G55" s="101"/>
      <c r="H55" s="101"/>
      <c r="I55" s="45"/>
      <c r="J55" s="45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4" t="str">
        <f>'BGS PTY22 Cost Alloc'!Y55</f>
        <v>Forecast 2023 Delivery MWh</v>
      </c>
      <c r="X55" s="115"/>
      <c r="Y55" s="115"/>
      <c r="Z55" s="101"/>
    </row>
    <row r="56" spans="1:33" x14ac:dyDescent="0.6">
      <c r="A56" s="6" t="s">
        <v>40</v>
      </c>
      <c r="B56" s="14" t="s">
        <v>41</v>
      </c>
      <c r="E56" s="101"/>
      <c r="F56" s="101"/>
      <c r="G56" s="101"/>
      <c r="H56" s="101"/>
      <c r="I56" s="45"/>
      <c r="J56" s="45"/>
      <c r="O56" s="4"/>
      <c r="W56" s="4"/>
      <c r="X56" s="4"/>
      <c r="Z56" s="116" t="s">
        <v>42</v>
      </c>
    </row>
    <row r="57" spans="1:33" x14ac:dyDescent="0.6">
      <c r="A57" s="8"/>
      <c r="B57" s="15" t="str">
        <f>'BGS PTY22 Cost Alloc'!$B$57</f>
        <v>calendar month sales forecasted for 2023</v>
      </c>
      <c r="N57" s="117"/>
      <c r="O57" s="118"/>
      <c r="P57" s="118"/>
      <c r="Q57" s="118" t="s">
        <v>43</v>
      </c>
      <c r="R57" s="118"/>
      <c r="S57" s="118"/>
      <c r="T57" s="118"/>
      <c r="U57" s="119"/>
      <c r="W57" s="11" t="s">
        <v>44</v>
      </c>
    </row>
    <row r="58" spans="1:33" x14ac:dyDescent="0.6">
      <c r="A58" s="8"/>
      <c r="B58" s="5" t="s">
        <v>45</v>
      </c>
      <c r="C58" s="11"/>
      <c r="D58" s="11"/>
      <c r="E58" s="11" t="str">
        <f>+E$13</f>
        <v>RT{1}</v>
      </c>
      <c r="F58" s="11" t="str">
        <f>+F$13</f>
        <v>RS{2}</v>
      </c>
      <c r="G58" s="11" t="str">
        <f>+G$13</f>
        <v>GS{3}</v>
      </c>
      <c r="H58" s="11" t="s">
        <v>46</v>
      </c>
      <c r="I58" s="11" t="str">
        <f>+I$13</f>
        <v>OL/SL</v>
      </c>
      <c r="J58" s="11" t="s">
        <v>44</v>
      </c>
      <c r="K58" s="11"/>
      <c r="L58" s="11"/>
      <c r="M58" s="11" t="s">
        <v>47</v>
      </c>
      <c r="N58" s="16"/>
      <c r="O58" s="11"/>
      <c r="P58" s="11"/>
      <c r="Q58" s="11" t="str">
        <f>+Q$13</f>
        <v>RT{1}</v>
      </c>
      <c r="R58" s="11" t="str">
        <f>+R$13</f>
        <v>RS{2}</v>
      </c>
      <c r="S58" s="11" t="str">
        <f>+S$13</f>
        <v>GS{3}</v>
      </c>
      <c r="T58" s="11" t="str">
        <f>+T$13</f>
        <v>GST</v>
      </c>
      <c r="U58" s="17" t="str">
        <f>+U$13</f>
        <v>OL/SL</v>
      </c>
      <c r="V58" s="11"/>
      <c r="W58" s="11" t="s">
        <v>48</v>
      </c>
      <c r="X58" s="11" t="s">
        <v>49</v>
      </c>
      <c r="Y58" s="11" t="s">
        <v>50</v>
      </c>
      <c r="Z58" s="11" t="s">
        <v>51</v>
      </c>
      <c r="AA58" s="11" t="s">
        <v>52</v>
      </c>
      <c r="AB58" s="11" t="s">
        <v>53</v>
      </c>
      <c r="AC58" s="11" t="s">
        <v>54</v>
      </c>
      <c r="AD58" s="11" t="s">
        <v>54</v>
      </c>
      <c r="AG58" s="11"/>
    </row>
    <row r="59" spans="1:33" x14ac:dyDescent="0.6">
      <c r="A59" s="8"/>
      <c r="M59" s="4" t="s">
        <v>55</v>
      </c>
      <c r="N59" s="120"/>
      <c r="U59" s="121"/>
    </row>
    <row r="60" spans="1:33" x14ac:dyDescent="0.6">
      <c r="A60" s="8"/>
      <c r="B60" s="99" t="s">
        <v>18</v>
      </c>
      <c r="C60" s="122"/>
      <c r="D60" s="122"/>
      <c r="E60" s="122">
        <f>'BGS PTY22 Cost Alloc'!E60</f>
        <v>21737</v>
      </c>
      <c r="F60" s="122">
        <f>'BGS PTY22 Cost Alloc'!F60</f>
        <v>830631</v>
      </c>
      <c r="G60" s="122">
        <f>'BGS PTY22 Cost Alloc'!G60</f>
        <v>476277</v>
      </c>
      <c r="H60" s="122">
        <f>'BGS PTY22 Cost Alloc'!H60</f>
        <v>14624</v>
      </c>
      <c r="I60" s="122">
        <f>'BGS PTY22 Cost Alloc'!I60</f>
        <v>9753</v>
      </c>
      <c r="J60" s="122">
        <f t="shared" ref="J60:J72" si="3">SUM(E60:I60)</f>
        <v>1353022</v>
      </c>
      <c r="K60" s="122"/>
      <c r="L60" s="122"/>
      <c r="M60" s="122">
        <f t="shared" ref="M60:M71" si="4">E60-ROUND(SUM($W60/1000),0)</f>
        <v>20962</v>
      </c>
      <c r="N60" s="123" t="s">
        <v>56</v>
      </c>
      <c r="O60" s="124"/>
      <c r="P60" s="122"/>
      <c r="Q60" s="122">
        <f>SUM(E60:E64,E69:E71)</f>
        <v>130846</v>
      </c>
      <c r="R60" s="122">
        <f>SUM(F60:F64,F69:F71)</f>
        <v>5527172</v>
      </c>
      <c r="S60" s="122">
        <f>SUM(G60:G64,G69:G71)</f>
        <v>3504499</v>
      </c>
      <c r="T60" s="122">
        <f>SUM(H60:H64,H69:H71)</f>
        <v>102347</v>
      </c>
      <c r="U60" s="125">
        <f>SUM(I60:I64,I69:I71)</f>
        <v>78032</v>
      </c>
      <c r="V60" s="99">
        <f>'BGS PTY22 Cost Alloc'!V60</f>
        <v>44927</v>
      </c>
      <c r="W60" s="122">
        <f>'BGS PTY22 Cost Alloc'!W60</f>
        <v>775186.66666659992</v>
      </c>
      <c r="X60" s="122">
        <f>'BGS PTY22 Cost Alloc'!X60</f>
        <v>16773</v>
      </c>
      <c r="Y60" s="122">
        <f t="shared" ref="Y60:Y71" si="5">W60-X60</f>
        <v>758413.66666659992</v>
      </c>
      <c r="Z60" s="122">
        <f>'BGS PTY22 Cost Alloc'!Z60</f>
        <v>1779217.186677</v>
      </c>
      <c r="AA60" s="122">
        <f>'BGS PTY22 Cost Alloc'!AA60</f>
        <v>20961.6466553014</v>
      </c>
      <c r="AB60" s="122">
        <f>'BGS PTY22 Cost Alloc'!AB60</f>
        <v>828852.04053248593</v>
      </c>
      <c r="AC60" s="122">
        <f>'BGS PTY22 Cost Alloc'!AC60</f>
        <v>476293.90376343799</v>
      </c>
      <c r="AD60" s="122">
        <f>'BGS PTY22 Cost Alloc'!AD60</f>
        <v>533175.84776343801</v>
      </c>
      <c r="AG60" s="122"/>
    </row>
    <row r="61" spans="1:33" x14ac:dyDescent="0.6">
      <c r="A61" s="8"/>
      <c r="B61" s="99" t="s">
        <v>19</v>
      </c>
      <c r="C61" s="122"/>
      <c r="D61" s="122"/>
      <c r="E61" s="122">
        <f>'BGS PTY22 Cost Alloc'!E61</f>
        <v>21724</v>
      </c>
      <c r="F61" s="122">
        <f>'BGS PTY22 Cost Alloc'!F61</f>
        <v>791280</v>
      </c>
      <c r="G61" s="122">
        <f>'BGS PTY22 Cost Alloc'!G61</f>
        <v>464508</v>
      </c>
      <c r="H61" s="122">
        <f>'BGS PTY22 Cost Alloc'!H61</f>
        <v>14543</v>
      </c>
      <c r="I61" s="122">
        <f>'BGS PTY22 Cost Alloc'!I61</f>
        <v>9753</v>
      </c>
      <c r="J61" s="122">
        <f t="shared" si="3"/>
        <v>1301808</v>
      </c>
      <c r="K61" s="122"/>
      <c r="L61" s="122"/>
      <c r="M61" s="122">
        <f t="shared" si="4"/>
        <v>20997</v>
      </c>
      <c r="N61" s="123"/>
      <c r="O61" s="124"/>
      <c r="P61" s="126" t="s">
        <v>57</v>
      </c>
      <c r="Q61" s="122">
        <f>SUMPRODUCT(E33:E37,M60:M64)+SUMPRODUCT(E42:E44,M69:M71)</f>
        <v>45239.026299999998</v>
      </c>
      <c r="S61" s="127" t="s">
        <v>58</v>
      </c>
      <c r="T61" s="122">
        <f>SUMPRODUCT(H33:H37,H60:H64)+SUMPRODUCT(H42:H44,H69:H71)</f>
        <v>43702.025500000003</v>
      </c>
      <c r="U61" s="121">
        <f>T61/T60</f>
        <v>0.42699859790711991</v>
      </c>
      <c r="V61" s="99">
        <f>'BGS PTY22 Cost Alloc'!V61</f>
        <v>44958</v>
      </c>
      <c r="W61" s="122">
        <f>'BGS PTY22 Cost Alloc'!W61</f>
        <v>727049.66666670004</v>
      </c>
      <c r="X61" s="122">
        <f>'BGS PTY22 Cost Alloc'!X61</f>
        <v>16329</v>
      </c>
      <c r="Y61" s="122">
        <f t="shared" si="5"/>
        <v>710720.66666670004</v>
      </c>
      <c r="Z61" s="122">
        <f>'BGS PTY22 Cost Alloc'!Z61</f>
        <v>1803587.4535377</v>
      </c>
      <c r="AA61" s="122">
        <f>'BGS PTY22 Cost Alloc'!AA61</f>
        <v>20996.894169701798</v>
      </c>
      <c r="AB61" s="122">
        <f>'BGS PTY22 Cost Alloc'!AB61</f>
        <v>789476.49592749402</v>
      </c>
      <c r="AC61" s="122">
        <f>'BGS PTY22 Cost Alloc'!AC61</f>
        <v>464524.42941122002</v>
      </c>
      <c r="AD61" s="122">
        <f>'BGS PTY22 Cost Alloc'!AD61</f>
        <v>519753.48641121999</v>
      </c>
      <c r="AG61" s="122"/>
    </row>
    <row r="62" spans="1:33" x14ac:dyDescent="0.6">
      <c r="A62" s="8"/>
      <c r="B62" s="99" t="s">
        <v>20</v>
      </c>
      <c r="C62" s="122"/>
      <c r="D62" s="122"/>
      <c r="E62" s="122">
        <f>'BGS PTY22 Cost Alloc'!E62</f>
        <v>19819</v>
      </c>
      <c r="F62" s="122">
        <f>'BGS PTY22 Cost Alloc'!F62</f>
        <v>731324</v>
      </c>
      <c r="G62" s="122">
        <f>'BGS PTY22 Cost Alloc'!G62</f>
        <v>459199</v>
      </c>
      <c r="H62" s="122">
        <f>'BGS PTY22 Cost Alloc'!H62</f>
        <v>14902</v>
      </c>
      <c r="I62" s="122">
        <f>'BGS PTY22 Cost Alloc'!I62</f>
        <v>9753</v>
      </c>
      <c r="J62" s="122">
        <f t="shared" si="3"/>
        <v>1234997</v>
      </c>
      <c r="K62" s="122"/>
      <c r="L62" s="122"/>
      <c r="M62" s="122">
        <f t="shared" si="4"/>
        <v>19101</v>
      </c>
      <c r="N62" s="123"/>
      <c r="O62" s="124"/>
      <c r="P62" s="126" t="s">
        <v>59</v>
      </c>
      <c r="Q62" s="122">
        <f>SUMPRODUCT(Q33:Q37,M60:M64)+SUMPRODUCT(Q42:Q44,M69:M71)</f>
        <v>80332.973700000002</v>
      </c>
      <c r="S62" s="127" t="s">
        <v>60</v>
      </c>
      <c r="T62" s="122">
        <f>+T60-T61</f>
        <v>58644.974499999997</v>
      </c>
      <c r="U62" s="121"/>
      <c r="V62" s="99">
        <f>'BGS PTY22 Cost Alloc'!V62</f>
        <v>44986</v>
      </c>
      <c r="W62" s="122">
        <f>'BGS PTY22 Cost Alloc'!W62</f>
        <v>717810</v>
      </c>
      <c r="X62" s="122">
        <f>'BGS PTY22 Cost Alloc'!X62</f>
        <v>15567</v>
      </c>
      <c r="Y62" s="122">
        <f t="shared" si="5"/>
        <v>702243</v>
      </c>
      <c r="Z62" s="122">
        <f>'BGS PTY22 Cost Alloc'!Z62</f>
        <v>1567211.6019067001</v>
      </c>
      <c r="AA62" s="122">
        <f>'BGS PTY22 Cost Alloc'!AA62</f>
        <v>19100.9164618377</v>
      </c>
      <c r="AB62" s="122">
        <f>'BGS PTY22 Cost Alloc'!AB62</f>
        <v>729756.53727940703</v>
      </c>
      <c r="AC62" s="122">
        <f>'BGS PTY22 Cost Alloc'!AC62</f>
        <v>459215.28149496904</v>
      </c>
      <c r="AD62" s="122">
        <f>'BGS PTY22 Cost Alloc'!AD62</f>
        <v>515736.73449496902</v>
      </c>
      <c r="AG62" s="122"/>
    </row>
    <row r="63" spans="1:33" x14ac:dyDescent="0.6">
      <c r="A63" s="8"/>
      <c r="B63" s="99" t="s">
        <v>21</v>
      </c>
      <c r="C63" s="122"/>
      <c r="D63" s="122"/>
      <c r="E63" s="122">
        <f>'BGS PTY22 Cost Alloc'!E63</f>
        <v>15463</v>
      </c>
      <c r="F63" s="122">
        <f>'BGS PTY22 Cost Alloc'!F63</f>
        <v>626387</v>
      </c>
      <c r="G63" s="122">
        <f>'BGS PTY22 Cost Alloc'!G63</f>
        <v>426664</v>
      </c>
      <c r="H63" s="122">
        <f>'BGS PTY22 Cost Alloc'!H63</f>
        <v>12002</v>
      </c>
      <c r="I63" s="122">
        <f>'BGS PTY22 Cost Alloc'!I63</f>
        <v>9753</v>
      </c>
      <c r="J63" s="122">
        <f t="shared" si="3"/>
        <v>1090269</v>
      </c>
      <c r="K63" s="122"/>
      <c r="L63" s="122"/>
      <c r="M63" s="122">
        <f t="shared" si="4"/>
        <v>14760</v>
      </c>
      <c r="N63" s="120"/>
      <c r="P63" s="126" t="s">
        <v>61</v>
      </c>
      <c r="Q63" s="122">
        <f>SUM(W60:W64,W69:W71)/1000</f>
        <v>5274.0046993009</v>
      </c>
      <c r="U63" s="121"/>
      <c r="V63" s="99">
        <f>'BGS PTY22 Cost Alloc'!V63</f>
        <v>45017</v>
      </c>
      <c r="W63" s="122">
        <f>'BGS PTY22 Cost Alloc'!W63</f>
        <v>703354.66666660004</v>
      </c>
      <c r="X63" s="122">
        <f>'BGS PTY22 Cost Alloc'!X63</f>
        <v>15410</v>
      </c>
      <c r="Y63" s="122">
        <f t="shared" si="5"/>
        <v>687944.66666660004</v>
      </c>
      <c r="Z63" s="122">
        <f>'BGS PTY22 Cost Alloc'!Z63</f>
        <v>1136867.3307473999</v>
      </c>
      <c r="AA63" s="122">
        <f>'BGS PTY22 Cost Alloc'!AA63</f>
        <v>14759.780561416701</v>
      </c>
      <c r="AB63" s="122">
        <f>'BGS PTY22 Cost Alloc'!AB63</f>
        <v>625250.09678912896</v>
      </c>
      <c r="AC63" s="122">
        <f>'BGS PTY22 Cost Alloc'!AC63</f>
        <v>426678.98267302895</v>
      </c>
      <c r="AD63" s="122">
        <f>'BGS PTY22 Cost Alloc'!AD63</f>
        <v>483414.67567302898</v>
      </c>
      <c r="AG63" s="122"/>
    </row>
    <row r="64" spans="1:33" x14ac:dyDescent="0.6">
      <c r="A64" s="8"/>
      <c r="B64" s="99" t="s">
        <v>22</v>
      </c>
      <c r="C64" s="122"/>
      <c r="D64" s="122"/>
      <c r="E64" s="122">
        <f>'BGS PTY22 Cost Alloc'!E64</f>
        <v>12474</v>
      </c>
      <c r="F64" s="122">
        <f>'BGS PTY22 Cost Alloc'!F64</f>
        <v>571244</v>
      </c>
      <c r="G64" s="122">
        <f>'BGS PTY22 Cost Alloc'!G64</f>
        <v>392258</v>
      </c>
      <c r="H64" s="122">
        <f>'BGS PTY22 Cost Alloc'!H64</f>
        <v>9803</v>
      </c>
      <c r="I64" s="122">
        <f>'BGS PTY22 Cost Alloc'!I64</f>
        <v>9754</v>
      </c>
      <c r="J64" s="122">
        <f t="shared" si="3"/>
        <v>995533</v>
      </c>
      <c r="K64" s="122"/>
      <c r="L64" s="122"/>
      <c r="M64" s="122">
        <f t="shared" si="4"/>
        <v>11797</v>
      </c>
      <c r="N64" s="123" t="s">
        <v>62</v>
      </c>
      <c r="O64" s="124"/>
      <c r="P64" s="122"/>
      <c r="Q64" s="122">
        <f>+SUM(E65:E68)</f>
        <v>64447</v>
      </c>
      <c r="R64" s="122">
        <f>+SUM(F65:F68)</f>
        <v>3936305</v>
      </c>
      <c r="S64" s="122">
        <f>+SUM(G65:G68)</f>
        <v>2026419</v>
      </c>
      <c r="T64" s="122">
        <f>+SUM(H65:H68)</f>
        <v>50857</v>
      </c>
      <c r="U64" s="125">
        <f>+SUM(I65:I68)</f>
        <v>39017</v>
      </c>
      <c r="V64" s="99">
        <f>'BGS PTY22 Cost Alloc'!V64</f>
        <v>45047</v>
      </c>
      <c r="W64" s="122">
        <f>'BGS PTY22 Cost Alloc'!W64</f>
        <v>677439.37307890004</v>
      </c>
      <c r="X64" s="122">
        <f>'BGS PTY22 Cost Alloc'!X64</f>
        <v>16689.984105300002</v>
      </c>
      <c r="Y64" s="122">
        <f t="shared" si="5"/>
        <v>660749.3889736</v>
      </c>
      <c r="Z64" s="122">
        <f>'BGS PTY22 Cost Alloc'!Z64</f>
        <v>922909.67974469997</v>
      </c>
      <c r="AA64" s="122">
        <f>'BGS PTY22 Cost Alloc'!AA64</f>
        <v>11797.4620390653</v>
      </c>
      <c r="AB64" s="122">
        <f>'BGS PTY22 Cost Alloc'!AB64</f>
        <v>570321.48521926499</v>
      </c>
      <c r="AC64" s="122">
        <f>'BGS PTY22 Cost Alloc'!AC64</f>
        <v>392275.08711539698</v>
      </c>
      <c r="AD64" s="122">
        <f>'BGS PTY22 Cost Alloc'!AD64</f>
        <v>456323.161115397</v>
      </c>
      <c r="AG64" s="122"/>
    </row>
    <row r="65" spans="1:33" x14ac:dyDescent="0.6">
      <c r="A65" s="8"/>
      <c r="B65" s="99" t="s">
        <v>23</v>
      </c>
      <c r="C65" s="122"/>
      <c r="D65" s="122"/>
      <c r="E65" s="122">
        <f>'BGS PTY22 Cost Alloc'!E65</f>
        <v>13518</v>
      </c>
      <c r="F65" s="122">
        <f>'BGS PTY22 Cost Alloc'!F65</f>
        <v>723109</v>
      </c>
      <c r="G65" s="122">
        <f>'BGS PTY22 Cost Alloc'!G65</f>
        <v>458107</v>
      </c>
      <c r="H65" s="122">
        <f>'BGS PTY22 Cost Alloc'!H65</f>
        <v>11312</v>
      </c>
      <c r="I65" s="122">
        <f>'BGS PTY22 Cost Alloc'!I65</f>
        <v>9754</v>
      </c>
      <c r="J65" s="122">
        <f t="shared" si="3"/>
        <v>1215800</v>
      </c>
      <c r="K65" s="122"/>
      <c r="L65" s="122"/>
      <c r="M65" s="122">
        <f t="shared" si="4"/>
        <v>12884</v>
      </c>
      <c r="N65" s="123"/>
      <c r="O65" s="124"/>
      <c r="P65" s="128" t="s">
        <v>63</v>
      </c>
      <c r="Q65" s="122">
        <f>SUMPRODUCT(E38:E41,M65:M68)</f>
        <v>26016.642399999997</v>
      </c>
      <c r="R65" s="122">
        <f>'BGS PTY22 Cost Alloc'!R65</f>
        <v>2081168.3119226394</v>
      </c>
      <c r="S65" s="127" t="s">
        <v>58</v>
      </c>
      <c r="T65" s="122">
        <f>+SUMPRODUCT(H38:H41,H65:H68)</f>
        <v>22890.5242</v>
      </c>
      <c r="U65" s="129">
        <f>T65/T64</f>
        <v>0.45009584128045305</v>
      </c>
      <c r="V65" s="99">
        <f>'BGS PTY22 Cost Alloc'!V65</f>
        <v>45078</v>
      </c>
      <c r="W65" s="122">
        <f>'BGS PTY22 Cost Alloc'!W65</f>
        <v>633673.10451660003</v>
      </c>
      <c r="X65" s="122">
        <f>'BGS PTY22 Cost Alloc'!X65</f>
        <v>13661.020794700002</v>
      </c>
      <c r="Y65" s="122">
        <f t="shared" si="5"/>
        <v>620012.08372190001</v>
      </c>
      <c r="Z65" s="122">
        <f>'BGS PTY22 Cost Alloc'!Z65</f>
        <v>931798.00980260002</v>
      </c>
      <c r="AA65" s="122">
        <f>'BGS PTY22 Cost Alloc'!AA65</f>
        <v>11952.541498757901</v>
      </c>
      <c r="AB65" s="122">
        <f>'BGS PTY22 Cost Alloc'!AB65</f>
        <v>723109.30610346305</v>
      </c>
      <c r="AC65" s="122">
        <f>'BGS PTY22 Cost Alloc'!AC65</f>
        <v>458120.80625261203</v>
      </c>
      <c r="AD65" s="122">
        <f>'BGS PTY22 Cost Alloc'!AD65</f>
        <v>516518.22125261201</v>
      </c>
      <c r="AG65" s="122"/>
    </row>
    <row r="66" spans="1:33" x14ac:dyDescent="0.6">
      <c r="A66" s="8"/>
      <c r="B66" s="99" t="s">
        <v>24</v>
      </c>
      <c r="C66" s="122"/>
      <c r="D66" s="122"/>
      <c r="E66" s="122">
        <f>'BGS PTY22 Cost Alloc'!E66</f>
        <v>17081</v>
      </c>
      <c r="F66" s="122">
        <f>'BGS PTY22 Cost Alloc'!F66</f>
        <v>1061944</v>
      </c>
      <c r="G66" s="122">
        <f>'BGS PTY22 Cost Alloc'!G66</f>
        <v>516146</v>
      </c>
      <c r="H66" s="122">
        <f>'BGS PTY22 Cost Alloc'!H66</f>
        <v>13379</v>
      </c>
      <c r="I66" s="122">
        <f>'BGS PTY22 Cost Alloc'!I66</f>
        <v>9754</v>
      </c>
      <c r="J66" s="122">
        <f t="shared" si="3"/>
        <v>1618304</v>
      </c>
      <c r="K66" s="122"/>
      <c r="L66" s="122"/>
      <c r="M66" s="122">
        <f t="shared" si="4"/>
        <v>16533</v>
      </c>
      <c r="N66" s="123"/>
      <c r="O66" s="124"/>
      <c r="P66" s="128" t="s">
        <v>64</v>
      </c>
      <c r="Q66" s="122">
        <f>SUMPRODUCT(Q38:Q41,M65:M68)</f>
        <v>36277.357600000003</v>
      </c>
      <c r="R66" s="122">
        <f>'BGS PTY22 Cost Alloc'!R66</f>
        <v>1855136.6880773606</v>
      </c>
      <c r="S66" s="127" t="s">
        <v>60</v>
      </c>
      <c r="T66" s="122">
        <f>+T64-T65</f>
        <v>27966.4758</v>
      </c>
      <c r="U66" s="121"/>
      <c r="V66" s="99">
        <f>'BGS PTY22 Cost Alloc'!V66</f>
        <v>45108</v>
      </c>
      <c r="W66" s="122">
        <f>'BGS PTY22 Cost Alloc'!W66</f>
        <v>547556.57998099993</v>
      </c>
      <c r="X66" s="122">
        <f>'BGS PTY22 Cost Alloc'!X66</f>
        <v>12231.271228000001</v>
      </c>
      <c r="Y66" s="122">
        <f t="shared" si="5"/>
        <v>535325.30875299987</v>
      </c>
      <c r="Z66" s="122">
        <f>'BGS PTY22 Cost Alloc'!Z66</f>
        <v>1169850.3956394</v>
      </c>
      <c r="AA66" s="122">
        <f>'BGS PTY22 Cost Alloc'!AA66</f>
        <v>15363.8896208839</v>
      </c>
      <c r="AB66" s="122">
        <f>'BGS PTY22 Cost Alloc'!AB66</f>
        <v>1061943.7223306301</v>
      </c>
      <c r="AC66" s="122">
        <f>'BGS PTY22 Cost Alloc'!AC66</f>
        <v>516157.98113801394</v>
      </c>
      <c r="AD66" s="122">
        <f>'BGS PTY22 Cost Alloc'!AD66</f>
        <v>586717.35013801395</v>
      </c>
      <c r="AG66" s="122"/>
    </row>
    <row r="67" spans="1:33" x14ac:dyDescent="0.6">
      <c r="A67" s="8"/>
      <c r="B67" s="99" t="s">
        <v>25</v>
      </c>
      <c r="C67" s="122"/>
      <c r="D67" s="122"/>
      <c r="E67" s="122">
        <f>'BGS PTY22 Cost Alloc'!E67</f>
        <v>17728</v>
      </c>
      <c r="F67" s="122">
        <f>'BGS PTY22 Cost Alloc'!F67</f>
        <v>1136389</v>
      </c>
      <c r="G67" s="122">
        <f>'BGS PTY22 Cost Alloc'!G67</f>
        <v>548316</v>
      </c>
      <c r="H67" s="122">
        <f>'BGS PTY22 Cost Alloc'!H67</f>
        <v>13360</v>
      </c>
      <c r="I67" s="122">
        <f>'BGS PTY22 Cost Alloc'!I67</f>
        <v>9754</v>
      </c>
      <c r="J67" s="122">
        <f t="shared" si="3"/>
        <v>1725547</v>
      </c>
      <c r="K67" s="122"/>
      <c r="L67" s="122"/>
      <c r="M67" s="122">
        <f t="shared" si="4"/>
        <v>17243</v>
      </c>
      <c r="N67" s="130"/>
      <c r="O67" s="131"/>
      <c r="P67" s="126" t="s">
        <v>61</v>
      </c>
      <c r="Q67" s="122">
        <f>SUM(W65:W68)/1000</f>
        <v>2152.0655431923001</v>
      </c>
      <c r="R67" s="132"/>
      <c r="S67" s="131"/>
      <c r="T67" s="131"/>
      <c r="U67" s="133"/>
      <c r="V67" s="99">
        <f>'BGS PTY22 Cost Alloc'!V67</f>
        <v>45139</v>
      </c>
      <c r="W67" s="122">
        <f>'BGS PTY22 Cost Alloc'!W67</f>
        <v>485237.61095230002</v>
      </c>
      <c r="X67" s="122">
        <f>'BGS PTY22 Cost Alloc'!X67</f>
        <v>10069.392233</v>
      </c>
      <c r="Y67" s="122">
        <f t="shared" si="5"/>
        <v>475168.2187193</v>
      </c>
      <c r="Z67" s="122">
        <f>'BGS PTY22 Cost Alloc'!Z67</f>
        <v>1144838.6630997001</v>
      </c>
      <c r="AA67" s="122">
        <f>'BGS PTY22 Cost Alloc'!AA67</f>
        <v>16097.790328732901</v>
      </c>
      <c r="AB67" s="122">
        <f>'BGS PTY22 Cost Alloc'!AB67</f>
        <v>1136389.47848098</v>
      </c>
      <c r="AC67" s="122">
        <f>'BGS PTY22 Cost Alloc'!AC67</f>
        <v>548326.19832697499</v>
      </c>
      <c r="AD67" s="122">
        <f>'BGS PTY22 Cost Alloc'!AD67</f>
        <v>621281.39632697497</v>
      </c>
      <c r="AG67" s="122"/>
    </row>
    <row r="68" spans="1:33" x14ac:dyDescent="0.6">
      <c r="A68" s="8"/>
      <c r="B68" s="99" t="s">
        <v>26</v>
      </c>
      <c r="C68" s="122"/>
      <c r="D68" s="122"/>
      <c r="E68" s="122">
        <f>'BGS PTY22 Cost Alloc'!E68</f>
        <v>16120</v>
      </c>
      <c r="F68" s="122">
        <f>'BGS PTY22 Cost Alloc'!F68</f>
        <v>1014863</v>
      </c>
      <c r="G68" s="122">
        <f>'BGS PTY22 Cost Alloc'!G68</f>
        <v>503850</v>
      </c>
      <c r="H68" s="122">
        <f>'BGS PTY22 Cost Alloc'!H68</f>
        <v>12806</v>
      </c>
      <c r="I68" s="122">
        <f>'BGS PTY22 Cost Alloc'!I68</f>
        <v>9755</v>
      </c>
      <c r="J68" s="122">
        <f t="shared" si="3"/>
        <v>1557394</v>
      </c>
      <c r="K68" s="122"/>
      <c r="L68" s="122"/>
      <c r="M68" s="122">
        <f t="shared" si="4"/>
        <v>15634</v>
      </c>
      <c r="N68" s="117"/>
      <c r="O68" s="118"/>
      <c r="P68" s="118"/>
      <c r="Q68" s="118" t="s">
        <v>65</v>
      </c>
      <c r="R68" s="118"/>
      <c r="S68" s="118"/>
      <c r="T68" s="118"/>
      <c r="U68" s="119"/>
      <c r="V68" s="99">
        <f>'BGS PTY22 Cost Alloc'!V68</f>
        <v>45170</v>
      </c>
      <c r="W68" s="122">
        <f>'BGS PTY22 Cost Alloc'!W68</f>
        <v>485598.24774239998</v>
      </c>
      <c r="X68" s="122">
        <f>'BGS PTY22 Cost Alloc'!X68</f>
        <v>9940.5144476999994</v>
      </c>
      <c r="Y68" s="122">
        <f t="shared" si="5"/>
        <v>475657.73329469998</v>
      </c>
      <c r="Z68" s="122">
        <f>'BGS PTY22 Cost Alloc'!Z68</f>
        <v>1067243.2872257</v>
      </c>
      <c r="AA68" s="122">
        <f>'BGS PTY22 Cost Alloc'!AA68</f>
        <v>14566.509985743</v>
      </c>
      <c r="AB68" s="122">
        <f>'BGS PTY22 Cost Alloc'!AB68</f>
        <v>1014863.05470183</v>
      </c>
      <c r="AC68" s="122">
        <f>'BGS PTY22 Cost Alloc'!AC68</f>
        <v>503860.09486879804</v>
      </c>
      <c r="AD68" s="122">
        <f>'BGS PTY22 Cost Alloc'!AD68</f>
        <v>574691.07286879804</v>
      </c>
      <c r="AG68" s="122"/>
    </row>
    <row r="69" spans="1:33" x14ac:dyDescent="0.6">
      <c r="A69" s="8"/>
      <c r="B69" s="99" t="s">
        <v>27</v>
      </c>
      <c r="C69" s="122"/>
      <c r="D69" s="122"/>
      <c r="E69" s="122">
        <f>'BGS PTY22 Cost Alloc'!E69</f>
        <v>11336</v>
      </c>
      <c r="F69" s="122">
        <f>'BGS PTY22 Cost Alloc'!F69</f>
        <v>688787</v>
      </c>
      <c r="G69" s="122">
        <f>'BGS PTY22 Cost Alloc'!G69</f>
        <v>448325</v>
      </c>
      <c r="H69" s="122">
        <f>'BGS PTY22 Cost Alloc'!H69</f>
        <v>12663</v>
      </c>
      <c r="I69" s="122">
        <f>'BGS PTY22 Cost Alloc'!I69</f>
        <v>9755</v>
      </c>
      <c r="J69" s="122">
        <f t="shared" si="3"/>
        <v>1170866</v>
      </c>
      <c r="K69" s="122"/>
      <c r="L69" s="122"/>
      <c r="M69" s="122">
        <f t="shared" si="4"/>
        <v>10839</v>
      </c>
      <c r="N69" s="16"/>
      <c r="O69" s="11"/>
      <c r="P69" s="11"/>
      <c r="Q69" s="11" t="str">
        <f>+Q$13</f>
        <v>RT{1}</v>
      </c>
      <c r="R69" s="11"/>
      <c r="S69" s="11"/>
      <c r="T69" s="11" t="str">
        <f>+T$13</f>
        <v>GST</v>
      </c>
      <c r="U69" s="17"/>
      <c r="V69" s="99">
        <f>'BGS PTY22 Cost Alloc'!V69</f>
        <v>45200</v>
      </c>
      <c r="W69" s="122">
        <f>'BGS PTY22 Cost Alloc'!W69</f>
        <v>496544.46312099992</v>
      </c>
      <c r="X69" s="122">
        <f>'BGS PTY22 Cost Alloc'!X69</f>
        <v>13754.015775299998</v>
      </c>
      <c r="Y69" s="122">
        <f t="shared" si="5"/>
        <v>482790.44734569994</v>
      </c>
      <c r="Z69" s="122">
        <f>'BGS PTY22 Cost Alloc'!Z69</f>
        <v>853942.26917420002</v>
      </c>
      <c r="AA69" s="122">
        <f>'BGS PTY22 Cost Alloc'!AA69</f>
        <v>10839.209389539899</v>
      </c>
      <c r="AB69" s="122">
        <f>'BGS PTY22 Cost Alloc'!AB69</f>
        <v>687933.24885446706</v>
      </c>
      <c r="AC69" s="122">
        <f>'BGS PTY22 Cost Alloc'!AC69</f>
        <v>448339.39622732595</v>
      </c>
      <c r="AD69" s="122">
        <f>'BGS PTY22 Cost Alloc'!AD69</f>
        <v>509437.36722732597</v>
      </c>
      <c r="AG69" s="122"/>
    </row>
    <row r="70" spans="1:33" x14ac:dyDescent="0.6">
      <c r="A70" s="8"/>
      <c r="B70" s="99" t="s">
        <v>28</v>
      </c>
      <c r="C70" s="122"/>
      <c r="D70" s="122"/>
      <c r="E70" s="122">
        <f>'BGS PTY22 Cost Alloc'!E70</f>
        <v>11805</v>
      </c>
      <c r="F70" s="122">
        <f>'BGS PTY22 Cost Alloc'!F70</f>
        <v>588637</v>
      </c>
      <c r="G70" s="122">
        <f>'BGS PTY22 Cost Alloc'!G70</f>
        <v>405256</v>
      </c>
      <c r="H70" s="122">
        <f>'BGS PTY22 Cost Alloc'!H70</f>
        <v>11636</v>
      </c>
      <c r="I70" s="122">
        <f>'BGS PTY22 Cost Alloc'!I70</f>
        <v>9755</v>
      </c>
      <c r="J70" s="122">
        <f t="shared" si="3"/>
        <v>1027089</v>
      </c>
      <c r="K70" s="122"/>
      <c r="L70" s="122"/>
      <c r="M70" s="122">
        <f t="shared" si="4"/>
        <v>11254</v>
      </c>
      <c r="N70" s="120"/>
      <c r="U70" s="121"/>
      <c r="V70" s="99">
        <f>'BGS PTY22 Cost Alloc'!V70</f>
        <v>45231</v>
      </c>
      <c r="W70" s="122">
        <f>'BGS PTY22 Cost Alloc'!W70</f>
        <v>551029.81771500001</v>
      </c>
      <c r="X70" s="122">
        <f>'BGS PTY22 Cost Alloc'!X70</f>
        <v>12896.758878300001</v>
      </c>
      <c r="Y70" s="122">
        <f t="shared" si="5"/>
        <v>538133.05883670005</v>
      </c>
      <c r="Z70" s="122">
        <f>'BGS PTY22 Cost Alloc'!Z70</f>
        <v>988879.76956410008</v>
      </c>
      <c r="AA70" s="122">
        <f>'BGS PTY22 Cost Alloc'!AA70</f>
        <v>11253.687441919601</v>
      </c>
      <c r="AB70" s="122">
        <f>'BGS PTY22 Cost Alloc'!AB70</f>
        <v>587647.82375456207</v>
      </c>
      <c r="AC70" s="122">
        <f>'BGS PTY22 Cost Alloc'!AC70</f>
        <v>405268.76539500704</v>
      </c>
      <c r="AD70" s="122">
        <f>'BGS PTY22 Cost Alloc'!AD70</f>
        <v>463306.65239500703</v>
      </c>
      <c r="AG70" s="122"/>
    </row>
    <row r="71" spans="1:33" x14ac:dyDescent="0.6">
      <c r="A71" s="8"/>
      <c r="B71" s="99" t="s">
        <v>29</v>
      </c>
      <c r="C71" s="122"/>
      <c r="D71" s="122"/>
      <c r="E71" s="122">
        <f>'BGS PTY22 Cost Alloc'!E71</f>
        <v>16488</v>
      </c>
      <c r="F71" s="122">
        <f>'BGS PTY22 Cost Alloc'!F71</f>
        <v>698882</v>
      </c>
      <c r="G71" s="122">
        <f>'BGS PTY22 Cost Alloc'!G71</f>
        <v>432012</v>
      </c>
      <c r="H71" s="122">
        <f>'BGS PTY22 Cost Alloc'!H71</f>
        <v>12174</v>
      </c>
      <c r="I71" s="122">
        <f>'BGS PTY22 Cost Alloc'!I71</f>
        <v>9756</v>
      </c>
      <c r="J71" s="122">
        <f t="shared" si="3"/>
        <v>1169312</v>
      </c>
      <c r="K71" s="122"/>
      <c r="L71" s="122"/>
      <c r="M71" s="122">
        <f t="shared" si="4"/>
        <v>15862</v>
      </c>
      <c r="N71" s="123"/>
      <c r="O71" s="124"/>
      <c r="P71" s="128" t="s">
        <v>66</v>
      </c>
      <c r="Q71" s="122">
        <f>SUM(E60:E64,E69:E71)</f>
        <v>130846</v>
      </c>
      <c r="R71" s="122"/>
      <c r="S71" s="128" t="s">
        <v>66</v>
      </c>
      <c r="T71" s="122">
        <f>SUM(H60:H64,H69:H71)</f>
        <v>102347</v>
      </c>
      <c r="U71" s="125"/>
      <c r="V71" s="99">
        <f>'BGS PTY22 Cost Alloc'!V71</f>
        <v>45261</v>
      </c>
      <c r="W71" s="122">
        <f>'BGS PTY22 Cost Alloc'!W71</f>
        <v>625590.04538609996</v>
      </c>
      <c r="X71" s="122">
        <f>'BGS PTY22 Cost Alloc'!X71</f>
        <v>13772.6687377</v>
      </c>
      <c r="Y71" s="122">
        <f t="shared" si="5"/>
        <v>611817.37664839998</v>
      </c>
      <c r="Z71" s="122">
        <f>'BGS PTY22 Cost Alloc'!Z71</f>
        <v>1394051.4240458999</v>
      </c>
      <c r="AA71" s="122">
        <f>'BGS PTY22 Cost Alloc'!AA71</f>
        <v>15861.6818067494</v>
      </c>
      <c r="AB71" s="122">
        <f>'BGS PTY22 Cost Alloc'!AB71</f>
        <v>697487.68002028798</v>
      </c>
      <c r="AC71" s="122">
        <f>'BGS PTY22 Cost Alloc'!AC71</f>
        <v>432025.72825334599</v>
      </c>
      <c r="AD71" s="122">
        <f>'BGS PTY22 Cost Alloc'!AD71</f>
        <v>489187.189253346</v>
      </c>
      <c r="AG71" s="122"/>
    </row>
    <row r="72" spans="1:33" x14ac:dyDescent="0.6">
      <c r="A72" s="8"/>
      <c r="B72" s="134" t="s">
        <v>44</v>
      </c>
      <c r="C72" s="122"/>
      <c r="D72" s="122"/>
      <c r="E72" s="122">
        <f>SUM(E60:E71)</f>
        <v>195293</v>
      </c>
      <c r="F72" s="122">
        <f>SUM(F60:F71)</f>
        <v>9463477</v>
      </c>
      <c r="G72" s="122">
        <f>SUM(G60:G71)</f>
        <v>5530918</v>
      </c>
      <c r="H72" s="122">
        <f>SUM(H60:H71)</f>
        <v>153204</v>
      </c>
      <c r="I72" s="122">
        <f>SUM(I60:I71)</f>
        <v>117049</v>
      </c>
      <c r="J72" s="122">
        <f t="shared" si="3"/>
        <v>15459941</v>
      </c>
      <c r="K72" s="122"/>
      <c r="L72" s="122"/>
      <c r="M72" s="122">
        <f>SUM(M60:M71)</f>
        <v>187866</v>
      </c>
      <c r="N72" s="123"/>
      <c r="O72" s="124"/>
      <c r="P72" s="126" t="s">
        <v>67</v>
      </c>
      <c r="Q72" s="122">
        <f>SUMPRODUCT(E15:E19,E60:E64)+SUMPRODUCT(E24:E26,E69:E71)</f>
        <v>62022.930899999992</v>
      </c>
      <c r="R72">
        <f>Q72/Q71</f>
        <v>0.4740147264723415</v>
      </c>
      <c r="S72" s="126" t="s">
        <v>58</v>
      </c>
      <c r="T72" s="122">
        <f>SUMPRODUCT(H15:H19,H60:H64)+SUMPRODUCT(H24:H26,H69:H71)</f>
        <v>55211.250100000005</v>
      </c>
      <c r="U72" s="121">
        <f>T72/T71</f>
        <v>0.53945157259128262</v>
      </c>
      <c r="W72" s="122">
        <f t="shared" ref="W72:AD72" si="6">SUM(W60:W71)</f>
        <v>7426070.2424932001</v>
      </c>
      <c r="X72" s="122">
        <f t="shared" si="6"/>
        <v>167094.6262</v>
      </c>
      <c r="Y72" s="122">
        <f t="shared" si="6"/>
        <v>7258975.6162932003</v>
      </c>
      <c r="Z72" s="122">
        <f t="shared" si="6"/>
        <v>14760397.071165098</v>
      </c>
      <c r="AA72" s="122">
        <f t="shared" si="6"/>
        <v>183552.0099596495</v>
      </c>
      <c r="AB72" s="122">
        <f t="shared" si="6"/>
        <v>9453030.9699940011</v>
      </c>
      <c r="AC72" s="122">
        <f t="shared" si="6"/>
        <v>5531086.654920131</v>
      </c>
      <c r="AD72" s="122">
        <f t="shared" si="6"/>
        <v>6269543.154920131</v>
      </c>
      <c r="AG72" s="122"/>
    </row>
    <row r="73" spans="1:33" x14ac:dyDescent="0.6">
      <c r="A73" s="8"/>
      <c r="B73" s="99"/>
      <c r="J73" s="135"/>
      <c r="N73" s="123"/>
      <c r="O73" s="124"/>
      <c r="P73" s="126" t="s">
        <v>68</v>
      </c>
      <c r="Q73" s="122">
        <f>+Q71-Q72</f>
        <v>68823.069100000008</v>
      </c>
      <c r="S73" s="126" t="s">
        <v>60</v>
      </c>
      <c r="T73" s="122">
        <f>+T71-T72</f>
        <v>47135.749899999995</v>
      </c>
      <c r="U73" s="121"/>
    </row>
    <row r="74" spans="1:33" ht="15.5" x14ac:dyDescent="0.7">
      <c r="A74" s="8"/>
      <c r="N74" s="120"/>
      <c r="U74" s="121"/>
      <c r="V74" s="127" t="s">
        <v>69</v>
      </c>
      <c r="W74" t="s">
        <v>70</v>
      </c>
      <c r="X74" t="s">
        <v>71</v>
      </c>
      <c r="Y74" t="s">
        <v>72</v>
      </c>
      <c r="Z74" t="s">
        <v>73</v>
      </c>
      <c r="AB74" t="s">
        <v>74</v>
      </c>
      <c r="AC74" t="s">
        <v>75</v>
      </c>
      <c r="AE74" s="2"/>
    </row>
    <row r="75" spans="1:33" x14ac:dyDescent="0.6">
      <c r="A75" s="6" t="s">
        <v>76</v>
      </c>
      <c r="B75" s="4" t="s">
        <v>77</v>
      </c>
      <c r="G75" s="18" t="s">
        <v>78</v>
      </c>
      <c r="H75" s="4" t="s">
        <v>79</v>
      </c>
      <c r="N75" s="123"/>
      <c r="O75" s="124"/>
      <c r="P75" s="126" t="s">
        <v>80</v>
      </c>
      <c r="Q75" s="122">
        <f>+SUM(E65:E68)</f>
        <v>64447</v>
      </c>
      <c r="R75" s="11"/>
      <c r="S75" s="126" t="s">
        <v>80</v>
      </c>
      <c r="T75" s="122">
        <f>+SUM(H65:H68)</f>
        <v>50857</v>
      </c>
      <c r="U75" s="17"/>
      <c r="V75" s="122">
        <f t="shared" ref="V75:V86" si="7">W60-W75</f>
        <v>299411.99999999988</v>
      </c>
      <c r="W75" s="122">
        <f t="shared" ref="W75:W86" si="8">SUM(X75:Z75)</f>
        <v>475774.66666660004</v>
      </c>
      <c r="X75" s="122">
        <f>'BGS PTY22 Cost Alloc'!X75</f>
        <v>13901.333333299999</v>
      </c>
      <c r="Y75" s="122">
        <f>'BGS PTY22 Cost Alloc'!Y75</f>
        <v>457026.33333330002</v>
      </c>
      <c r="Z75" s="122">
        <f>'BGS PTY22 Cost Alloc'!Z75</f>
        <v>4847</v>
      </c>
      <c r="AA75" s="122"/>
      <c r="AB75">
        <f t="shared" ref="AB75:AB86" si="9">(V75*$AA$94+W75*$AA$95)/1000</f>
        <v>170.98082951768555</v>
      </c>
      <c r="AC75">
        <f t="shared" ref="AC75:AC86" si="10">(W60/1000)-AB75</f>
        <v>604.20583714891427</v>
      </c>
    </row>
    <row r="76" spans="1:33" x14ac:dyDescent="0.6">
      <c r="A76" s="8"/>
      <c r="B76" s="5" t="s">
        <v>81</v>
      </c>
      <c r="H76" s="7" t="s">
        <v>82</v>
      </c>
      <c r="N76" s="123"/>
      <c r="O76" s="124"/>
      <c r="P76" s="126" t="s">
        <v>67</v>
      </c>
      <c r="Q76" s="122">
        <f>+SUMPRODUCT(E20:E23,E65:E68)</f>
        <v>33621.355499999998</v>
      </c>
      <c r="R76">
        <f>Q76/Q75</f>
        <v>0.52169000108616381</v>
      </c>
      <c r="S76" s="127" t="s">
        <v>58</v>
      </c>
      <c r="T76" s="122">
        <f>+SUMPRODUCT(H20:H23,H65:H68)</f>
        <v>28452.420699999995</v>
      </c>
      <c r="U76" s="121">
        <f>T76/T75</f>
        <v>0.55945928190809513</v>
      </c>
      <c r="V76" s="122">
        <f t="shared" si="7"/>
        <v>281872.33333340002</v>
      </c>
      <c r="W76" s="122">
        <f t="shared" si="8"/>
        <v>445177.33333330002</v>
      </c>
      <c r="X76" s="122">
        <f>'BGS PTY22 Cost Alloc'!X76</f>
        <v>12583.333333299999</v>
      </c>
      <c r="Y76" s="122">
        <f>'BGS PTY22 Cost Alloc'!Y76</f>
        <v>428147.33333330002</v>
      </c>
      <c r="Z76" s="122">
        <f>'BGS PTY22 Cost Alloc'!Z76</f>
        <v>4446.6666667</v>
      </c>
      <c r="AA76" s="122"/>
      <c r="AB76">
        <f t="shared" si="9"/>
        <v>160.18920558607905</v>
      </c>
      <c r="AC76">
        <f t="shared" si="10"/>
        <v>566.86046108062101</v>
      </c>
    </row>
    <row r="77" spans="1:33" x14ac:dyDescent="0.6">
      <c r="A77" s="8"/>
      <c r="C77" s="11" t="s">
        <v>83</v>
      </c>
      <c r="D77" s="11" t="s">
        <v>84</v>
      </c>
      <c r="E77" s="11" t="s">
        <v>83</v>
      </c>
      <c r="F77" s="11" t="s">
        <v>84</v>
      </c>
      <c r="G77" s="11"/>
      <c r="N77" s="136"/>
      <c r="O77" s="137"/>
      <c r="P77" s="138" t="s">
        <v>68</v>
      </c>
      <c r="Q77" s="132">
        <f>Q75-Q76</f>
        <v>30825.644500000002</v>
      </c>
      <c r="R77" s="131"/>
      <c r="S77" s="139" t="s">
        <v>60</v>
      </c>
      <c r="T77" s="132">
        <f>T75-T76</f>
        <v>22404.579300000005</v>
      </c>
      <c r="U77" s="133"/>
      <c r="V77" s="122">
        <f t="shared" si="7"/>
        <v>276958.66666660004</v>
      </c>
      <c r="W77" s="122">
        <f t="shared" si="8"/>
        <v>440851.33333339996</v>
      </c>
      <c r="X77" s="122">
        <f>'BGS PTY22 Cost Alloc'!X77</f>
        <v>12335.666666700001</v>
      </c>
      <c r="Y77" s="122">
        <f>'BGS PTY22 Cost Alloc'!Y77</f>
        <v>423918</v>
      </c>
      <c r="Z77" s="122">
        <f>'BGS PTY22 Cost Alloc'!Z77</f>
        <v>4597.6666667</v>
      </c>
      <c r="AA77" s="122"/>
      <c r="AB77">
        <f t="shared" si="9"/>
        <v>158.37369238401592</v>
      </c>
      <c r="AC77">
        <f t="shared" si="10"/>
        <v>559.43630761598399</v>
      </c>
      <c r="AD77" s="122">
        <f>SUM(AB65:AB68)</f>
        <v>3936305.5616169032</v>
      </c>
    </row>
    <row r="78" spans="1:33" x14ac:dyDescent="0.6">
      <c r="A78" s="8"/>
      <c r="C78" s="11" t="s">
        <v>85</v>
      </c>
      <c r="D78" s="11" t="s">
        <v>85</v>
      </c>
      <c r="E78" s="11" t="s">
        <v>86</v>
      </c>
      <c r="F78" s="11" t="s">
        <v>86</v>
      </c>
      <c r="H78" s="11" t="s">
        <v>85</v>
      </c>
      <c r="I78" s="11" t="s">
        <v>86</v>
      </c>
      <c r="N78" s="120"/>
      <c r="Q78" t="s">
        <v>87</v>
      </c>
      <c r="U78" s="121"/>
      <c r="V78" s="122">
        <f t="shared" si="7"/>
        <v>273712.66666660004</v>
      </c>
      <c r="W78" s="122">
        <f t="shared" si="8"/>
        <v>429642</v>
      </c>
      <c r="X78" s="122">
        <f>'BGS PTY22 Cost Alloc'!X78</f>
        <v>11813.666666700001</v>
      </c>
      <c r="Y78" s="122">
        <f>'BGS PTY22 Cost Alloc'!Y78</f>
        <v>413330.33333330002</v>
      </c>
      <c r="Z78" s="122">
        <f>'BGS PTY22 Cost Alloc'!Z78</f>
        <v>4498</v>
      </c>
      <c r="AA78" s="122"/>
      <c r="AB78">
        <f t="shared" si="9"/>
        <v>154.79871146214103</v>
      </c>
      <c r="AC78">
        <f t="shared" si="10"/>
        <v>548.555955204459</v>
      </c>
    </row>
    <row r="79" spans="1:33" x14ac:dyDescent="0.6">
      <c r="A79" s="8"/>
      <c r="B79" s="99" t="s">
        <v>18</v>
      </c>
      <c r="C79" s="141">
        <v>67.2</v>
      </c>
      <c r="D79" s="141">
        <f>ROUND(C79*$H$307,3)</f>
        <v>71.844999999999999</v>
      </c>
      <c r="E79" s="141">
        <v>51.854999999999997</v>
      </c>
      <c r="F79" s="141">
        <f>ROUND(E79*$H$307,3)</f>
        <v>55.44</v>
      </c>
      <c r="H79" s="45">
        <v>0.88229603353756847</v>
      </c>
      <c r="I79" s="45">
        <v>0.92470881863560739</v>
      </c>
      <c r="L79" s="122"/>
      <c r="N79" s="16"/>
      <c r="O79" s="11"/>
      <c r="P79" s="11"/>
      <c r="Q79" s="11" t="str">
        <f>+Q$13</f>
        <v>RT{1}</v>
      </c>
      <c r="R79" s="11"/>
      <c r="S79" s="11"/>
      <c r="T79" s="11" t="str">
        <f>+T$13</f>
        <v>GST</v>
      </c>
      <c r="U79" s="17"/>
      <c r="V79" s="122">
        <f t="shared" si="7"/>
        <v>274679.88255860005</v>
      </c>
      <c r="W79" s="122">
        <f t="shared" si="8"/>
        <v>402759.49052029999</v>
      </c>
      <c r="X79" s="122">
        <f>'BGS PTY22 Cost Alloc'!X79</f>
        <v>13513.913343300001</v>
      </c>
      <c r="Y79" s="122">
        <f>'BGS PTY22 Cost Alloc'!Y79</f>
        <v>385312.77243329998</v>
      </c>
      <c r="Z79" s="122">
        <f>'BGS PTY22 Cost Alloc'!Z79</f>
        <v>3932.8047437</v>
      </c>
      <c r="AA79" s="122"/>
      <c r="AB79">
        <f t="shared" si="9"/>
        <v>147.266988530665</v>
      </c>
      <c r="AC79">
        <f t="shared" si="10"/>
        <v>530.17238454823507</v>
      </c>
    </row>
    <row r="80" spans="1:33" x14ac:dyDescent="0.6">
      <c r="A80" s="8"/>
      <c r="B80" s="99" t="s">
        <v>19</v>
      </c>
      <c r="C80" s="141">
        <v>63</v>
      </c>
      <c r="D80" s="141">
        <f>ROUND(C80*$H$307,3)</f>
        <v>67.355000000000004</v>
      </c>
      <c r="E80" s="141">
        <v>48.613999999999997</v>
      </c>
      <c r="F80" s="141">
        <f>ROUND(E80*$H$307,3)</f>
        <v>51.973999999999997</v>
      </c>
      <c r="H80" s="45">
        <f>H79</f>
        <v>0.88229603353756847</v>
      </c>
      <c r="I80" s="45">
        <f>I79</f>
        <v>0.92470881863560739</v>
      </c>
      <c r="L80" s="40"/>
      <c r="N80" s="120"/>
      <c r="U80" s="121"/>
      <c r="V80" s="122">
        <f t="shared" si="7"/>
        <v>257161.95086800004</v>
      </c>
      <c r="W80" s="122">
        <f t="shared" si="8"/>
        <v>376511.15364859998</v>
      </c>
      <c r="X80" s="122">
        <f>'BGS PTY22 Cost Alloc'!X80</f>
        <v>10980.895570000001</v>
      </c>
      <c r="Y80" s="122">
        <f>'BGS PTY22 Cost Alloc'!Y80</f>
        <v>361940.82693330001</v>
      </c>
      <c r="Z80" s="122">
        <f>'BGS PTY22 Cost Alloc'!Z80</f>
        <v>3589.4311453</v>
      </c>
      <c r="AA80" s="122"/>
      <c r="AB80">
        <f t="shared" si="9"/>
        <v>137.71504644224945</v>
      </c>
      <c r="AC80">
        <f t="shared" si="10"/>
        <v>495.95805807435056</v>
      </c>
    </row>
    <row r="81" spans="1:29" x14ac:dyDescent="0.6">
      <c r="A81" s="8"/>
      <c r="B81" s="99" t="s">
        <v>20</v>
      </c>
      <c r="C81" s="141">
        <v>45.2</v>
      </c>
      <c r="D81" s="141">
        <f>ROUND(C81*$H$307,3)</f>
        <v>48.323999999999998</v>
      </c>
      <c r="E81" s="141">
        <v>34.878999999999998</v>
      </c>
      <c r="F81" s="141">
        <f>ROUND(E81*$H$307,3)</f>
        <v>37.29</v>
      </c>
      <c r="H81" s="45">
        <f>H79</f>
        <v>0.88229603353756847</v>
      </c>
      <c r="I81" s="45">
        <f>I79</f>
        <v>0.92470881863560739</v>
      </c>
      <c r="L81" s="40"/>
      <c r="N81" s="123"/>
      <c r="O81" s="124"/>
      <c r="P81" s="128" t="s">
        <v>88</v>
      </c>
      <c r="Q81" s="122"/>
      <c r="R81" s="122"/>
      <c r="S81" s="128" t="s">
        <v>88</v>
      </c>
      <c r="T81" s="122"/>
      <c r="U81" s="125"/>
      <c r="V81" s="122">
        <f t="shared" si="7"/>
        <v>225226.12628599996</v>
      </c>
      <c r="W81" s="122">
        <f t="shared" si="8"/>
        <v>322330.45369499997</v>
      </c>
      <c r="X81" s="122">
        <f>'BGS PTY22 Cost Alloc'!X81</f>
        <v>9636.0560153000006</v>
      </c>
      <c r="Y81" s="122">
        <f>'BGS PTY22 Cost Alloc'!Y81</f>
        <v>309522.31126669998</v>
      </c>
      <c r="Z81" s="122">
        <f>'BGS PTY22 Cost Alloc'!Z81</f>
        <v>3172.086413</v>
      </c>
      <c r="AA81" s="122"/>
      <c r="AB81">
        <f t="shared" si="9"/>
        <v>118.50118461189501</v>
      </c>
      <c r="AC81">
        <f t="shared" si="10"/>
        <v>429.05539536910487</v>
      </c>
    </row>
    <row r="82" spans="1:29" x14ac:dyDescent="0.6">
      <c r="A82" s="8"/>
      <c r="B82" s="99" t="s">
        <v>21</v>
      </c>
      <c r="C82" s="141">
        <v>40.799999999999997</v>
      </c>
      <c r="D82" s="141">
        <f>ROUND(C82*$H$307,3)</f>
        <v>43.62</v>
      </c>
      <c r="E82" s="141">
        <v>31.484000000000002</v>
      </c>
      <c r="F82" s="141">
        <f>ROUND(E82*$H$307,3)</f>
        <v>33.659999999999997</v>
      </c>
      <c r="H82" s="45">
        <f>H79</f>
        <v>0.88229603353756847</v>
      </c>
      <c r="I82" s="45">
        <f>I79</f>
        <v>0.92470881863560739</v>
      </c>
      <c r="L82" s="40"/>
      <c r="N82" s="123"/>
      <c r="O82" s="124"/>
      <c r="P82" s="126" t="s">
        <v>89</v>
      </c>
      <c r="Q82" s="122">
        <f>Q72-Q61</f>
        <v>16783.904599999994</v>
      </c>
      <c r="S82" s="126" t="s">
        <v>89</v>
      </c>
      <c r="T82" s="122">
        <f>T72-T61</f>
        <v>11509.224600000001</v>
      </c>
      <c r="U82" s="121"/>
      <c r="V82" s="122">
        <f t="shared" si="7"/>
        <v>199870.02928630006</v>
      </c>
      <c r="W82" s="122">
        <f t="shared" si="8"/>
        <v>285367.58166599995</v>
      </c>
      <c r="X82" s="122">
        <f>'BGS PTY22 Cost Alloc'!X82</f>
        <v>7676.6175767000004</v>
      </c>
      <c r="Y82" s="122">
        <f>'BGS PTY22 Cost Alloc'!Y82</f>
        <v>275257.51559999998</v>
      </c>
      <c r="Z82" s="122">
        <f>'BGS PTY22 Cost Alloc'!Z82</f>
        <v>2433.4484892999999</v>
      </c>
      <c r="AA82" s="122"/>
      <c r="AB82">
        <f t="shared" si="9"/>
        <v>104.96832313390131</v>
      </c>
      <c r="AC82">
        <f t="shared" si="10"/>
        <v>380.26928781839871</v>
      </c>
    </row>
    <row r="83" spans="1:29" x14ac:dyDescent="0.6">
      <c r="A83" s="8"/>
      <c r="B83" s="99" t="s">
        <v>22</v>
      </c>
      <c r="C83" s="141">
        <v>40.9</v>
      </c>
      <c r="D83" s="141">
        <f>ROUND(C83*$H$307,3)</f>
        <v>43.726999999999997</v>
      </c>
      <c r="E83" s="141">
        <v>31.561</v>
      </c>
      <c r="F83" s="141">
        <f>ROUND(E83*$H$307,3)</f>
        <v>33.743000000000002</v>
      </c>
      <c r="H83" s="45">
        <f>H79</f>
        <v>0.88229603353756847</v>
      </c>
      <c r="I83" s="45">
        <f>I79</f>
        <v>0.92470881863560739</v>
      </c>
      <c r="L83" s="40"/>
      <c r="N83" s="123"/>
      <c r="O83" s="124"/>
      <c r="P83" s="126" t="s">
        <v>90</v>
      </c>
      <c r="Q83" s="142">
        <f>Q82*(E117-E118)</f>
        <v>170301.27423446497</v>
      </c>
      <c r="S83" s="126" t="s">
        <v>90</v>
      </c>
      <c r="T83" s="142">
        <f>T82*(H117-H118)</f>
        <v>114685.5234988609</v>
      </c>
      <c r="U83" s="121"/>
      <c r="V83" s="122">
        <f t="shared" si="7"/>
        <v>203316.42216039996</v>
      </c>
      <c r="W83" s="122">
        <f t="shared" si="8"/>
        <v>282281.82558200002</v>
      </c>
      <c r="X83" s="122">
        <f>'BGS PTY22 Cost Alloc'!X83</f>
        <v>7506.4973339999997</v>
      </c>
      <c r="Y83" s="122">
        <f>'BGS PTY22 Cost Alloc'!Y83</f>
        <v>272721.06</v>
      </c>
      <c r="Z83" s="122">
        <f>'BGS PTY22 Cost Alloc'!Z83</f>
        <v>2054.2682479999999</v>
      </c>
      <c r="AA83" s="122"/>
      <c r="AB83">
        <f t="shared" si="9"/>
        <v>104.50084885738164</v>
      </c>
      <c r="AC83">
        <f t="shared" si="10"/>
        <v>381.09739888501832</v>
      </c>
    </row>
    <row r="84" spans="1:29" x14ac:dyDescent="0.6">
      <c r="A84" s="8"/>
      <c r="B84" s="102" t="s">
        <v>23</v>
      </c>
      <c r="C84" s="144">
        <v>44.35</v>
      </c>
      <c r="D84" s="144">
        <f>ROUND(C84*$H$306,3)</f>
        <v>57.427</v>
      </c>
      <c r="E84" s="144">
        <v>29.641999999999999</v>
      </c>
      <c r="F84" s="145">
        <f>ROUND(E84*$H$306,3)</f>
        <v>38.381999999999998</v>
      </c>
      <c r="H84" s="146">
        <v>0.88422535211267606</v>
      </c>
      <c r="I84" s="147">
        <v>0.88824262567511425</v>
      </c>
      <c r="L84" s="40"/>
      <c r="N84" s="120"/>
      <c r="Q84" s="148"/>
      <c r="T84" s="148"/>
      <c r="U84" s="121"/>
      <c r="V84" s="122">
        <f t="shared" si="7"/>
        <v>205807.63204129995</v>
      </c>
      <c r="W84" s="122">
        <f t="shared" si="8"/>
        <v>290736.83107969997</v>
      </c>
      <c r="X84" s="122">
        <f>'BGS PTY22 Cost Alloc'!X84</f>
        <v>11362.484463999999</v>
      </c>
      <c r="Y84" s="122">
        <f>'BGS PTY22 Cost Alloc'!Y84</f>
        <v>276538.9648667</v>
      </c>
      <c r="Z84" s="122">
        <f>'BGS PTY22 Cost Alloc'!Z84</f>
        <v>2835.3817490000001</v>
      </c>
      <c r="AA84" s="122"/>
      <c r="AB84">
        <f t="shared" si="9"/>
        <v>107.20249113507398</v>
      </c>
      <c r="AC84">
        <f t="shared" si="10"/>
        <v>389.34197198592597</v>
      </c>
    </row>
    <row r="85" spans="1:29" x14ac:dyDescent="0.6">
      <c r="A85" s="8"/>
      <c r="B85" s="106" t="s">
        <v>24</v>
      </c>
      <c r="C85" s="141">
        <v>50.8</v>
      </c>
      <c r="D85" s="141">
        <f>ROUND(C85*$H$306,3)</f>
        <v>65.778999999999996</v>
      </c>
      <c r="E85" s="141">
        <v>33.953000000000003</v>
      </c>
      <c r="F85" s="149">
        <f>ROUND(E85*$H$306,3)</f>
        <v>43.963999999999999</v>
      </c>
      <c r="H85" s="150">
        <f t="shared" ref="H85:I87" si="11">H84</f>
        <v>0.88422535211267606</v>
      </c>
      <c r="I85" s="151">
        <f t="shared" si="11"/>
        <v>0.88824262567511425</v>
      </c>
      <c r="L85" s="40"/>
      <c r="N85" s="123"/>
      <c r="O85" s="124"/>
      <c r="P85" s="126" t="s">
        <v>91</v>
      </c>
      <c r="Q85" s="148"/>
      <c r="R85" s="11"/>
      <c r="S85" s="126" t="s">
        <v>91</v>
      </c>
      <c r="T85" s="148"/>
      <c r="U85" s="17"/>
      <c r="V85" s="122">
        <f t="shared" si="7"/>
        <v>225816.15350270004</v>
      </c>
      <c r="W85" s="122">
        <f t="shared" si="8"/>
        <v>325213.66421229998</v>
      </c>
      <c r="X85" s="122">
        <f>'BGS PTY22 Cost Alloc'!X85</f>
        <v>10349.2439123</v>
      </c>
      <c r="Y85" s="122">
        <f>'BGS PTY22 Cost Alloc'!Y85</f>
        <v>311608.48533330002</v>
      </c>
      <c r="Z85" s="122">
        <f>'BGS PTY22 Cost Alloc'!Z85</f>
        <v>3255.9349667000001</v>
      </c>
      <c r="AA85" s="122"/>
      <c r="AB85">
        <f t="shared" si="9"/>
        <v>119.39156996455741</v>
      </c>
      <c r="AC85">
        <f t="shared" si="10"/>
        <v>431.63824775044264</v>
      </c>
    </row>
    <row r="86" spans="1:29" x14ac:dyDescent="0.6">
      <c r="A86" s="8"/>
      <c r="B86" s="106" t="s">
        <v>25</v>
      </c>
      <c r="C86" s="141">
        <v>47.55</v>
      </c>
      <c r="D86" s="141">
        <f>ROUND(C86*$H$306,3)</f>
        <v>61.57</v>
      </c>
      <c r="E86" s="141">
        <v>31.780999999999999</v>
      </c>
      <c r="F86" s="149">
        <f>ROUND(E86*$H$306,3)</f>
        <v>41.152000000000001</v>
      </c>
      <c r="H86" s="150">
        <f t="shared" si="11"/>
        <v>0.88422535211267606</v>
      </c>
      <c r="I86" s="151">
        <f t="shared" si="11"/>
        <v>0.88824262567511425</v>
      </c>
      <c r="L86" s="40"/>
      <c r="N86" s="123"/>
      <c r="O86" s="124"/>
      <c r="P86" s="126" t="s">
        <v>89</v>
      </c>
      <c r="Q86" s="122">
        <f>Q76-Q65</f>
        <v>7604.7131000000008</v>
      </c>
      <c r="S86" s="126" t="s">
        <v>89</v>
      </c>
      <c r="T86" s="122">
        <f>T76-T65</f>
        <v>5561.8964999999953</v>
      </c>
      <c r="U86" s="121"/>
      <c r="V86" s="122">
        <f t="shared" si="7"/>
        <v>250270.78271439997</v>
      </c>
      <c r="W86" s="122">
        <f t="shared" si="8"/>
        <v>375319.26267169998</v>
      </c>
      <c r="X86" s="122">
        <f>'BGS PTY22 Cost Alloc'!X86</f>
        <v>10297.922699999999</v>
      </c>
      <c r="Y86" s="122">
        <f>'BGS PTY22 Cost Alloc'!Y86</f>
        <v>360954.30176669999</v>
      </c>
      <c r="Z86" s="122">
        <f>'BGS PTY22 Cost Alloc'!Z86</f>
        <v>4067.0382049999998</v>
      </c>
      <c r="AA86" s="122"/>
      <c r="AB86">
        <f t="shared" si="9"/>
        <v>136.55562978046595</v>
      </c>
      <c r="AC86">
        <f t="shared" si="10"/>
        <v>489.03441560563402</v>
      </c>
    </row>
    <row r="87" spans="1:29" x14ac:dyDescent="0.6">
      <c r="A87" s="8"/>
      <c r="B87" s="108" t="s">
        <v>26</v>
      </c>
      <c r="C87" s="153">
        <v>45.45</v>
      </c>
      <c r="D87" s="153">
        <f>ROUND(C87*$H$306,3)</f>
        <v>58.850999999999999</v>
      </c>
      <c r="E87" s="153">
        <v>30.376999999999999</v>
      </c>
      <c r="F87" s="154">
        <f>ROUND(E87*$H$306,3)</f>
        <v>39.334000000000003</v>
      </c>
      <c r="H87" s="155">
        <f t="shared" si="11"/>
        <v>0.88422535211267606</v>
      </c>
      <c r="I87" s="156">
        <f t="shared" si="11"/>
        <v>0.88824262567511425</v>
      </c>
      <c r="L87" s="40"/>
      <c r="N87" s="136"/>
      <c r="O87" s="137"/>
      <c r="P87" s="138" t="s">
        <v>90</v>
      </c>
      <c r="Q87" s="157">
        <f>Q86*(E113-E114)</f>
        <v>151397.51700866426</v>
      </c>
      <c r="R87" s="131"/>
      <c r="S87" s="138" t="s">
        <v>90</v>
      </c>
      <c r="T87" s="157">
        <f>T86*(H113-H114)</f>
        <v>110100.56903384198</v>
      </c>
      <c r="U87" s="133"/>
      <c r="AA87" s="122"/>
    </row>
    <row r="88" spans="1:29" x14ac:dyDescent="0.6">
      <c r="A88" s="8"/>
      <c r="B88" s="99" t="s">
        <v>27</v>
      </c>
      <c r="C88" s="141">
        <v>45.05</v>
      </c>
      <c r="D88" s="141">
        <f>ROUND(C88*$H$307,3)</f>
        <v>48.164000000000001</v>
      </c>
      <c r="E88" s="141">
        <v>34.762999999999998</v>
      </c>
      <c r="F88" s="141">
        <f>ROUND(E88*$H$307,3)</f>
        <v>37.165999999999997</v>
      </c>
      <c r="H88" s="45">
        <f>H79</f>
        <v>0.88229603353756847</v>
      </c>
      <c r="I88" s="45">
        <f>I79</f>
        <v>0.92470881863560739</v>
      </c>
      <c r="L88" s="40"/>
    </row>
    <row r="89" spans="1:29" x14ac:dyDescent="0.6">
      <c r="A89" s="8"/>
      <c r="B89" s="99" t="s">
        <v>28</v>
      </c>
      <c r="C89" s="141">
        <v>46.6</v>
      </c>
      <c r="D89" s="141">
        <f>ROUND(C89*$H$307,3)</f>
        <v>49.820999999999998</v>
      </c>
      <c r="E89" s="141">
        <v>35.959000000000003</v>
      </c>
      <c r="F89" s="141">
        <f>ROUND(E89*$H$307,3)</f>
        <v>38.445</v>
      </c>
      <c r="H89" s="45">
        <f>H79</f>
        <v>0.88229603353756847</v>
      </c>
      <c r="I89" s="45">
        <f>I79</f>
        <v>0.92470881863560739</v>
      </c>
      <c r="L89" s="40"/>
    </row>
    <row r="90" spans="1:29" x14ac:dyDescent="0.6">
      <c r="A90" s="8"/>
      <c r="B90" s="99" t="s">
        <v>29</v>
      </c>
      <c r="C90" s="141">
        <v>48.9</v>
      </c>
      <c r="D90" s="141">
        <f>ROUND(C90*$H$307,3)</f>
        <v>52.28</v>
      </c>
      <c r="E90" s="141">
        <v>37.734000000000002</v>
      </c>
      <c r="F90" s="141">
        <f>ROUND(E90*$H$307,3)</f>
        <v>40.341999999999999</v>
      </c>
      <c r="G90" s="45"/>
      <c r="H90" s="45">
        <f>H79</f>
        <v>0.88229603353756847</v>
      </c>
      <c r="I90" s="45">
        <f>I79</f>
        <v>0.92470881863560739</v>
      </c>
      <c r="L90" s="40"/>
    </row>
    <row r="91" spans="1:29" x14ac:dyDescent="0.6">
      <c r="A91" s="8"/>
      <c r="B91" s="99"/>
      <c r="C91" s="140"/>
      <c r="D91" s="140"/>
      <c r="G91" s="45"/>
      <c r="K91" s="45"/>
      <c r="X91" t="s">
        <v>92</v>
      </c>
    </row>
    <row r="92" spans="1:29" x14ac:dyDescent="0.6">
      <c r="A92" s="6" t="s">
        <v>93</v>
      </c>
      <c r="B92" s="14" t="s">
        <v>94</v>
      </c>
      <c r="C92" s="11"/>
      <c r="D92" s="11"/>
      <c r="E92" s="11" t="str">
        <f>+E$13</f>
        <v>RT{1}</v>
      </c>
      <c r="F92" s="11" t="str">
        <f>+F$13</f>
        <v>RS{2}</v>
      </c>
      <c r="G92" s="11" t="str">
        <f>+G$13</f>
        <v>GS{3}</v>
      </c>
      <c r="H92" s="11" t="str">
        <f>+H$58</f>
        <v>GST {4}</v>
      </c>
      <c r="I92" s="11" t="str">
        <f>+I$13</f>
        <v>OL/SL</v>
      </c>
      <c r="J92" s="11"/>
      <c r="K92" s="11"/>
      <c r="L92" s="11"/>
      <c r="M92" s="11"/>
      <c r="X92" t="s">
        <v>95</v>
      </c>
      <c r="Y92" s="127" t="s">
        <v>44</v>
      </c>
      <c r="Z92" s="127" t="s">
        <v>44</v>
      </c>
      <c r="AA92" s="127" t="s">
        <v>96</v>
      </c>
    </row>
    <row r="93" spans="1:29" x14ac:dyDescent="0.6">
      <c r="A93" s="8"/>
      <c r="C93" s="127"/>
      <c r="D93" s="127"/>
      <c r="E93" s="127"/>
      <c r="F93" s="127"/>
      <c r="X93" s="19" t="s">
        <v>97</v>
      </c>
      <c r="Y93" s="20" t="s">
        <v>96</v>
      </c>
      <c r="Z93" s="20" t="s">
        <v>98</v>
      </c>
      <c r="AA93" s="20" t="s">
        <v>99</v>
      </c>
    </row>
    <row r="94" spans="1:29" x14ac:dyDescent="0.6">
      <c r="A94" s="8"/>
      <c r="B94" s="99" t="s">
        <v>100</v>
      </c>
      <c r="C94" s="158"/>
      <c r="D94" s="158"/>
      <c r="E94" s="158">
        <f>'BGS PTY22 Cost Alloc'!E94</f>
        <v>0.105545</v>
      </c>
      <c r="F94" s="158">
        <f>'BGS PTY22 Cost Alloc'!F94</f>
        <v>0.105545</v>
      </c>
      <c r="G94" s="158">
        <f>'BGS PTY22 Cost Alloc'!G94</f>
        <v>0.105545</v>
      </c>
      <c r="H94" s="158">
        <f>'BGS PTY22 Cost Alloc'!H94</f>
        <v>0.105545</v>
      </c>
      <c r="I94" s="158">
        <f>'BGS PTY22 Cost Alloc'!I94</f>
        <v>0.105545</v>
      </c>
      <c r="J94" s="158"/>
      <c r="K94" s="158"/>
      <c r="L94" s="158"/>
      <c r="M94" s="158"/>
      <c r="W94" t="s">
        <v>69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29" x14ac:dyDescent="0.6">
      <c r="A95" s="8"/>
      <c r="B95" t="s">
        <v>101</v>
      </c>
      <c r="C95" s="159"/>
      <c r="D95" s="159"/>
      <c r="E95" s="159">
        <f>1/(1-E94)</f>
        <v>1.1179992285805322</v>
      </c>
      <c r="F95" s="159">
        <f>1/(1-F94)</f>
        <v>1.1179992285805322</v>
      </c>
      <c r="G95" s="159">
        <f>1/(1-G94)</f>
        <v>1.1179992285805322</v>
      </c>
      <c r="H95" s="159">
        <f>1/(1-H94)</f>
        <v>1.1179992285805322</v>
      </c>
      <c r="I95" s="159">
        <f>1/(1-I94)</f>
        <v>1.1179992285805322</v>
      </c>
      <c r="J95" s="159"/>
      <c r="K95" s="159"/>
      <c r="L95" s="159"/>
      <c r="M95" s="159"/>
      <c r="W95" t="s">
        <v>102</v>
      </c>
      <c r="X95">
        <f>(9*23+10*29)/52</f>
        <v>9.5576923076923084</v>
      </c>
      <c r="Y95">
        <f>X95*365*5/7</f>
        <v>2491.8269230769229</v>
      </c>
      <c r="Z95">
        <f>365*24</f>
        <v>8760</v>
      </c>
      <c r="AA95">
        <f>Y95/Z95</f>
        <v>0.28445512820512819</v>
      </c>
    </row>
    <row r="96" spans="1:29" x14ac:dyDescent="0.6">
      <c r="A96" s="8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</row>
    <row r="97" spans="1:29" x14ac:dyDescent="0.6">
      <c r="A97" s="8"/>
      <c r="B97" t="s">
        <v>103</v>
      </c>
      <c r="C97" s="159"/>
      <c r="D97" s="159"/>
      <c r="E97" s="37">
        <f>ROUND(1-1/E98,6)</f>
        <v>9.8295999999999994E-2</v>
      </c>
      <c r="F97" s="37">
        <f>ROUND(1-1/F98,6)</f>
        <v>9.8295999999999994E-2</v>
      </c>
      <c r="G97" s="37">
        <f>ROUND(1-1/G98,6)</f>
        <v>9.8295999999999994E-2</v>
      </c>
      <c r="H97" s="37">
        <f>ROUND(1-1/H98,6)</f>
        <v>9.8295999999999994E-2</v>
      </c>
      <c r="I97" s="37">
        <f>ROUND(1-1/I98,6)</f>
        <v>9.8295999999999994E-2</v>
      </c>
      <c r="J97" s="159"/>
      <c r="K97" s="159"/>
      <c r="L97" s="159"/>
      <c r="M97" s="159"/>
    </row>
    <row r="98" spans="1:29" ht="12" customHeight="1" x14ac:dyDescent="0.6">
      <c r="A98" s="8"/>
      <c r="B98" t="s">
        <v>104</v>
      </c>
      <c r="C98" s="159"/>
      <c r="D98" s="159"/>
      <c r="E98" s="159">
        <v>1.1090110249154914</v>
      </c>
      <c r="F98" s="159">
        <v>1.1090110249154914</v>
      </c>
      <c r="G98" s="159">
        <v>1.1090110249154914</v>
      </c>
      <c r="H98" s="159">
        <v>1.1090110249154914</v>
      </c>
      <c r="I98" s="159">
        <v>1.1090110249154914</v>
      </c>
      <c r="J98" s="159"/>
      <c r="K98" s="159"/>
      <c r="L98" s="159"/>
      <c r="Q98" s="122"/>
      <c r="R98" s="122"/>
      <c r="S98" s="122"/>
    </row>
    <row r="99" spans="1:29" x14ac:dyDescent="0.6">
      <c r="A99" s="8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Q99" s="122"/>
      <c r="R99" s="122"/>
      <c r="S99" s="122"/>
    </row>
    <row r="100" spans="1:29" x14ac:dyDescent="0.6">
      <c r="A100" s="8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1:29" x14ac:dyDescent="0.6">
      <c r="A101" s="8"/>
      <c r="B101" s="114" t="s">
        <v>390</v>
      </c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1:29" x14ac:dyDescent="0.6">
      <c r="A102" s="8"/>
      <c r="B102" s="114" t="str">
        <f>'BGS PTY22 Cost Alloc'!$B$102</f>
        <v xml:space="preserve"> </v>
      </c>
    </row>
    <row r="103" spans="1:29" ht="15.5" x14ac:dyDescent="0.7">
      <c r="A103" s="8"/>
      <c r="B103" s="340" t="str">
        <f>$B$1</f>
        <v xml:space="preserve">Jersey Central Power &amp; Light </v>
      </c>
      <c r="C103" s="340"/>
      <c r="D103" s="340"/>
      <c r="E103" s="340"/>
      <c r="F103" s="340"/>
      <c r="G103" s="340"/>
      <c r="H103" s="340"/>
      <c r="I103" s="340"/>
      <c r="J103" s="340"/>
      <c r="K103" s="340"/>
      <c r="L103" s="340"/>
    </row>
    <row r="104" spans="1:29" ht="15.5" x14ac:dyDescent="0.7">
      <c r="A104" s="8"/>
      <c r="B104" s="340" t="str">
        <f>$B$2</f>
        <v>Attachment 2</v>
      </c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</row>
    <row r="105" spans="1:29" x14ac:dyDescent="0.6">
      <c r="A105" s="8"/>
    </row>
    <row r="106" spans="1:29" x14ac:dyDescent="0.6">
      <c r="A106" s="8"/>
    </row>
    <row r="107" spans="1:29" x14ac:dyDescent="0.6">
      <c r="A107" s="6" t="s">
        <v>105</v>
      </c>
      <c r="B107" s="4" t="s">
        <v>106</v>
      </c>
    </row>
    <row r="108" spans="1:29" x14ac:dyDescent="0.6">
      <c r="A108" s="8"/>
      <c r="B108" s="5" t="s">
        <v>107</v>
      </c>
      <c r="S108" s="158"/>
    </row>
    <row r="109" spans="1:29" x14ac:dyDescent="0.6">
      <c r="A109" s="8"/>
      <c r="B109" s="5" t="s">
        <v>81</v>
      </c>
      <c r="S109" s="160"/>
      <c r="AC109" s="158"/>
    </row>
    <row r="110" spans="1:29" x14ac:dyDescent="0.6">
      <c r="A110" s="8"/>
      <c r="B110" s="4"/>
      <c r="C110" s="11"/>
      <c r="D110" s="11"/>
      <c r="E110" s="11" t="str">
        <f>+E$13</f>
        <v>RT{1}</v>
      </c>
      <c r="F110" s="11" t="str">
        <f>+F$13</f>
        <v>RS{2}</v>
      </c>
      <c r="G110" s="11" t="str">
        <f>+G$13</f>
        <v>GS{3}</v>
      </c>
      <c r="H110" s="11" t="str">
        <f>+H$58</f>
        <v>GST {4}</v>
      </c>
      <c r="I110" s="11" t="str">
        <f>+I$13</f>
        <v>OL/SL</v>
      </c>
      <c r="J110" s="11"/>
      <c r="K110" s="11"/>
      <c r="L110" s="11"/>
      <c r="M110" s="11"/>
      <c r="N110" s="96"/>
      <c r="P110" s="127"/>
      <c r="W110" s="61"/>
      <c r="AC110" s="95"/>
    </row>
    <row r="111" spans="1:29" x14ac:dyDescent="0.6">
      <c r="A111" s="8"/>
      <c r="R111" s="126"/>
      <c r="S111" s="21"/>
      <c r="W111" s="11"/>
      <c r="X111" s="96"/>
      <c r="Z111" s="127"/>
    </row>
    <row r="112" spans="1:29" x14ac:dyDescent="0.6">
      <c r="A112" s="8"/>
      <c r="B112" s="99" t="s">
        <v>108</v>
      </c>
      <c r="C112" s="66"/>
      <c r="D112" s="66"/>
      <c r="E112" s="162">
        <f>(SUMPRODUCT(E20:E23,E65:E68,$D84:$D87,$H84:$H87)*E95+SUMPRODUCT(Q20:Q23,E65:E68,$F84:$F87,$I84:$I87)*E95)/SUM(E65:E68)</f>
        <v>50.943080718470505</v>
      </c>
      <c r="F112" s="162">
        <f>(SUMPRODUCT(F20:F23,F65:F68,$D84:$D87,$H84:$H87)*F95+SUMPRODUCT(R20:R23,F65:F68,$F84:$F87,$I84:$I87)*F95)/SUM(F65:F68)</f>
        <v>51.088472368326428</v>
      </c>
      <c r="G112" s="162">
        <f>(SUMPRODUCT(G20:G23,G65:G68,$D84:$D87,$H84:$H87)*G95+SUMPRODUCT(S20:S23,G65:G68,$F84:$F87,$I84:$I87)*G95)/SUM(G65:G68)</f>
        <v>52.091350989814408</v>
      </c>
      <c r="H112" s="162">
        <f>(SUMPRODUCT(H20:H23,H65:H68,$D84:$D87,$H84:$H87)*H95+SUMPRODUCT(T20:T23,H65:H68,$F84:$F87,$I84:$I87)*H95)/SUM(H65:H68)</f>
        <v>51.628823911747446</v>
      </c>
      <c r="I112" s="162">
        <f>(SUMPRODUCT(I20:I23,I65:I68,$D84:$D87,$H84:$H87)*I95+SUMPRODUCT(U20:U23,I65:I68,$F84:$F87,$I84:$I87)*I95)/SUM(I65:I68)</f>
        <v>46.447884443777305</v>
      </c>
      <c r="J112" s="163"/>
      <c r="K112" s="66"/>
      <c r="L112" s="66"/>
      <c r="M112" s="61"/>
      <c r="AB112" s="126"/>
      <c r="AC112" s="21"/>
    </row>
    <row r="113" spans="1:29" x14ac:dyDescent="0.6">
      <c r="A113" s="8"/>
      <c r="B113" s="164" t="s">
        <v>109</v>
      </c>
      <c r="C113" s="66"/>
      <c r="D113" s="66"/>
      <c r="E113" s="162">
        <f>(SUMPRODUCT(E20:E23,E65:E68,$D84:$D87,$H84:$H87)*E95)/SUMPRODUCT(E20:E23,E65:E68)</f>
        <v>60.465457860610385</v>
      </c>
      <c r="F113" s="162">
        <f>(SUMPRODUCT(F20:F23,F65:F68,$D84:$D87,$H84:$H87)*F95)/SUMPRODUCT(F20:F23,F65:F68)</f>
        <v>60.549064571627703</v>
      </c>
      <c r="G113" s="162">
        <f>(SUMPRODUCT(G20:G23,G65:G68,$D84:$D87,$H84:$H87)*G95)/SUMPRODUCT(G20:G23,G65:G68)</f>
        <v>60.306320295903959</v>
      </c>
      <c r="H113" s="162">
        <f>(SUMPRODUCT(H20:H23,H65:H68,$D84:$D87,$H84:$H87)*H95)/SUMPRODUCT(H20:H23,H65:H68)</f>
        <v>60.349551409013195</v>
      </c>
      <c r="I113" s="162">
        <f>(SUMPRODUCT(I20:I23,I65:I68,$D84:$D87,$H84:$H87)*I95)/SUMPRODUCT(I20:I23,I65:I68)</f>
        <v>60.147186928522459</v>
      </c>
      <c r="J113" s="163"/>
      <c r="K113" s="66"/>
      <c r="L113" s="66"/>
      <c r="M113" s="61"/>
      <c r="S113" s="95"/>
    </row>
    <row r="114" spans="1:29" x14ac:dyDescent="0.6">
      <c r="A114" s="8"/>
      <c r="B114" s="164" t="s">
        <v>110</v>
      </c>
      <c r="C114" s="66"/>
      <c r="D114" s="66"/>
      <c r="E114" s="162">
        <f>(SUMPRODUCT(Q20:Q23,E65:E68,$F84:$F87,$I84:$I87)*E95)/SUMPRODUCT(Q20:Q23,E65:E68)</f>
        <v>40.557078015397785</v>
      </c>
      <c r="F114" s="162">
        <f>(SUMPRODUCT(R20:R23,F65:F68,$F84:$F87,$I84:$I87)*F95)/SUMPRODUCT(R20:R23,F65:F68)</f>
        <v>40.644254281435543</v>
      </c>
      <c r="G114" s="162">
        <f>(SUMPRODUCT(S20:S23,G65:G68,$F84:$F87,$I84:$I87)*G95)/SUMPRODUCT(S20:S23,G65:G68)</f>
        <v>40.53043962452567</v>
      </c>
      <c r="H114" s="162">
        <f>(SUMPRODUCT(T20:T23,H65:H68,$F84:$F87,$I84:$I87)*H95)/SUMPRODUCT(T20:T23,H65:H68)</f>
        <v>40.554042982374533</v>
      </c>
      <c r="I114" s="162">
        <f>(SUMPRODUCT(U20:U23,I65:I68,$F84:$F87,$I84:$I87)*I95)/SUMPRODUCT(U20:U23,I65:I68)</f>
        <v>40.443750570120031</v>
      </c>
      <c r="J114" s="163"/>
      <c r="K114" s="66"/>
      <c r="L114" s="66"/>
      <c r="M114" s="11"/>
      <c r="N114" s="96"/>
      <c r="P114" s="127"/>
      <c r="W114" s="61"/>
      <c r="AC114" s="95"/>
    </row>
    <row r="115" spans="1:29" x14ac:dyDescent="0.6">
      <c r="A115" s="8"/>
      <c r="C115" s="49"/>
      <c r="D115" s="49"/>
      <c r="E115" s="165"/>
      <c r="F115" s="165"/>
      <c r="G115" s="165"/>
      <c r="H115" s="165"/>
      <c r="I115" s="165"/>
      <c r="J115" s="163"/>
      <c r="K115" s="49"/>
      <c r="L115" s="49"/>
      <c r="R115" s="126"/>
      <c r="S115" s="21"/>
      <c r="W115" s="11"/>
      <c r="X115" s="96"/>
      <c r="Z115" s="127"/>
    </row>
    <row r="116" spans="1:29" x14ac:dyDescent="0.6">
      <c r="A116" s="8"/>
      <c r="B116" s="99" t="s">
        <v>111</v>
      </c>
      <c r="C116" s="66"/>
      <c r="D116" s="66"/>
      <c r="E116" s="162">
        <f>(SUMPRODUCT(E15:E19,E60:E64,$D79:$D83,$H79:$H83)*E95+SUMPRODUCT(Q15:Q19,E60:E64,$F79:$F83,$I79:$I83)*E95+SUMPRODUCT(E24:E26,E69:E71,$D88:$D90,$H88:$H90)*E95+SUMPRODUCT(Q24:Q26,E69:E71,$F88:$F90,$I88:$I90)*E95)/SUM(E60:E64,E69:E71)</f>
        <v>48.797538193387545</v>
      </c>
      <c r="F116" s="162">
        <f>(SUMPRODUCT(F15:F19,F60:F64,$D79:$D83,$H79:$H83)*F95+SUMPRODUCT(R15:R19,F60:F64,$F79:$F83,$I79:$I83)*F95+SUMPRODUCT(F24:F26,F69:F71,$D88:$D90,$H88:$H90)*F95+SUMPRODUCT(R24:R26,F69:F71,$F88:$F90,$I88:$I90)*F95)/SUM(F60:F64,F69:F71)</f>
        <v>48.339545139721118</v>
      </c>
      <c r="G116" s="162">
        <f>(SUMPRODUCT(G15:G19,G60:G64,$D79:$D83,$H79:$H83)*G95+SUMPRODUCT(S15:S19,G60:G64,$F79:$F83,$I79:$I83)*G95+SUMPRODUCT(G24:G26,G69:G71,$D88:$D90,$H88:$H90)*G95+SUMPRODUCT(S24:S26,G69:G71,$F88:$F90,$I88:$I90)*G95)/SUM(G60:G64,G69:G71)</f>
        <v>48.52534249461084</v>
      </c>
      <c r="H116" s="162">
        <f>(SUMPRODUCT(H15:H19,H60:H64,$D79:$D83,$H79:$H83)*H95+SUMPRODUCT(T15:T19,H60:H64,$F79:$F83,$I79:$I83)*H95+SUMPRODUCT(H24:H26,H69:H71,$D88:$D90,$H88:$H90)*H95+SUMPRODUCT(T24:T26,H69:H71,$F88:$F90,$I88:$I90)*H95)/SUM(H60:H64,H69:H71)</f>
        <v>48.578642053627441</v>
      </c>
      <c r="I116" s="162">
        <f>(SUMPRODUCT(I15:I19,I60:I64,$D79:$D83,$H79:$H83)*I95+SUMPRODUCT(U15:U19,I60:I64,$F79:$F83,$I79:$I83)*I95+SUMPRODUCT(I24:I26,I69:I71,$D88:$D90,$H88:$H90)*I95+SUMPRODUCT(U24:U26,I69:I71,$F88:$F90,$I88:$I90)*I95)/SUM(I60:I64,I69:I71)</f>
        <v>45.600295569833044</v>
      </c>
      <c r="J116" s="163"/>
      <c r="K116" s="66"/>
      <c r="L116" s="66"/>
      <c r="M116" s="166"/>
      <c r="AB116" s="126"/>
      <c r="AC116" s="21"/>
    </row>
    <row r="117" spans="1:29" x14ac:dyDescent="0.6">
      <c r="A117" s="8"/>
      <c r="B117" s="164" t="s">
        <v>109</v>
      </c>
      <c r="C117" s="66"/>
      <c r="D117" s="66"/>
      <c r="E117" s="162">
        <f>(SUMPRODUCT(E15:E19,E60:E64,$D79:$D83,$H79:$H83)*E95+SUMPRODUCT(E24:E26,E69:E71,$D88:$D90,$H88:$H90)*E95)/(SUMPRODUCT(E15:E19,E60:E64)+SUMPRODUCT(E24:E26,E69:E71))</f>
        <v>54.134553890576612</v>
      </c>
      <c r="F117" s="162">
        <f>(SUMPRODUCT(F15:F19,F60:F64,$D79:$D83,$H79:$H83)*F95+SUMPRODUCT(F24:F26,F69:F71,$D88:$D90,$H88:$H90)*F95)/(SUMPRODUCT(F15:F19,F60:F64)+SUMPRODUCT(F24:F26,F69:F71))</f>
        <v>53.37497545072209</v>
      </c>
      <c r="G117" s="162">
        <f>(SUMPRODUCT(G15:G19,G60:G64,$D79:$D83,$H79:$H83)*G95+SUMPRODUCT(G24:G26,G69:G71,$D88:$D90,$H88:$H90)*G95)/(SUMPRODUCT(G15:G19,G60:G64)+SUMPRODUCT(G24:G26,G69:G71))</f>
        <v>52.662892997863459</v>
      </c>
      <c r="H117" s="162">
        <f>(SUMPRODUCT(H15:H19,H60:H64,$D79:$D83,$H79:$H83)*H95+SUMPRODUCT(H24:H26,H69:H71,$D88:$D90,$H88:$H90)*H95)/(SUMPRODUCT(H15:H19,H60:H64)+SUMPRODUCT(H24:H26,H69:H71))</f>
        <v>53.167851086349415</v>
      </c>
      <c r="I117" s="162">
        <f>(SUMPRODUCT(I15:I19,I60:I64,$D79:$D83,$H79:$H83)*I95+SUMPRODUCT(I24:I26,I69:I71,$D88:$D90,$H88:$H90)*I95)/(SUMPRODUCT(I15:I19,I60:I64)+SUMPRODUCT(I24:I26,I69:I71))</f>
        <v>52.496006987938522</v>
      </c>
      <c r="J117" s="163"/>
      <c r="K117" s="66"/>
      <c r="L117" s="66"/>
      <c r="M117" s="61"/>
      <c r="S117" s="95"/>
    </row>
    <row r="118" spans="1:29" x14ac:dyDescent="0.6">
      <c r="A118" s="8"/>
      <c r="B118" s="164" t="s">
        <v>110</v>
      </c>
      <c r="C118" s="66"/>
      <c r="D118" s="66"/>
      <c r="E118" s="162">
        <f>(SUMPRODUCT(Q15:Q19,E60:E64,$F79:$F83,$I79:$I83)*E95+SUMPRODUCT(Q24:Q26,E69:E71,$F88:$F90,$I88:$I90)*E95)/(SUMPRODUCT(Q15:Q19,E60:E64)+SUMPRODUCT(Q24:Q26,E69:E71))</f>
        <v>43.987852137132123</v>
      </c>
      <c r="F118" s="162">
        <f>(SUMPRODUCT(R15:R19,F60:F64,$F79:$F83,$I79:$I83)*F95+SUMPRODUCT(R24:R26,F69:F71,$F88:$F90,$I88:$I90)*F95)/(SUMPRODUCT(R15:R19,F60:F64)+SUMPRODUCT(R24:R26,F69:F71))</f>
        <v>43.332998074025866</v>
      </c>
      <c r="G118" s="162">
        <f>(SUMPRODUCT(S15:S19,G60:G64,$F79:$F83,$I79:$I83)*G95+SUMPRODUCT(S24:S26,G69:G71,$F88:$F90,$I88:$I90)*G95)/(SUMPRODUCT(S15:S19,G60:G64)+SUMPRODUCT(S24:S26,G69:G71))</f>
        <v>42.978757135955327</v>
      </c>
      <c r="H118" s="162">
        <f>(SUMPRODUCT(T15:T19,H60:H64,$F79:$F83,$I79:$I83)*H95+SUMPRODUCT(T24:T26,H69:H71,$F88:$F90,$I88:$I90)*H95)/(SUMPRODUCT(T15:T19,H60:H64)+SUMPRODUCT(T24:T26,H69:H71))</f>
        <v>43.203189913705266</v>
      </c>
      <c r="I118" s="162">
        <f>(SUMPRODUCT(U15:U19,I60:I64,$F79:$F83,$I79:$I83)*I95+SUMPRODUCT(U24:U26,I69:I71,$F88:$F90,$I88:$I90)*I95)/(SUMPRODUCT(U15:U19,I60:I64)+SUMPRODUCT(U24:U26,I69:I71))</f>
        <v>42.365111558749668</v>
      </c>
      <c r="J118" s="163"/>
      <c r="K118" s="66"/>
      <c r="L118" s="66"/>
      <c r="M118" s="11"/>
      <c r="N118" s="96"/>
      <c r="P118" s="127"/>
      <c r="W118" s="61"/>
      <c r="AC118" s="95"/>
    </row>
    <row r="119" spans="1:29" x14ac:dyDescent="0.6">
      <c r="A119" s="8"/>
      <c r="C119" s="49"/>
      <c r="D119" s="49"/>
      <c r="E119" s="165"/>
      <c r="F119" s="165"/>
      <c r="G119" s="165"/>
      <c r="H119" s="165"/>
      <c r="I119" s="165"/>
      <c r="J119" s="163"/>
      <c r="K119" s="49"/>
      <c r="L119" s="49"/>
      <c r="R119" s="126"/>
      <c r="S119" s="21"/>
      <c r="W119" s="11"/>
      <c r="X119" s="96"/>
      <c r="Z119" s="127"/>
    </row>
    <row r="120" spans="1:29" x14ac:dyDescent="0.6">
      <c r="A120" s="8"/>
      <c r="B120" t="s">
        <v>112</v>
      </c>
      <c r="C120" s="66"/>
      <c r="D120" s="49"/>
      <c r="E120" s="165">
        <f>(E112*SUM(E65:E68)+E116*SUM(E60:E64,E69:E71))/E72</f>
        <v>49.505570632410048</v>
      </c>
      <c r="F120" s="165">
        <f>(F112*SUM(F65:F68)+F116*SUM(F60:F64,F69:F71))/F72</f>
        <v>49.482953212102473</v>
      </c>
      <c r="G120" s="165">
        <f>(G112*SUM(G65:G68)+G116*SUM(G60:G64,G69:G71))/G72</f>
        <v>49.831857501494312</v>
      </c>
      <c r="H120" s="165">
        <f>(H112*SUM(H65:H68)+H116*SUM(H60:H64,H69:H71))/H72</f>
        <v>49.59116848086439</v>
      </c>
      <c r="I120" s="165">
        <f>(I112*SUM(I65:I68)+I116*SUM(I60:I64,I69:I71))/I72</f>
        <v>45.882830022025573</v>
      </c>
      <c r="J120" s="163"/>
      <c r="K120" s="49"/>
      <c r="L120" s="49"/>
      <c r="M120" s="61"/>
      <c r="AB120" s="126"/>
      <c r="AC120" s="21"/>
    </row>
    <row r="121" spans="1:29" x14ac:dyDescent="0.6">
      <c r="A121" s="8"/>
      <c r="C121" s="66"/>
      <c r="D121" s="49"/>
      <c r="E121" s="49"/>
      <c r="F121" s="49"/>
      <c r="G121" s="49"/>
      <c r="H121" s="49"/>
      <c r="I121" s="49"/>
      <c r="J121" s="49"/>
      <c r="K121" s="49"/>
      <c r="L121" s="49"/>
      <c r="M121" s="61"/>
      <c r="S121" s="95"/>
    </row>
    <row r="122" spans="1:29" x14ac:dyDescent="0.6">
      <c r="A122" s="8"/>
      <c r="B122" t="s">
        <v>113</v>
      </c>
      <c r="C122" s="66">
        <f>SUMPRODUCT(C120:I120,C72:I72)/SUM(C72:I72)</f>
        <v>49.58187766667178</v>
      </c>
      <c r="D122" s="49"/>
      <c r="E122" s="49"/>
      <c r="F122" s="49"/>
      <c r="G122" s="49"/>
      <c r="H122" s="49"/>
      <c r="I122" s="49"/>
      <c r="J122" s="49"/>
      <c r="K122" s="49"/>
      <c r="L122" s="49"/>
      <c r="M122" s="11"/>
      <c r="N122" s="96"/>
      <c r="P122" s="127"/>
      <c r="W122" s="61"/>
      <c r="AC122" s="95"/>
    </row>
    <row r="123" spans="1:29" x14ac:dyDescent="0.6">
      <c r="A123" s="8"/>
      <c r="C123" s="66"/>
      <c r="D123" s="49"/>
      <c r="E123" s="49"/>
      <c r="F123" s="49"/>
      <c r="G123" s="49"/>
      <c r="H123" s="49"/>
      <c r="I123" s="49"/>
      <c r="J123" s="49"/>
      <c r="K123" s="49"/>
      <c r="L123" s="49"/>
      <c r="R123" s="126"/>
      <c r="S123" s="21"/>
      <c r="W123" s="11"/>
      <c r="X123" s="96"/>
      <c r="Z123" s="127"/>
    </row>
    <row r="124" spans="1:29" x14ac:dyDescent="0.6">
      <c r="A124" s="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61"/>
      <c r="AB124" s="126"/>
      <c r="AC124" s="21"/>
    </row>
    <row r="125" spans="1:29" x14ac:dyDescent="0.6">
      <c r="A125" s="6" t="s">
        <v>114</v>
      </c>
      <c r="B125" s="4" t="s">
        <v>115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61"/>
      <c r="S125" s="95"/>
    </row>
    <row r="126" spans="1:29" x14ac:dyDescent="0.6">
      <c r="A126" s="8"/>
      <c r="B126" s="5" t="s">
        <v>116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11"/>
      <c r="N126" s="96"/>
      <c r="P126" s="127"/>
      <c r="W126" s="61"/>
      <c r="AC126" s="95"/>
    </row>
    <row r="127" spans="1:29" x14ac:dyDescent="0.6">
      <c r="A127" s="8"/>
      <c r="B127" s="5" t="s">
        <v>117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R127" s="126"/>
      <c r="S127" s="21"/>
      <c r="W127" s="11"/>
      <c r="X127" s="96"/>
      <c r="Z127" s="127"/>
    </row>
    <row r="128" spans="1:29" x14ac:dyDescent="0.6">
      <c r="A128" s="8"/>
      <c r="B128" s="4"/>
      <c r="C128" s="11"/>
      <c r="D128" s="11"/>
      <c r="E128" s="11" t="str">
        <f>+E$13</f>
        <v>RT{1}</v>
      </c>
      <c r="F128" s="11" t="str">
        <f>+F$13</f>
        <v>RS{2}</v>
      </c>
      <c r="G128" s="11" t="str">
        <f>+G$13</f>
        <v>GS{3}</v>
      </c>
      <c r="H128" s="11" t="str">
        <f>+H$58</f>
        <v>GST {4}</v>
      </c>
      <c r="I128" s="11" t="str">
        <f>+I$13</f>
        <v>OL/SL</v>
      </c>
      <c r="J128" s="11" t="s">
        <v>44</v>
      </c>
      <c r="K128" s="11"/>
      <c r="L128" s="11"/>
      <c r="M128" s="11"/>
      <c r="AB128" s="126"/>
      <c r="AC128" s="21"/>
    </row>
    <row r="129" spans="1:29" x14ac:dyDescent="0.6">
      <c r="A129" s="8"/>
      <c r="C129" s="148"/>
      <c r="M129" s="61"/>
      <c r="S129" s="95"/>
    </row>
    <row r="130" spans="1:29" x14ac:dyDescent="0.6">
      <c r="A130" s="8"/>
      <c r="B130" s="99" t="s">
        <v>108</v>
      </c>
      <c r="C130" s="163"/>
      <c r="D130" s="163"/>
      <c r="E130" s="163">
        <f>SUM(E65:E68)*E112/1000</f>
        <v>3283.1287230632688</v>
      </c>
      <c r="F130" s="163">
        <f>SUM(F65:F68)*F112/1000</f>
        <v>201099.80922580516</v>
      </c>
      <c r="G130" s="163">
        <f>SUM(G65:G68)*G112/1000</f>
        <v>105558.90338142872</v>
      </c>
      <c r="H130" s="163">
        <f>SUM(H65:H68)*H112/1000</f>
        <v>2625.68709767974</v>
      </c>
      <c r="I130" s="163">
        <f>SUM(I65:I68)*I112/1000</f>
        <v>1812.2571073428589</v>
      </c>
      <c r="J130" s="163">
        <f>SUM(E130:I130)</f>
        <v>314379.78553531982</v>
      </c>
      <c r="K130" s="163"/>
      <c r="L130" s="163"/>
      <c r="M130" s="11"/>
      <c r="N130" s="96"/>
      <c r="P130" s="127"/>
      <c r="W130" s="61"/>
      <c r="AC130" s="95"/>
    </row>
    <row r="131" spans="1:29" x14ac:dyDescent="0.6">
      <c r="A131" s="8"/>
      <c r="B131" s="164" t="s">
        <v>109</v>
      </c>
      <c r="C131" s="163"/>
      <c r="D131" s="163"/>
      <c r="E131" s="163">
        <f>SUMPRODUCT(E65:E68,E20:E23)*E113/1000</f>
        <v>2032.930654201851</v>
      </c>
      <c r="F131" s="163">
        <f>SUMPRODUCT(F65:F68,F20:F23)*F113/1000</f>
        <v>125058.74583324396</v>
      </c>
      <c r="G131" s="163">
        <f>SUMPRODUCT(G65:G68,G20:G23)*G113/1000</f>
        <v>71441.130366973593</v>
      </c>
      <c r="H131" s="163">
        <f>SUMPRODUCT(H65:H68,H20:H23)*H113/1000</f>
        <v>1717.090825745521</v>
      </c>
      <c r="I131" s="163">
        <f>SUMPRODUCT(I65:I68,I20:I23)*I113/1000</f>
        <v>715.11779564378219</v>
      </c>
      <c r="J131" s="163">
        <f>SUM(E131:I131)</f>
        <v>200965.0154758087</v>
      </c>
      <c r="K131" s="163"/>
      <c r="L131" s="163"/>
      <c r="R131" s="126"/>
      <c r="S131" s="21"/>
      <c r="W131" s="11"/>
      <c r="X131" s="96"/>
      <c r="Z131" s="127"/>
    </row>
    <row r="132" spans="1:29" x14ac:dyDescent="0.6">
      <c r="A132" s="8"/>
      <c r="B132" s="164" t="s">
        <v>110</v>
      </c>
      <c r="C132" s="163"/>
      <c r="D132" s="163"/>
      <c r="E132" s="163">
        <f>SUMPRODUCT(E65:E68,Q20:Q23)*E114/1000</f>
        <v>1250.1980688614176</v>
      </c>
      <c r="F132" s="163">
        <f>SUMPRODUCT(F65:F68,R20:R23)*F114/1000</f>
        <v>76041.063392561206</v>
      </c>
      <c r="G132" s="163">
        <f>SUMPRODUCT(G65:G68,S20:S23)*G114/1000</f>
        <v>34117.773014455117</v>
      </c>
      <c r="H132" s="163">
        <f>SUMPRODUCT(H65:H68,T20:T23)*H114/1000</f>
        <v>908.59627193421898</v>
      </c>
      <c r="I132" s="163">
        <f>SUMPRODUCT(I65:I68,U20:U23)*I114/1000</f>
        <v>1097.1393116990769</v>
      </c>
      <c r="J132" s="163">
        <f>SUM(E132:I132)</f>
        <v>113414.77005951104</v>
      </c>
      <c r="K132" s="163"/>
      <c r="L132" s="163"/>
      <c r="M132" s="167"/>
      <c r="AB132" s="126"/>
      <c r="AC132" s="21"/>
    </row>
    <row r="133" spans="1:29" x14ac:dyDescent="0.6">
      <c r="A133" s="8"/>
      <c r="C133" s="23"/>
      <c r="D133" s="23"/>
      <c r="E133" s="23"/>
      <c r="F133" s="23"/>
      <c r="G133" s="23"/>
      <c r="H133" s="23"/>
      <c r="I133" s="23"/>
      <c r="J133" s="163"/>
      <c r="K133" s="23"/>
      <c r="L133" s="23"/>
      <c r="M133" s="61"/>
      <c r="S133" s="95"/>
    </row>
    <row r="134" spans="1:29" x14ac:dyDescent="0.6">
      <c r="A134" s="8"/>
      <c r="B134" s="99" t="s">
        <v>111</v>
      </c>
      <c r="C134" s="23"/>
      <c r="D134" s="23"/>
      <c r="E134" s="23">
        <f>SUM(E60:E64,E69:E71)*E116/1000</f>
        <v>6384.9626824519864</v>
      </c>
      <c r="F134" s="23">
        <f>SUM(F60:F64,F69:F71)*F116/1000</f>
        <v>267180.98038900265</v>
      </c>
      <c r="G134" s="23">
        <f>SUM(G60:G64,G69:G71)*G116/1000</f>
        <v>170057.0142470212</v>
      </c>
      <c r="H134" s="23">
        <f>SUM(H60:H64,H69:H71)*H116/1000</f>
        <v>4971.8782782626076</v>
      </c>
      <c r="I134" s="23">
        <f>SUM(I60:I64,I69:I71)*I116/1000</f>
        <v>3558.2822639052124</v>
      </c>
      <c r="J134" s="163">
        <f>SUM(E134:I134)</f>
        <v>452153.11786064366</v>
      </c>
      <c r="K134" s="23"/>
      <c r="L134" s="23"/>
      <c r="M134" s="11"/>
      <c r="N134" s="96"/>
      <c r="P134" s="127"/>
    </row>
    <row r="135" spans="1:29" x14ac:dyDescent="0.6">
      <c r="A135" s="8"/>
      <c r="B135" s="164" t="s">
        <v>109</v>
      </c>
      <c r="C135" s="163"/>
      <c r="D135" s="163"/>
      <c r="E135" s="163">
        <f>(SUMPRODUCT(E60:E64,E15:E19)+SUMPRODUCT(E69:E71,E24:E26))*E117/1000</f>
        <v>3357.5836952575592</v>
      </c>
      <c r="F135" s="163">
        <f>(SUMPRODUCT(F60:F64,F15:F19)+SUMPRODUCT(F69:F71,F24:F26))*F117/1000</f>
        <v>147082.06969449573</v>
      </c>
      <c r="G135" s="163">
        <f>(SUMPRODUCT(G60:G64,G15:G19)+SUMPRODUCT(G69:G71,G24:G26))*G117/1000</f>
        <v>105704.98786889702</v>
      </c>
      <c r="H135" s="163">
        <f>(SUMPRODUCT(H60:H64,H15:H19)+SUMPRODUCT(H69:H71,H24:H26))*H117/1000</f>
        <v>2935.4635236079944</v>
      </c>
      <c r="I135" s="163">
        <f>(SUMPRODUCT(I60:I64,I15:I19)+SUMPRODUCT(I69:I71,I24:I26))*I117/1000</f>
        <v>1308.1277661713468</v>
      </c>
      <c r="J135" s="163">
        <f>SUM(E135:I135)</f>
        <v>260388.23254842963</v>
      </c>
      <c r="K135" s="163"/>
      <c r="L135" s="163"/>
      <c r="R135" s="126"/>
      <c r="S135" s="21"/>
    </row>
    <row r="136" spans="1:29" x14ac:dyDescent="0.6">
      <c r="A136" s="8"/>
      <c r="B136" s="164" t="s">
        <v>110</v>
      </c>
      <c r="C136" s="163"/>
      <c r="D136" s="163"/>
      <c r="E136" s="163">
        <f>+(SUMPRODUCT(E60:E64,Q15:Q19)+SUMPRODUCT(E69:E71,Q24:Q26))*E118/1000</f>
        <v>3027.3789871944264</v>
      </c>
      <c r="F136" s="163">
        <f>+(SUMPRODUCT(F60:F64,R15:R19)+SUMPRODUCT(F69:F71,R24:R26))*F118/1000</f>
        <v>120098.91069450692</v>
      </c>
      <c r="G136" s="163">
        <f>+(SUMPRODUCT(G60:G64,S15:S19)+SUMPRODUCT(G69:G71,S24:S26))*G118/1000</f>
        <v>64352.026378124217</v>
      </c>
      <c r="H136" s="163">
        <f>+(SUMPRODUCT(H60:H64,T15:T19)+SUMPRODUCT(H69:H71,T24:T26))*H118/1000</f>
        <v>2036.4147546546137</v>
      </c>
      <c r="I136" s="163">
        <f>+(SUMPRODUCT(I60:I64,U15:U19)+SUMPRODUCT(I69:I71,U24:U26))*I118/1000</f>
        <v>2250.1544977338658</v>
      </c>
      <c r="J136" s="163">
        <f>SUM(E136:I136)</f>
        <v>191764.88531221403</v>
      </c>
      <c r="K136" s="163"/>
      <c r="L136" s="163"/>
      <c r="M136" s="167"/>
    </row>
    <row r="137" spans="1:29" x14ac:dyDescent="0.6">
      <c r="A137" s="8"/>
      <c r="C137" s="49"/>
      <c r="D137" s="49"/>
      <c r="E137" s="49"/>
      <c r="F137" s="49"/>
      <c r="G137" s="49"/>
      <c r="H137" s="49"/>
      <c r="I137" s="49"/>
      <c r="J137" s="163"/>
      <c r="K137" s="49"/>
      <c r="L137" s="49"/>
      <c r="M137" s="61"/>
      <c r="S137" s="95"/>
    </row>
    <row r="138" spans="1:29" x14ac:dyDescent="0.6">
      <c r="A138" s="8"/>
      <c r="B138" t="s">
        <v>112</v>
      </c>
      <c r="C138" s="23"/>
      <c r="D138" s="23"/>
      <c r="E138" s="23">
        <f>+E130+E134</f>
        <v>9668.0914055152552</v>
      </c>
      <c r="F138" s="23">
        <f>+F130+F134</f>
        <v>468280.78961480781</v>
      </c>
      <c r="G138" s="23">
        <f>+G130+G134</f>
        <v>275615.91762844991</v>
      </c>
      <c r="H138" s="23">
        <f>+H130+H134</f>
        <v>7597.5653759423476</v>
      </c>
      <c r="I138" s="23">
        <f>+I130+I134</f>
        <v>5370.5393712480709</v>
      </c>
      <c r="J138" s="163">
        <f>SUM(E138:I138)</f>
        <v>766532.90339596348</v>
      </c>
      <c r="K138" s="23"/>
      <c r="L138" s="23"/>
      <c r="M138" s="11"/>
      <c r="N138" s="96"/>
      <c r="P138" s="127"/>
    </row>
    <row r="139" spans="1:29" x14ac:dyDescent="0.6">
      <c r="A139" s="8"/>
      <c r="R139" s="126"/>
      <c r="S139" s="21"/>
    </row>
    <row r="140" spans="1:29" x14ac:dyDescent="0.6">
      <c r="A140" s="8"/>
      <c r="B140" t="s">
        <v>113</v>
      </c>
      <c r="C140" s="163">
        <f>SUM(C138:I138)</f>
        <v>766532.90339596348</v>
      </c>
      <c r="E140" s="168"/>
      <c r="F140" s="66"/>
    </row>
    <row r="141" spans="1:29" x14ac:dyDescent="0.6">
      <c r="A141" s="8"/>
      <c r="M141" s="61"/>
      <c r="S141" s="95"/>
    </row>
    <row r="142" spans="1:29" x14ac:dyDescent="0.6">
      <c r="A142" s="8"/>
      <c r="M142" s="11"/>
      <c r="N142" s="96"/>
      <c r="P142" s="127"/>
    </row>
    <row r="143" spans="1:29" ht="15.5" x14ac:dyDescent="0.7">
      <c r="A143" s="8"/>
      <c r="B143" s="340" t="str">
        <f>$B$1</f>
        <v xml:space="preserve">Jersey Central Power &amp; Light </v>
      </c>
      <c r="C143" s="340"/>
      <c r="D143" s="340"/>
      <c r="E143" s="340"/>
      <c r="F143" s="340"/>
      <c r="G143" s="340"/>
      <c r="H143" s="340"/>
      <c r="I143" s="340"/>
      <c r="J143" s="340"/>
      <c r="K143" s="340"/>
      <c r="L143" s="340"/>
      <c r="R143" s="126"/>
      <c r="S143" s="21"/>
    </row>
    <row r="144" spans="1:29" ht="15.5" x14ac:dyDescent="0.7">
      <c r="A144" s="8"/>
      <c r="B144" s="340" t="str">
        <f>$B$2</f>
        <v>Attachment 2</v>
      </c>
      <c r="C144" s="340"/>
      <c r="D144" s="340"/>
      <c r="E144" s="340"/>
      <c r="F144" s="340"/>
      <c r="G144" s="340"/>
      <c r="H144" s="340"/>
      <c r="I144" s="340"/>
      <c r="J144" s="340"/>
      <c r="K144" s="340"/>
      <c r="L144" s="340"/>
    </row>
    <row r="145" spans="1:51" x14ac:dyDescent="0.6">
      <c r="A145" s="8"/>
    </row>
    <row r="146" spans="1:51" x14ac:dyDescent="0.6">
      <c r="A146" s="6" t="s">
        <v>118</v>
      </c>
      <c r="B146" s="4" t="s">
        <v>119</v>
      </c>
      <c r="C146" s="49"/>
    </row>
    <row r="147" spans="1:51" x14ac:dyDescent="0.6">
      <c r="A147" s="8"/>
      <c r="B147" s="5" t="s">
        <v>120</v>
      </c>
      <c r="C147" s="49"/>
      <c r="Q147" t="s">
        <v>121</v>
      </c>
      <c r="T147" t="s">
        <v>122</v>
      </c>
      <c r="W147" t="s">
        <v>123</v>
      </c>
      <c r="Z147" t="s">
        <v>124</v>
      </c>
    </row>
    <row r="148" spans="1:51" x14ac:dyDescent="0.6">
      <c r="A148" s="8"/>
      <c r="B148" s="5" t="s">
        <v>81</v>
      </c>
      <c r="C148" s="49"/>
      <c r="W148" t="s">
        <v>125</v>
      </c>
      <c r="Z148" t="s">
        <v>126</v>
      </c>
      <c r="AC148" t="s">
        <v>127</v>
      </c>
    </row>
    <row r="149" spans="1:51" x14ac:dyDescent="0.6">
      <c r="A149" s="8"/>
      <c r="B149" s="4"/>
      <c r="C149" s="11"/>
      <c r="D149" s="11"/>
      <c r="E149" s="11" t="str">
        <f>+E$13</f>
        <v>RT{1}</v>
      </c>
      <c r="F149" s="11" t="str">
        <f>+F$13</f>
        <v>RS{2}</v>
      </c>
      <c r="G149" s="11" t="str">
        <f>+G$13</f>
        <v>GS{3}</v>
      </c>
      <c r="H149" s="11" t="str">
        <f>+H$58</f>
        <v>GST {4}</v>
      </c>
      <c r="I149" s="11" t="str">
        <f>+I$13</f>
        <v>OL/SL</v>
      </c>
      <c r="J149" s="11"/>
      <c r="K149" s="11"/>
      <c r="L149" s="11"/>
    </row>
    <row r="150" spans="1:51" x14ac:dyDescent="0.6">
      <c r="A150" s="8"/>
      <c r="C150" s="148"/>
      <c r="M150" s="11"/>
      <c r="Q150" s="11" t="str">
        <f>+$H149</f>
        <v>GST {4}</v>
      </c>
      <c r="R150" s="11"/>
      <c r="S150" s="11"/>
      <c r="T150" s="11" t="str">
        <f>+$H149</f>
        <v>GST {4}</v>
      </c>
      <c r="U150" s="11"/>
      <c r="V150" s="11"/>
      <c r="W150" s="11" t="str">
        <f>+$H149</f>
        <v>GST {4}</v>
      </c>
      <c r="X150" s="11"/>
      <c r="Z150" s="11" t="str">
        <f>+$H149</f>
        <v>GST {4}</v>
      </c>
      <c r="AA150" s="11"/>
      <c r="AC150" s="11" t="str">
        <f>+$H149</f>
        <v>GST {4}</v>
      </c>
      <c r="AD150" s="11"/>
      <c r="AU150" s="11"/>
      <c r="AV150" s="11"/>
      <c r="AW150" s="11"/>
      <c r="AX150" s="11"/>
      <c r="AY150" s="11"/>
    </row>
    <row r="151" spans="1:51" x14ac:dyDescent="0.6">
      <c r="A151" s="8"/>
      <c r="B151" s="99" t="s">
        <v>108</v>
      </c>
      <c r="C151" s="66"/>
      <c r="D151" s="66"/>
      <c r="E151" s="162">
        <f>+E130/SUM(E65:E68)*1000</f>
        <v>50.943080718470505</v>
      </c>
      <c r="F151" s="162">
        <f>+F130/SUM(F65:F68)*1000</f>
        <v>51.088472368326428</v>
      </c>
      <c r="G151" s="162">
        <f>+G130/SUM(G65:G68)*1000</f>
        <v>52.091350989814408</v>
      </c>
      <c r="H151" s="162">
        <f>+H130/SUM(H65:H68)*1000</f>
        <v>51.628823911747446</v>
      </c>
      <c r="I151" s="162">
        <f>+I130/SUM(I65:I68)*1000</f>
        <v>46.447884443777305</v>
      </c>
      <c r="J151" s="66"/>
      <c r="K151" s="66"/>
      <c r="L151" s="66"/>
    </row>
    <row r="152" spans="1:51" x14ac:dyDescent="0.6">
      <c r="A152" s="8"/>
      <c r="B152" s="164" t="s">
        <v>128</v>
      </c>
      <c r="C152" s="163"/>
      <c r="D152" s="163"/>
      <c r="E152" s="162">
        <f>+(E131*1000-X165*AVERAGE(E$113,E$114))/R165</f>
        <v>62.951745822743057</v>
      </c>
      <c r="F152" s="162"/>
      <c r="G152" s="162"/>
      <c r="H152" s="162">
        <f>+(H131*1000-W153*AVERAGE(H$113,H$114))/Q153</f>
        <v>62.754489104451423</v>
      </c>
      <c r="I152" s="162"/>
      <c r="J152" s="163"/>
      <c r="K152" s="163"/>
      <c r="L152" s="66"/>
      <c r="M152" s="66"/>
      <c r="P152" s="19" t="s">
        <v>91</v>
      </c>
      <c r="AU152" s="122"/>
      <c r="AV152" s="122"/>
      <c r="AW152" s="122"/>
      <c r="AX152" s="122"/>
      <c r="AY152" s="122"/>
    </row>
    <row r="153" spans="1:51" x14ac:dyDescent="0.6">
      <c r="A153" s="8"/>
      <c r="B153" s="164" t="s">
        <v>129</v>
      </c>
      <c r="C153" s="163"/>
      <c r="D153" s="163"/>
      <c r="E153" s="162">
        <f>+(E132*1000-X166*AVERAGE(E$113,E$114))/R166</f>
        <v>42.331374548059671</v>
      </c>
      <c r="F153" s="162"/>
      <c r="G153" s="162"/>
      <c r="H153" s="162">
        <f>+(H132*1000-W154*AVERAGE(H$113,H$114))/Q154</f>
        <v>42.522481369485178</v>
      </c>
      <c r="I153" s="162"/>
      <c r="J153" s="163"/>
      <c r="K153" s="163"/>
      <c r="L153" s="66"/>
      <c r="M153" s="66"/>
      <c r="P153" t="s">
        <v>85</v>
      </c>
      <c r="Q153" s="122">
        <f>T65</f>
        <v>22890.5242</v>
      </c>
      <c r="R153" s="122"/>
      <c r="T153" s="122">
        <f>T76</f>
        <v>28452.420699999995</v>
      </c>
      <c r="U153" s="122"/>
      <c r="W153" s="122">
        <f>+T153-Q153</f>
        <v>5561.8964999999953</v>
      </c>
      <c r="X153" s="122"/>
      <c r="Z153" s="23">
        <f>+H152*Q153/1000</f>
        <v>1436.4831515040817</v>
      </c>
      <c r="AA153" s="23"/>
      <c r="AX153" s="122"/>
    </row>
    <row r="154" spans="1:51" ht="15.25" x14ac:dyDescent="1.05">
      <c r="A154" s="8"/>
      <c r="C154" s="23"/>
      <c r="D154" s="23"/>
      <c r="E154" s="165"/>
      <c r="F154" s="165"/>
      <c r="G154" s="165"/>
      <c r="H154" s="165"/>
      <c r="I154" s="165"/>
      <c r="J154" s="23"/>
      <c r="K154" s="23"/>
      <c r="L154" s="23"/>
      <c r="M154" s="66"/>
      <c r="P154" t="s">
        <v>86</v>
      </c>
      <c r="Q154" s="122">
        <f>T66</f>
        <v>27966.4758</v>
      </c>
      <c r="R154" s="122"/>
      <c r="T154" s="122">
        <f>T77</f>
        <v>22404.579300000005</v>
      </c>
      <c r="U154" s="122"/>
      <c r="W154" s="122">
        <f>+T154-Q154</f>
        <v>-5561.8964999999953</v>
      </c>
      <c r="X154" s="122"/>
      <c r="Z154" s="22">
        <f>+H153*Q154/1000</f>
        <v>1189.2039461756581</v>
      </c>
      <c r="AA154" s="22"/>
      <c r="AX154" s="122"/>
    </row>
    <row r="155" spans="1:51" x14ac:dyDescent="0.6">
      <c r="A155" s="8"/>
      <c r="B155" s="99" t="s">
        <v>111</v>
      </c>
      <c r="C155" s="49"/>
      <c r="D155" s="49"/>
      <c r="E155" s="165">
        <f>+E134/SUM(E60:E64,E69:E71)*1000</f>
        <v>48.797538193387545</v>
      </c>
      <c r="F155" s="165">
        <f>+F134/SUM(F60:F64,F69:F71)*1000</f>
        <v>48.339545139721125</v>
      </c>
      <c r="G155" s="165">
        <f>+G134/SUM(G60:G64,G69:G71)*1000</f>
        <v>48.525342494610847</v>
      </c>
      <c r="H155" s="165">
        <f>+H134/SUM(H60:H64,H69:H71)*1000</f>
        <v>48.578642053627441</v>
      </c>
      <c r="I155" s="165">
        <f>+I134/SUM(I60:I64,I69:I71)*1000</f>
        <v>45.600295569833051</v>
      </c>
      <c r="J155" s="49"/>
      <c r="K155" s="49"/>
      <c r="L155" s="49"/>
      <c r="M155" s="23"/>
      <c r="Q155" s="122"/>
      <c r="R155" s="122"/>
      <c r="T155" s="122"/>
      <c r="U155" s="122"/>
      <c r="W155" s="122"/>
      <c r="X155" s="122"/>
      <c r="Z155" s="23">
        <f>+Z154+Z153</f>
        <v>2625.68709767974</v>
      </c>
      <c r="AA155" s="23"/>
      <c r="AC155" s="148">
        <f>+H130</f>
        <v>2625.68709767974</v>
      </c>
      <c r="AD155" s="148"/>
    </row>
    <row r="156" spans="1:51" x14ac:dyDescent="0.6">
      <c r="A156" s="8"/>
      <c r="B156" s="164" t="s">
        <v>128</v>
      </c>
      <c r="C156" s="163"/>
      <c r="D156" s="163"/>
      <c r="E156" s="162">
        <f>+(E135*1000-X170*AVERAGE(E$113,E$114))/R170</f>
        <v>55.270605575909464</v>
      </c>
      <c r="F156" s="162"/>
      <c r="G156" s="162"/>
      <c r="H156" s="162">
        <f>+(H135*1000-W157*AVERAGE(H$117,H$118))/Q157</f>
        <v>54.479981613329926</v>
      </c>
      <c r="I156" s="162"/>
      <c r="J156" s="163"/>
      <c r="K156" s="163"/>
      <c r="L156" s="66"/>
      <c r="M156" s="49"/>
      <c r="P156" s="19" t="s">
        <v>88</v>
      </c>
      <c r="Q156" s="122"/>
      <c r="R156" s="122"/>
      <c r="T156" s="122"/>
      <c r="U156" s="122"/>
      <c r="W156" s="122"/>
      <c r="X156" s="122"/>
      <c r="Z156" s="23"/>
      <c r="AA156" s="23"/>
      <c r="AC156" s="148"/>
      <c r="AU156" s="122"/>
      <c r="AV156" s="122"/>
      <c r="AW156" s="122"/>
      <c r="AX156" s="122"/>
      <c r="AY156" s="122"/>
    </row>
    <row r="157" spans="1:51" x14ac:dyDescent="0.6">
      <c r="A157" s="8"/>
      <c r="B157" s="164" t="s">
        <v>129</v>
      </c>
      <c r="C157" s="163"/>
      <c r="D157" s="163"/>
      <c r="E157" s="162">
        <f>+(E136*1000-X171*AVERAGE(E$113,E$114))/R171</f>
        <v>45.151449589039387</v>
      </c>
      <c r="F157" s="162"/>
      <c r="G157" s="162"/>
      <c r="H157" s="162">
        <f>+(H136*1000-W158*AVERAGE(H$117,H$118))/Q158</f>
        <v>44.180984895088208</v>
      </c>
      <c r="I157" s="162"/>
      <c r="J157" s="163"/>
      <c r="K157" s="163"/>
      <c r="L157" s="66"/>
      <c r="M157" s="66"/>
      <c r="P157" t="s">
        <v>85</v>
      </c>
      <c r="Q157" s="122">
        <f>T61</f>
        <v>43702.025500000003</v>
      </c>
      <c r="R157" s="122"/>
      <c r="T157" s="122">
        <f>T72</f>
        <v>55211.250100000005</v>
      </c>
      <c r="U157" s="122"/>
      <c r="W157" s="122">
        <f>+T157-Q157</f>
        <v>11509.224600000001</v>
      </c>
      <c r="X157" s="122"/>
      <c r="Z157" s="23">
        <f>+H156*Q157/1000</f>
        <v>2380.8855457052755</v>
      </c>
      <c r="AA157" s="23"/>
      <c r="AC157" s="148"/>
      <c r="AX157" s="122"/>
    </row>
    <row r="158" spans="1:51" ht="15.25" x14ac:dyDescent="1.05">
      <c r="A158" s="8"/>
      <c r="C158" s="49"/>
      <c r="D158" s="49"/>
      <c r="E158" s="165"/>
      <c r="F158" s="165"/>
      <c r="G158" s="165"/>
      <c r="H158" s="165"/>
      <c r="I158" s="165"/>
      <c r="J158" s="49"/>
      <c r="K158" s="49"/>
      <c r="L158" s="49"/>
      <c r="M158" s="66"/>
      <c r="P158" t="s">
        <v>86</v>
      </c>
      <c r="Q158" s="122">
        <f>T62</f>
        <v>58644.974499999997</v>
      </c>
      <c r="R158" s="122"/>
      <c r="T158" s="122">
        <f>T73</f>
        <v>47135.749899999995</v>
      </c>
      <c r="U158" s="122"/>
      <c r="W158" s="122">
        <f>+T158-Q158</f>
        <v>-11509.224600000001</v>
      </c>
      <c r="X158" s="122"/>
      <c r="Z158" s="22">
        <f>+H157*Q158/1000</f>
        <v>2590.9927325573331</v>
      </c>
      <c r="AA158" s="22"/>
      <c r="AC158" s="148"/>
      <c r="AX158" s="122"/>
    </row>
    <row r="159" spans="1:51" x14ac:dyDescent="0.6">
      <c r="A159" s="8"/>
      <c r="B159" t="s">
        <v>130</v>
      </c>
      <c r="C159" s="66"/>
      <c r="D159" s="66"/>
      <c r="E159" s="162">
        <f>(E151*SUM(E65:E68)+E155*SUM(E60:E64,E69:E71))/E72</f>
        <v>49.505570632410048</v>
      </c>
      <c r="F159" s="162">
        <f>(F151*SUM(F65:F68)+F155*SUM(F60:F64,F69:F71))/F72</f>
        <v>49.482953212102473</v>
      </c>
      <c r="G159" s="162">
        <f>(G151*SUM(G65:G68)+G155*SUM(G60:G64,G69:G71))/G72</f>
        <v>49.831857501494312</v>
      </c>
      <c r="H159" s="162">
        <f>(H151*SUM(H65:H68)+H155*SUM(H60:H64,H69:H71))/H72</f>
        <v>49.59116848086439</v>
      </c>
      <c r="I159" s="162">
        <f>(I151*SUM(I65:I68)+I155*SUM(I60:I64,I69:I71))/I72</f>
        <v>45.88283002202558</v>
      </c>
      <c r="J159" s="66"/>
      <c r="K159" s="66"/>
      <c r="L159" s="66"/>
      <c r="M159" s="49"/>
      <c r="Z159" s="23">
        <f>+Z158+Z157</f>
        <v>4971.8782782626085</v>
      </c>
      <c r="AA159" s="23"/>
      <c r="AC159" s="148">
        <f>+H134</f>
        <v>4971.8782782626076</v>
      </c>
      <c r="AD159" s="148"/>
    </row>
    <row r="160" spans="1:51" x14ac:dyDescent="0.6">
      <c r="A160" s="8"/>
      <c r="B160" t="s">
        <v>131</v>
      </c>
      <c r="C160" s="66">
        <f>+C140/SUM(C72:I72)*1000</f>
        <v>49.581877666671787</v>
      </c>
      <c r="M160" s="66"/>
      <c r="AU160" s="122"/>
      <c r="AV160" s="122"/>
      <c r="AW160" s="122"/>
      <c r="AX160" s="122"/>
      <c r="AY160" s="122"/>
    </row>
    <row r="161" spans="1:51" ht="5" customHeight="1" x14ac:dyDescent="0.6">
      <c r="A161" s="8"/>
    </row>
    <row r="162" spans="1:51" x14ac:dyDescent="0.6">
      <c r="A162" s="6" t="s">
        <v>132</v>
      </c>
      <c r="B162" s="4" t="s">
        <v>133</v>
      </c>
      <c r="Q162" s="11" t="str">
        <f>+$E149</f>
        <v>RT{1}</v>
      </c>
      <c r="R162" s="11"/>
      <c r="S162" s="11"/>
      <c r="T162" s="11" t="str">
        <f>+$E149</f>
        <v>RT{1}</v>
      </c>
      <c r="U162" s="11"/>
      <c r="V162" s="11"/>
      <c r="W162" s="11" t="str">
        <f>+$E149</f>
        <v>RT{1}</v>
      </c>
      <c r="X162" s="11"/>
      <c r="Z162" s="11" t="str">
        <f>+$E149</f>
        <v>RT{1}</v>
      </c>
      <c r="AA162" s="11"/>
      <c r="AC162" s="11" t="str">
        <f>+$E149</f>
        <v>RT{1}</v>
      </c>
    </row>
    <row r="163" spans="1:51" x14ac:dyDescent="0.6">
      <c r="A163" s="8"/>
      <c r="B163" s="5" t="str">
        <f>'BGS PTY22 Cost Alloc'!$B$161</f>
        <v>obligations - annual average forecasted for 2023; costs are market estimates</v>
      </c>
      <c r="J163" s="11" t="s">
        <v>134</v>
      </c>
    </row>
    <row r="164" spans="1:51" x14ac:dyDescent="0.6">
      <c r="A164" s="8"/>
      <c r="B164" s="5" t="s">
        <v>135</v>
      </c>
      <c r="C164" s="11"/>
      <c r="D164" s="11"/>
      <c r="E164" s="11" t="str">
        <f>+E$13</f>
        <v>RT{1}</v>
      </c>
      <c r="F164" s="11" t="str">
        <f>+F$13</f>
        <v>RS{2}</v>
      </c>
      <c r="G164" s="11" t="str">
        <f>+G$13</f>
        <v>GS{3}</v>
      </c>
      <c r="H164" s="11" t="str">
        <f>+H$58</f>
        <v>GST {4}</v>
      </c>
      <c r="I164" s="11" t="str">
        <f>+I$13</f>
        <v>OL/SL</v>
      </c>
      <c r="J164" s="11" t="s">
        <v>136</v>
      </c>
      <c r="K164" s="11"/>
      <c r="L164" s="11"/>
      <c r="P164" s="19" t="s">
        <v>91</v>
      </c>
      <c r="Q164" s="20" t="s">
        <v>137</v>
      </c>
      <c r="R164" s="20" t="s">
        <v>138</v>
      </c>
      <c r="T164" s="20" t="s">
        <v>137</v>
      </c>
      <c r="U164" s="20" t="s">
        <v>138</v>
      </c>
      <c r="W164" s="20" t="s">
        <v>137</v>
      </c>
      <c r="X164" s="20" t="s">
        <v>138</v>
      </c>
      <c r="Z164" s="20" t="s">
        <v>139</v>
      </c>
      <c r="AC164" s="20" t="s">
        <v>139</v>
      </c>
    </row>
    <row r="165" spans="1:51" ht="5" customHeight="1" x14ac:dyDescent="0.6">
      <c r="A165" s="8"/>
      <c r="P165" t="s">
        <v>85</v>
      </c>
      <c r="Q165" s="122">
        <f>SUMPRODUCT(E38:E41,M65:M68)</f>
        <v>26016.642399999997</v>
      </c>
      <c r="R165" s="122">
        <f>SUMPRODUCT(E38:E41,E65:E68)</f>
        <v>26912.775699999998</v>
      </c>
      <c r="T165" s="122">
        <f>Q76</f>
        <v>33621.355499999998</v>
      </c>
      <c r="U165" s="122">
        <f>T165-($Q$167*$Q165/($Q$165+$Q$166))</f>
        <v>32722.560757992807</v>
      </c>
      <c r="W165" s="122">
        <f>+T165-Q165</f>
        <v>7604.7131000000008</v>
      </c>
      <c r="X165" s="122">
        <f>-Q165+U165</f>
        <v>6705.9183579928103</v>
      </c>
      <c r="Z165" s="23">
        <f>+E152*Q165/1000</f>
        <v>1637.7930595259998</v>
      </c>
      <c r="AA165" s="23"/>
      <c r="AU165" s="23"/>
      <c r="AV165" s="23"/>
      <c r="AW165" s="23"/>
      <c r="AX165" s="23"/>
      <c r="AY165" s="23"/>
    </row>
    <row r="166" spans="1:51" ht="15.25" x14ac:dyDescent="1.05">
      <c r="A166" s="8"/>
      <c r="B166" t="s">
        <v>140</v>
      </c>
      <c r="C166" s="169"/>
      <c r="D166" s="169"/>
      <c r="E166" s="169">
        <f>'BGS PTY22 Cost Alloc'!E164</f>
        <v>48.418413300000005</v>
      </c>
      <c r="F166" s="169">
        <f>'BGS PTY22 Cost Alloc'!F164</f>
        <v>3346.708828672</v>
      </c>
      <c r="G166" s="169">
        <f>'BGS PTY22 Cost Alloc'!G164</f>
        <v>1302.9674843560001</v>
      </c>
      <c r="H166" s="169">
        <f>'BGS PTY22 Cost Alloc'!H164</f>
        <v>24.217017399999996</v>
      </c>
      <c r="I166" s="169">
        <f>'BGS PTY22 Cost Alloc'!I164</f>
        <v>5.0061351999999996E-2</v>
      </c>
      <c r="J166" s="169">
        <f>SUM(E166:I166)</f>
        <v>4722.3618050799996</v>
      </c>
      <c r="K166" s="169"/>
      <c r="L166" s="169"/>
      <c r="M166" s="11"/>
      <c r="P166" t="s">
        <v>86</v>
      </c>
      <c r="Q166" s="122">
        <f>SUMPRODUCT(Q38:Q41,M65:M68)</f>
        <v>36277.357600000003</v>
      </c>
      <c r="R166" s="122">
        <f>SUMPRODUCT(Q38:Q41,E65:E68)</f>
        <v>37534.224300000002</v>
      </c>
      <c r="T166" s="122">
        <f>Q77</f>
        <v>30825.644500000002</v>
      </c>
      <c r="U166" s="122">
        <f>T166-($Q$167*$Q166/($Q$165+$Q$166))</f>
        <v>29572.373698814892</v>
      </c>
      <c r="W166" s="122">
        <f>+T166-Q166</f>
        <v>-5451.7131000000008</v>
      </c>
      <c r="X166" s="122">
        <f>-Q166+U166</f>
        <v>-6704.9839011851109</v>
      </c>
      <c r="Z166" s="23">
        <f>+E153*Q166/1000</f>
        <v>1535.6704121794992</v>
      </c>
      <c r="AA166" s="22"/>
      <c r="AU166" s="23"/>
      <c r="AV166" s="23"/>
      <c r="AW166" s="23"/>
      <c r="AX166" s="23"/>
      <c r="AY166" s="23"/>
    </row>
    <row r="167" spans="1:51" ht="15.25" x14ac:dyDescent="1.05">
      <c r="A167" s="8"/>
      <c r="P167" t="s">
        <v>141</v>
      </c>
      <c r="Q167" s="122">
        <f>SUM(W65:W68)/1000</f>
        <v>2152.0655431923001</v>
      </c>
      <c r="R167" s="122"/>
      <c r="T167" s="122">
        <v>0</v>
      </c>
      <c r="U167" s="122">
        <v>0</v>
      </c>
      <c r="W167" s="122">
        <f>+T167-Q167</f>
        <v>-2152.0655431923001</v>
      </c>
      <c r="X167" s="122"/>
      <c r="Z167" s="22">
        <f>+E151*Q167/1000</f>
        <v>109.63284867828442</v>
      </c>
      <c r="AU167" s="23"/>
      <c r="AV167" s="23"/>
      <c r="AW167" s="23"/>
      <c r="AX167" s="23"/>
      <c r="AY167" s="23"/>
    </row>
    <row r="168" spans="1:51" x14ac:dyDescent="0.6">
      <c r="A168" s="8"/>
      <c r="B168" t="s">
        <v>142</v>
      </c>
      <c r="C168" s="169" t="s">
        <v>143</v>
      </c>
      <c r="D168" s="169"/>
      <c r="E168" s="141"/>
      <c r="F168" s="141"/>
      <c r="G168" s="141"/>
      <c r="H168" s="141"/>
      <c r="I168" s="141"/>
      <c r="J168" s="169"/>
      <c r="K168" s="169"/>
      <c r="L168" s="169"/>
      <c r="M168" s="169"/>
      <c r="Z168" s="23">
        <f>SUM(Z165:Z167)</f>
        <v>3283.0963203837832</v>
      </c>
      <c r="AA168" s="23"/>
      <c r="AC168" s="148">
        <f>+E130</f>
        <v>3283.1287230632688</v>
      </c>
      <c r="AU168" s="23"/>
      <c r="AV168" s="23"/>
      <c r="AW168" s="23"/>
      <c r="AX168" s="23"/>
      <c r="AY168" s="23"/>
    </row>
    <row r="169" spans="1:51" ht="4" customHeight="1" x14ac:dyDescent="0.6">
      <c r="A169" s="8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P169" s="19" t="s">
        <v>88</v>
      </c>
      <c r="Q169" s="122"/>
      <c r="R169" s="122"/>
      <c r="T169" s="122"/>
      <c r="U169" s="122"/>
      <c r="W169" s="122"/>
      <c r="X169" s="122"/>
      <c r="AU169" s="23"/>
      <c r="AV169" s="23"/>
      <c r="AW169" s="23"/>
      <c r="AX169" s="23"/>
      <c r="AY169" s="23"/>
    </row>
    <row r="170" spans="1:51" x14ac:dyDescent="0.6">
      <c r="A170" s="8"/>
      <c r="B170" t="s">
        <v>144</v>
      </c>
      <c r="I170" s="169"/>
      <c r="J170" s="169"/>
      <c r="K170" s="169"/>
      <c r="L170" s="169"/>
      <c r="M170" s="169"/>
      <c r="P170" t="s">
        <v>85</v>
      </c>
      <c r="Q170" s="122">
        <f>SUMPRODUCT(E33:E37,M60:M64)+SUMPRODUCT(E42:E44,M69:M71)</f>
        <v>45239.026299999998</v>
      </c>
      <c r="R170" s="122">
        <f>SUMPRODUCT(E33:E37,E60:E64)+SUMPRODUCT(E42:E44,E69:E71)</f>
        <v>47145.863499999999</v>
      </c>
      <c r="T170" s="122">
        <f>Q72</f>
        <v>62022.930899999992</v>
      </c>
      <c r="U170" s="122">
        <f>T170-($Q$172*$Q170/($Q$170+$Q$171))</f>
        <v>60122.898748740183</v>
      </c>
      <c r="W170" s="122">
        <f>+T170-Q170</f>
        <v>16783.904599999994</v>
      </c>
      <c r="X170" s="122">
        <f>-Q170+U170</f>
        <v>14883.872448740185</v>
      </c>
      <c r="Z170" s="23">
        <f>+E156*Q170/1000</f>
        <v>2500.3883792654947</v>
      </c>
      <c r="AA170" s="23"/>
      <c r="AC170" s="148"/>
      <c r="AU170" s="23"/>
      <c r="AV170" s="23"/>
      <c r="AW170" s="23"/>
      <c r="AX170" s="23"/>
      <c r="AY170" s="23"/>
    </row>
    <row r="171" spans="1:51" ht="15.25" x14ac:dyDescent="1.05">
      <c r="A171" s="8"/>
      <c r="D171" s="126" t="s">
        <v>145</v>
      </c>
      <c r="E171">
        <v>122</v>
      </c>
      <c r="G171" s="126" t="s">
        <v>146</v>
      </c>
      <c r="H171">
        <v>4</v>
      </c>
      <c r="I171" s="169"/>
      <c r="J171" s="169"/>
      <c r="K171" s="169"/>
      <c r="L171" s="169"/>
      <c r="M171" s="169"/>
      <c r="P171" t="s">
        <v>86</v>
      </c>
      <c r="Q171" s="122">
        <f>SUMPRODUCT(Q33:Q37,M60:M64)+SUMPRODUCT(Q42:Q44,M69:M71)</f>
        <v>80332.973700000002</v>
      </c>
      <c r="R171" s="122">
        <f>SUMPRODUCT(Q33:Q37,E60:E64)+SUMPRODUCT(Q42:Q44,E69:E71)</f>
        <v>83700.136499999993</v>
      </c>
      <c r="T171" s="122">
        <f>Q73</f>
        <v>68823.069100000008</v>
      </c>
      <c r="U171" s="122">
        <f>T171-($Q$172*$Q171/($Q$170+$Q$171))</f>
        <v>65449.096551958915</v>
      </c>
      <c r="W171" s="122">
        <f>+T171-Q171</f>
        <v>-11509.904599999994</v>
      </c>
      <c r="X171" s="122">
        <f>-Q171+U171</f>
        <v>-14883.877148041087</v>
      </c>
      <c r="Z171" s="23">
        <f>+E157*Q171/1000</f>
        <v>3627.1502123531768</v>
      </c>
      <c r="AA171" s="22"/>
      <c r="AC171" s="148"/>
      <c r="AU171" s="23"/>
      <c r="AV171" s="23"/>
      <c r="AW171" s="23"/>
      <c r="AX171" s="23"/>
      <c r="AY171" s="23"/>
    </row>
    <row r="172" spans="1:51" ht="15.25" x14ac:dyDescent="1.05">
      <c r="A172" s="8"/>
      <c r="D172" s="170" t="s">
        <v>147</v>
      </c>
      <c r="E172">
        <v>243</v>
      </c>
      <c r="G172" s="170" t="s">
        <v>148</v>
      </c>
      <c r="H172">
        <v>8</v>
      </c>
      <c r="I172" s="169"/>
      <c r="J172" s="169"/>
      <c r="K172" s="169"/>
      <c r="L172" s="169"/>
      <c r="M172" s="169"/>
      <c r="P172" t="s">
        <v>141</v>
      </c>
      <c r="Q172" s="122">
        <f>SUM(W60:W64,W69:W71)/1000</f>
        <v>5274.0046993009</v>
      </c>
      <c r="T172">
        <v>0</v>
      </c>
      <c r="U172" s="122">
        <v>0</v>
      </c>
      <c r="W172" s="122">
        <f>+T172-Q172</f>
        <v>-5274.0046993009</v>
      </c>
      <c r="X172" s="122"/>
      <c r="Z172" s="22">
        <f>+E155*Q172/1000</f>
        <v>257.3584457462411</v>
      </c>
      <c r="AU172" s="23"/>
      <c r="AV172" s="23"/>
      <c r="AW172" s="23"/>
      <c r="AX172" s="23"/>
      <c r="AY172" s="23"/>
    </row>
    <row r="173" spans="1:51" x14ac:dyDescent="0.6">
      <c r="A173" s="8"/>
      <c r="G173" s="126" t="s">
        <v>149</v>
      </c>
      <c r="H173">
        <f>+H171+H172</f>
        <v>12</v>
      </c>
      <c r="I173" s="169"/>
      <c r="J173" s="169"/>
      <c r="K173" s="169"/>
      <c r="L173" s="169"/>
      <c r="M173" s="169"/>
      <c r="Q173" s="11"/>
      <c r="R173" s="11"/>
      <c r="S173" s="11"/>
      <c r="T173" s="11"/>
      <c r="U173" s="11"/>
      <c r="V173" s="11"/>
      <c r="W173" s="11"/>
      <c r="X173" s="11"/>
      <c r="Z173" s="23">
        <f>SUM(Z170:Z172)</f>
        <v>6384.8970373649126</v>
      </c>
      <c r="AA173" s="23"/>
      <c r="AC173" s="148">
        <f>+E134</f>
        <v>6384.9626824519864</v>
      </c>
      <c r="AU173" s="148"/>
      <c r="AV173" s="148"/>
      <c r="AW173" s="148"/>
      <c r="AX173" s="148"/>
      <c r="AY173" s="148"/>
    </row>
    <row r="174" spans="1:51" ht="15.25" x14ac:dyDescent="1.05">
      <c r="A174" s="8"/>
      <c r="B174" t="s">
        <v>150</v>
      </c>
      <c r="C174" s="23"/>
      <c r="D174" s="171"/>
      <c r="K174" s="172"/>
      <c r="M174" s="169"/>
      <c r="Q174" s="122"/>
      <c r="R174" s="122"/>
      <c r="T174" s="122"/>
      <c r="U174" s="122"/>
      <c r="W174" s="122"/>
      <c r="X174" s="122"/>
      <c r="Z174" s="22"/>
      <c r="AA174" s="22"/>
      <c r="AX174" s="148"/>
    </row>
    <row r="175" spans="1:51" x14ac:dyDescent="0.6">
      <c r="A175" s="8"/>
      <c r="C175" s="23"/>
      <c r="D175" s="66"/>
      <c r="E175" s="171"/>
      <c r="G175" s="126"/>
      <c r="H175" s="23"/>
      <c r="K175" s="172"/>
      <c r="M175" s="169"/>
      <c r="Q175" s="122"/>
      <c r="R175" s="122"/>
      <c r="T175" s="122"/>
      <c r="U175" s="122"/>
      <c r="W175" s="122"/>
      <c r="X175" s="122"/>
      <c r="Z175" s="23"/>
      <c r="AA175" s="23"/>
      <c r="AC175" s="148">
        <f>SUM(AC168:AC173)</f>
        <v>9668.0914055152552</v>
      </c>
    </row>
    <row r="176" spans="1:51" x14ac:dyDescent="0.6">
      <c r="A176" s="8"/>
      <c r="D176" s="20" t="s">
        <v>83</v>
      </c>
      <c r="E176" s="20" t="s">
        <v>84</v>
      </c>
      <c r="Q176" s="122"/>
      <c r="R176" s="122"/>
      <c r="T176" s="122"/>
      <c r="U176" s="122"/>
      <c r="W176" s="122"/>
      <c r="X176" s="122"/>
      <c r="Z176" s="23"/>
      <c r="AA176" s="23"/>
      <c r="AC176" s="148"/>
    </row>
    <row r="177" spans="1:50" x14ac:dyDescent="0.6">
      <c r="A177" s="8"/>
      <c r="B177" t="s">
        <v>151</v>
      </c>
      <c r="C177" t="s">
        <v>91</v>
      </c>
      <c r="D177" s="49">
        <v>97.93</v>
      </c>
      <c r="E177" s="141">
        <f>ROUND(D177*$H$307,3)</f>
        <v>104.7</v>
      </c>
      <c r="F177" s="171" t="s">
        <v>152</v>
      </c>
      <c r="G177" s="126" t="s">
        <v>153</v>
      </c>
      <c r="H177" s="148">
        <f>ROUND(E177*E171*J$166,0)</f>
        <v>60320616</v>
      </c>
      <c r="I177" s="126"/>
      <c r="J177" s="126"/>
      <c r="K177" s="49"/>
      <c r="Q177" s="122"/>
      <c r="R177" s="122"/>
      <c r="T177" s="122"/>
      <c r="U177" s="122"/>
      <c r="W177" s="122"/>
      <c r="X177" s="122"/>
      <c r="Z177" s="23"/>
      <c r="AA177" s="23"/>
      <c r="AC177" s="148"/>
    </row>
    <row r="178" spans="1:50" ht="15.25" x14ac:dyDescent="1.05">
      <c r="A178" s="8"/>
      <c r="C178" t="s">
        <v>88</v>
      </c>
      <c r="D178" s="49">
        <v>97.93</v>
      </c>
      <c r="E178" s="141">
        <f>ROUND(D178*$H$307,3)</f>
        <v>104.7</v>
      </c>
      <c r="F178" s="171" t="s">
        <v>152</v>
      </c>
      <c r="G178" s="24" t="s">
        <v>154</v>
      </c>
      <c r="H178" s="25">
        <f>ROUND(E178*E172*J$166,0)</f>
        <v>120146801</v>
      </c>
      <c r="I178" s="126"/>
      <c r="J178" s="126"/>
      <c r="K178" s="49"/>
      <c r="Q178" s="122"/>
      <c r="R178" s="122"/>
      <c r="T178" s="122"/>
      <c r="U178" s="122"/>
      <c r="W178" s="122"/>
      <c r="X178" s="122"/>
      <c r="Z178" s="23"/>
      <c r="AA178" s="23"/>
      <c r="AC178" s="148"/>
    </row>
    <row r="179" spans="1:50" ht="15.25" x14ac:dyDescent="1.05">
      <c r="A179" s="8"/>
      <c r="B179" s="199"/>
      <c r="C179" s="199"/>
      <c r="D179" s="199"/>
      <c r="E179" s="199"/>
      <c r="F179" s="199"/>
      <c r="G179" s="126" t="s">
        <v>155</v>
      </c>
      <c r="H179" s="148">
        <f>SUM(H177:H178)</f>
        <v>180467417</v>
      </c>
      <c r="I179" s="126"/>
      <c r="J179" s="26"/>
      <c r="K179" s="49"/>
      <c r="Q179" s="122"/>
      <c r="R179" s="122"/>
      <c r="T179" s="122"/>
      <c r="U179" s="122"/>
      <c r="W179" s="122"/>
      <c r="X179" s="122"/>
      <c r="Z179" s="22"/>
      <c r="AA179" s="22"/>
      <c r="AC179" s="148"/>
    </row>
    <row r="180" spans="1:50" ht="4" customHeight="1" x14ac:dyDescent="0.6">
      <c r="A180" s="8"/>
      <c r="B180" s="199"/>
      <c r="C180" s="199"/>
      <c r="D180" s="199"/>
      <c r="E180" s="199"/>
      <c r="F180" s="199"/>
      <c r="G180" s="126"/>
      <c r="H180" s="148"/>
      <c r="I180" s="126"/>
      <c r="J180" s="126"/>
      <c r="K180" s="49"/>
      <c r="Z180" s="23"/>
      <c r="AA180" s="23"/>
      <c r="AC180" s="148"/>
    </row>
    <row r="181" spans="1:50" x14ac:dyDescent="0.6">
      <c r="A181" s="8"/>
      <c r="B181" t="s">
        <v>156</v>
      </c>
      <c r="I181" s="126"/>
      <c r="J181" s="126"/>
      <c r="K181" s="49"/>
    </row>
    <row r="182" spans="1:50" x14ac:dyDescent="0.6">
      <c r="A182" s="8"/>
      <c r="B182" s="5" t="s">
        <v>157</v>
      </c>
      <c r="I182" s="126"/>
      <c r="J182" s="126"/>
      <c r="K182" s="49"/>
    </row>
    <row r="183" spans="1:50" x14ac:dyDescent="0.6">
      <c r="A183" s="8"/>
      <c r="B183" s="5"/>
      <c r="C183" s="27" t="str">
        <f>" ---------- Rate "&amp;C30&amp;" ----------"</f>
        <v xml:space="preserve"> ---------- Rate  ----------</v>
      </c>
      <c r="D183" s="173"/>
      <c r="E183" s="173"/>
      <c r="I183" s="126"/>
      <c r="J183" s="126"/>
      <c r="K183" s="49"/>
    </row>
    <row r="184" spans="1:50" x14ac:dyDescent="0.6">
      <c r="A184" s="8"/>
      <c r="C184" s="20" t="s">
        <v>158</v>
      </c>
      <c r="E184" s="20" t="s">
        <v>159</v>
      </c>
      <c r="I184" s="126"/>
      <c r="J184" s="126"/>
      <c r="K184" s="49"/>
    </row>
    <row r="185" spans="1:50" x14ac:dyDescent="0.6">
      <c r="A185" s="8"/>
      <c r="B185" s="126" t="s">
        <v>160</v>
      </c>
      <c r="C185" s="174"/>
      <c r="E185" s="160">
        <f>SUM(R65/(R65+R66))</f>
        <v>0.52871114202853675</v>
      </c>
      <c r="F185" s="4"/>
      <c r="I185" s="126"/>
      <c r="J185" s="126"/>
      <c r="K185" s="49"/>
    </row>
    <row r="186" spans="1:50" x14ac:dyDescent="0.6">
      <c r="A186" s="8"/>
      <c r="B186" s="126" t="s">
        <v>161</v>
      </c>
      <c r="C186" s="19"/>
      <c r="E186" s="160">
        <f>1-E185</f>
        <v>0.47128885797146325</v>
      </c>
      <c r="G186" s="122"/>
      <c r="I186" s="126"/>
      <c r="J186" s="126"/>
      <c r="K186" s="49"/>
    </row>
    <row r="187" spans="1:50" x14ac:dyDescent="0.6">
      <c r="A187" s="8"/>
      <c r="B187" s="126" t="s">
        <v>162</v>
      </c>
      <c r="C187" s="174">
        <v>0.86519999999999997</v>
      </c>
      <c r="D187" t="s">
        <v>163</v>
      </c>
      <c r="J187" s="126"/>
      <c r="K187" s="49"/>
      <c r="AX187" s="160"/>
    </row>
    <row r="188" spans="1:50" ht="7.5" customHeight="1" x14ac:dyDescent="0.6">
      <c r="A188"/>
      <c r="J188" s="126"/>
      <c r="K188" s="49"/>
    </row>
    <row r="189" spans="1:50" x14ac:dyDescent="0.6">
      <c r="A189" s="6" t="s">
        <v>164</v>
      </c>
      <c r="B189" s="4" t="s">
        <v>165</v>
      </c>
      <c r="D189" s="20" t="s">
        <v>83</v>
      </c>
      <c r="E189" s="20" t="s">
        <v>84</v>
      </c>
    </row>
    <row r="190" spans="1:50" x14ac:dyDescent="0.6">
      <c r="A190" s="8"/>
      <c r="B190" s="5" t="s">
        <v>166</v>
      </c>
      <c r="D190" s="200">
        <v>2</v>
      </c>
    </row>
    <row r="191" spans="1:50" x14ac:dyDescent="0.6">
      <c r="A191" s="8"/>
      <c r="B191" s="5" t="s">
        <v>167</v>
      </c>
      <c r="D191" s="201">
        <v>16.09</v>
      </c>
      <c r="F191" s="171"/>
    </row>
    <row r="192" spans="1:50" x14ac:dyDescent="0.6">
      <c r="A192" s="8"/>
      <c r="B192" s="5" t="s">
        <v>168</v>
      </c>
      <c r="D192" s="202">
        <f>D190+D191</f>
        <v>18.09</v>
      </c>
      <c r="E192" s="141">
        <f>ROUND(D192*$H$307,3)</f>
        <v>19.34</v>
      </c>
      <c r="F192" t="s">
        <v>169</v>
      </c>
    </row>
    <row r="193" spans="1:13" ht="7" customHeight="1" x14ac:dyDescent="0.6">
      <c r="A193" s="8"/>
      <c r="B193" s="5"/>
      <c r="E193" s="23"/>
      <c r="F193" s="171"/>
    </row>
    <row r="194" spans="1:13" x14ac:dyDescent="0.6">
      <c r="A194" s="6" t="s">
        <v>170</v>
      </c>
      <c r="B194" s="4" t="s">
        <v>171</v>
      </c>
    </row>
    <row r="195" spans="1:13" ht="3" customHeight="1" x14ac:dyDescent="0.6">
      <c r="A195" s="6"/>
      <c r="B195" s="4"/>
    </row>
    <row r="196" spans="1:13" x14ac:dyDescent="0.6">
      <c r="A196" s="6"/>
      <c r="B196" s="4"/>
      <c r="C196" s="11"/>
      <c r="D196" s="11"/>
      <c r="E196" s="11" t="str">
        <f>+E$13</f>
        <v>RT{1}</v>
      </c>
      <c r="F196" s="11" t="str">
        <f>+F$13</f>
        <v>RS{2}</v>
      </c>
      <c r="G196" s="11" t="str">
        <f>+G$13</f>
        <v>GS{3}</v>
      </c>
      <c r="H196" s="28" t="str">
        <f>+H$58</f>
        <v>GST {4}</v>
      </c>
      <c r="I196" s="11" t="str">
        <f>+I$13</f>
        <v>OL/SL</v>
      </c>
      <c r="J196" s="11"/>
    </row>
    <row r="197" spans="1:13" ht="6.5" customHeight="1" x14ac:dyDescent="0.6">
      <c r="A197" s="6"/>
      <c r="B197" s="4"/>
    </row>
    <row r="198" spans="1:13" x14ac:dyDescent="0.6">
      <c r="A198" s="8"/>
      <c r="B198" s="126" t="s">
        <v>172</v>
      </c>
      <c r="C198" s="66"/>
      <c r="D198" s="66"/>
      <c r="E198" s="162">
        <v>0</v>
      </c>
      <c r="F198" s="162">
        <v>0</v>
      </c>
      <c r="G198" s="162">
        <v>0</v>
      </c>
      <c r="H198" s="162">
        <v>0</v>
      </c>
      <c r="I198" s="162">
        <v>0</v>
      </c>
      <c r="J198" s="66"/>
      <c r="K198" s="66" t="s">
        <v>3</v>
      </c>
      <c r="L198" s="66"/>
    </row>
    <row r="199" spans="1:13" x14ac:dyDescent="0.6">
      <c r="A199" s="8"/>
      <c r="B199" s="126"/>
      <c r="C199" s="66"/>
      <c r="D199" s="66"/>
      <c r="E199" s="66"/>
      <c r="F199" s="66"/>
      <c r="G199" s="66"/>
      <c r="H199" s="66"/>
      <c r="I199" s="66"/>
      <c r="J199" s="66"/>
      <c r="K199" s="66"/>
      <c r="L199" s="66"/>
    </row>
    <row r="200" spans="1:13" x14ac:dyDescent="0.6">
      <c r="A200" s="8"/>
      <c r="B200" s="126" t="s">
        <v>173</v>
      </c>
      <c r="C200" s="66"/>
      <c r="D200" s="66"/>
      <c r="E200" s="162">
        <f>$H$179*(E$166/$J$166)/E$72</f>
        <v>9.4746553522328174</v>
      </c>
      <c r="F200" s="162">
        <f>$H$179*(F$166/$J$166)/F$72</f>
        <v>13.514710380107042</v>
      </c>
      <c r="G200" s="162">
        <f>$H$179*(G$166/$J$166)/G$72</f>
        <v>9.0027647749131834</v>
      </c>
      <c r="H200" s="162">
        <f>$H$179*(H$166/$J$166)/H$72</f>
        <v>6.0407393120773412</v>
      </c>
      <c r="I200" s="162">
        <f>$H$179*(I$166/$J$166)/I$72</f>
        <v>1.6344604322958058E-2</v>
      </c>
      <c r="J200" s="66"/>
      <c r="K200" s="66"/>
      <c r="L200" s="66"/>
      <c r="M200" s="163">
        <f>E198*SUM(E255:H255)/1000000</f>
        <v>0</v>
      </c>
    </row>
    <row r="201" spans="1:13" x14ac:dyDescent="0.6">
      <c r="A201" s="8"/>
      <c r="B201" s="126" t="s">
        <v>174</v>
      </c>
      <c r="C201" s="66"/>
      <c r="D201" s="66"/>
      <c r="E201" s="162">
        <f>$H$177*(E$166/$J$166)/SUM(E65:E68)</f>
        <v>9.5965329272896156</v>
      </c>
      <c r="F201" s="162">
        <f>$H$177*(F$166/$J$166)/SUM(F65:F68)</f>
        <v>10.860146851681884</v>
      </c>
      <c r="G201" s="162">
        <f>$H$177*(G$166/$J$166)/SUM(G65:G68)</f>
        <v>8.213170517616815</v>
      </c>
      <c r="H201" s="162"/>
      <c r="I201" s="162">
        <f>$H$177*(I$166/$J$166)/SUM(I65:I68)</f>
        <v>1.638910399717685E-2</v>
      </c>
      <c r="J201" s="66"/>
      <c r="K201" s="66"/>
      <c r="L201" s="66"/>
      <c r="M201" s="163" t="e">
        <f>J278-#REF!</f>
        <v>#REF!</v>
      </c>
    </row>
    <row r="202" spans="1:13" x14ac:dyDescent="0.6">
      <c r="A202" s="8"/>
      <c r="B202" s="126" t="s">
        <v>175</v>
      </c>
      <c r="C202" s="66"/>
      <c r="D202" s="66"/>
      <c r="E202" s="162">
        <f>$H$177*(E$166/$J$166)/R165</f>
        <v>22.980452275126488</v>
      </c>
      <c r="F202" s="162"/>
      <c r="G202" s="162"/>
      <c r="H202" s="162">
        <f>$H$177*(H$166/$J$166)/Q153</f>
        <v>13.513611392792047</v>
      </c>
      <c r="I202" s="162"/>
      <c r="J202" s="66"/>
      <c r="K202" s="66"/>
      <c r="L202" s="66"/>
      <c r="M202" s="66"/>
    </row>
    <row r="203" spans="1:13" x14ac:dyDescent="0.6">
      <c r="A203" s="8"/>
      <c r="B203" s="126" t="s">
        <v>176</v>
      </c>
      <c r="C203" s="66"/>
      <c r="D203" s="66"/>
      <c r="E203" s="162">
        <f>$H$178*(E$166/$J$166)/(E72-SUM(E65:E68))</f>
        <v>9.4146256678734517</v>
      </c>
      <c r="F203" s="162">
        <f>$H$178*(F$166/$J$166)/(F72-SUM(F65:F68))</f>
        <v>15.405219973395903</v>
      </c>
      <c r="G203" s="162">
        <f>$H$178*(G$166/$J$166)/(G72-SUM(G65:G68))</f>
        <v>9.4593346884090206</v>
      </c>
      <c r="H203" s="162"/>
      <c r="I203" s="162">
        <f>$H$178*(I$166/$J$166)/(I72-SUM(I65:I68))</f>
        <v>1.6322353915573982E-2</v>
      </c>
      <c r="J203" s="66"/>
      <c r="K203" s="66"/>
      <c r="L203" s="66"/>
      <c r="M203" s="66"/>
    </row>
    <row r="204" spans="1:13" x14ac:dyDescent="0.6">
      <c r="A204" s="8"/>
      <c r="B204" s="126" t="s">
        <v>177</v>
      </c>
      <c r="C204" s="66"/>
      <c r="D204" s="66"/>
      <c r="E204" s="162">
        <f>$H$178*(E$166/$J$166)/R170</f>
        <v>26.128826978395882</v>
      </c>
      <c r="F204" s="179"/>
      <c r="G204" s="179"/>
      <c r="H204" s="162">
        <f>$H$178*(H$166/$J$166)/Q157</f>
        <v>14.098471864911497</v>
      </c>
      <c r="I204" s="162"/>
      <c r="J204" s="66"/>
      <c r="K204" s="66"/>
      <c r="L204" s="66"/>
      <c r="M204" s="66"/>
    </row>
    <row r="205" spans="1:13" x14ac:dyDescent="0.6">
      <c r="A205" s="8"/>
      <c r="B205" s="126"/>
      <c r="C205" s="66"/>
      <c r="D205" s="66"/>
      <c r="E205" s="162"/>
      <c r="F205" s="162"/>
      <c r="G205" s="162"/>
      <c r="H205" s="162"/>
      <c r="I205" s="162"/>
      <c r="J205" s="66"/>
      <c r="K205" s="66"/>
      <c r="L205" s="66"/>
      <c r="M205" s="66"/>
    </row>
    <row r="206" spans="1:13" ht="15.5" x14ac:dyDescent="0.7">
      <c r="A206" s="8"/>
      <c r="B206" s="340" t="str">
        <f>$B$1</f>
        <v xml:space="preserve">Jersey Central Power &amp; Light </v>
      </c>
      <c r="C206" s="340"/>
      <c r="D206" s="340"/>
      <c r="E206" s="340"/>
      <c r="F206" s="340"/>
      <c r="G206" s="340"/>
      <c r="H206" s="340"/>
      <c r="I206" s="340"/>
      <c r="J206" s="340"/>
      <c r="K206" s="340"/>
      <c r="L206" s="340"/>
      <c r="M206" s="66"/>
    </row>
    <row r="207" spans="1:13" ht="15.5" x14ac:dyDescent="0.7">
      <c r="A207" s="8"/>
      <c r="B207" s="340" t="str">
        <f>$B$2</f>
        <v>Attachment 2</v>
      </c>
      <c r="C207" s="340"/>
      <c r="D207" s="340"/>
      <c r="E207" s="340"/>
      <c r="F207" s="340"/>
      <c r="G207" s="340"/>
      <c r="H207" s="340"/>
      <c r="I207" s="340"/>
      <c r="J207" s="340"/>
      <c r="K207" s="340"/>
      <c r="L207" s="340"/>
      <c r="M207" s="66"/>
    </row>
    <row r="208" spans="1:13" x14ac:dyDescent="0.6">
      <c r="A208" s="8"/>
      <c r="E208" s="66"/>
      <c r="F208" s="66"/>
      <c r="G208" s="66"/>
      <c r="H208" s="66"/>
      <c r="K208" s="66"/>
      <c r="L208" s="66"/>
      <c r="M208" s="66"/>
    </row>
    <row r="209" spans="1:18" x14ac:dyDescent="0.6">
      <c r="A209" s="8"/>
      <c r="M209" s="66"/>
      <c r="N209" s="66"/>
      <c r="O209" s="66"/>
      <c r="P209" s="66"/>
      <c r="Q209" s="66"/>
      <c r="R209" s="66"/>
    </row>
    <row r="210" spans="1:18" x14ac:dyDescent="0.6">
      <c r="A210" s="6" t="s">
        <v>178</v>
      </c>
      <c r="B210" s="4" t="s">
        <v>179</v>
      </c>
      <c r="M210" s="66"/>
      <c r="N210" s="66"/>
      <c r="O210" s="66"/>
      <c r="P210" s="66"/>
      <c r="Q210" s="66"/>
      <c r="R210" s="66"/>
    </row>
    <row r="211" spans="1:18" x14ac:dyDescent="0.6">
      <c r="A211" s="8"/>
      <c r="B211" s="4"/>
      <c r="M211" s="66"/>
      <c r="N211" s="66"/>
      <c r="O211" s="66"/>
      <c r="P211" s="66"/>
      <c r="Q211" s="66"/>
      <c r="R211" s="66"/>
    </row>
    <row r="212" spans="1:18" x14ac:dyDescent="0.6">
      <c r="A212" s="8"/>
      <c r="B212" s="4" t="s">
        <v>180</v>
      </c>
      <c r="M212" s="66"/>
      <c r="N212" s="66"/>
      <c r="O212" s="66"/>
      <c r="P212" s="66"/>
      <c r="Q212" s="66"/>
      <c r="R212" s="66"/>
    </row>
    <row r="213" spans="1:18" x14ac:dyDescent="0.6">
      <c r="A213" s="8"/>
      <c r="B213" s="5" t="s">
        <v>181</v>
      </c>
      <c r="M213" s="66"/>
      <c r="N213" s="66"/>
      <c r="O213" s="66"/>
      <c r="P213" s="66"/>
      <c r="Q213" s="66"/>
      <c r="R213" s="66"/>
    </row>
    <row r="214" spans="1:18" x14ac:dyDescent="0.6">
      <c r="A214" s="8"/>
      <c r="B214" s="5" t="s">
        <v>81</v>
      </c>
      <c r="M214" s="66"/>
      <c r="N214" s="66"/>
      <c r="O214" s="66"/>
      <c r="P214" s="66"/>
      <c r="Q214" s="66"/>
      <c r="R214" s="66"/>
    </row>
    <row r="215" spans="1:18" x14ac:dyDescent="0.6">
      <c r="A215" s="8"/>
      <c r="C215" s="11"/>
      <c r="D215" s="11"/>
      <c r="E215" s="11" t="str">
        <f>+E$13</f>
        <v>RT{1}</v>
      </c>
      <c r="F215" s="11" t="str">
        <f>+F$13</f>
        <v>RS{2}</v>
      </c>
      <c r="G215" s="11" t="str">
        <f>+G$13</f>
        <v>GS{3}</v>
      </c>
      <c r="H215" s="28" t="str">
        <f>+H$58</f>
        <v>GST {4}</v>
      </c>
      <c r="I215" s="11" t="str">
        <f>+I$13</f>
        <v>OL/SL</v>
      </c>
      <c r="J215" s="11"/>
      <c r="M215" s="66"/>
      <c r="N215" s="66"/>
      <c r="O215" s="66"/>
      <c r="P215" s="66"/>
      <c r="Q215" s="66"/>
      <c r="R215" s="66"/>
    </row>
    <row r="216" spans="1:18" x14ac:dyDescent="0.6">
      <c r="A216" s="8"/>
      <c r="C216" s="11"/>
      <c r="D216" s="11"/>
      <c r="E216" s="66"/>
      <c r="F216" s="11"/>
      <c r="G216" s="11"/>
      <c r="M216" s="66"/>
      <c r="N216" s="66"/>
      <c r="O216" s="66"/>
      <c r="P216" s="66"/>
      <c r="Q216" s="66"/>
      <c r="R216" s="66"/>
    </row>
    <row r="217" spans="1:18" x14ac:dyDescent="0.6">
      <c r="A217" s="8"/>
      <c r="B217" s="99" t="s">
        <v>108</v>
      </c>
      <c r="C217" s="66"/>
      <c r="D217" s="66"/>
      <c r="E217" s="66">
        <f>+E151+(E$95*$E$192)+E$198+E201</f>
        <v>82.161718726507615</v>
      </c>
      <c r="F217" s="66">
        <f>+F151+(F$95*$E$192)+F$198+F201</f>
        <v>83.570724300755813</v>
      </c>
      <c r="G217" s="66">
        <f>+G151+(G$95*$E$192)+G$198+G201</f>
        <v>81.926626588178721</v>
      </c>
      <c r="H217" s="66"/>
      <c r="I217" s="66">
        <f>+I151+(I$95*$E$192)+I$198+I201</f>
        <v>68.08637862852197</v>
      </c>
      <c r="J217" s="66"/>
      <c r="K217" s="66"/>
      <c r="M217" s="66"/>
      <c r="N217" s="66"/>
      <c r="O217" s="66"/>
      <c r="P217" s="66"/>
      <c r="Q217" s="66"/>
      <c r="R217" s="66"/>
    </row>
    <row r="218" spans="1:18" x14ac:dyDescent="0.6">
      <c r="A218" s="8"/>
      <c r="B218" s="164" t="s">
        <v>128</v>
      </c>
      <c r="C218" s="66"/>
      <c r="D218" s="66"/>
      <c r="E218" s="66">
        <f>+E152+(E$95*$E$192)+E$198+E$202</f>
        <v>107.55430317861703</v>
      </c>
      <c r="F218" s="66"/>
      <c r="G218" s="66"/>
      <c r="H218" s="66">
        <f>+H152+(H$95*$E$192)+H$198+H$202</f>
        <v>97.890205577990955</v>
      </c>
      <c r="I218" s="66"/>
      <c r="J218" s="66"/>
      <c r="M218" s="66"/>
      <c r="N218" s="66"/>
      <c r="O218" s="66"/>
      <c r="P218" s="66"/>
      <c r="Q218" s="66"/>
      <c r="R218" s="66"/>
    </row>
    <row r="219" spans="1:18" x14ac:dyDescent="0.6">
      <c r="A219" s="8"/>
      <c r="B219" s="164" t="s">
        <v>129</v>
      </c>
      <c r="C219" s="66"/>
      <c r="D219" s="66"/>
      <c r="E219" s="66">
        <f>+E153+(E$95*$E$192)+E$198</f>
        <v>63.953479628807159</v>
      </c>
      <c r="F219" s="66"/>
      <c r="G219" s="66"/>
      <c r="H219" s="66">
        <f>+H153+(H$95*$E$192)+H$198</f>
        <v>64.144586450232666</v>
      </c>
      <c r="I219" s="66"/>
      <c r="J219" s="66"/>
      <c r="M219" s="66"/>
      <c r="N219" s="66"/>
      <c r="O219" s="66"/>
      <c r="P219" s="66"/>
      <c r="Q219" s="66"/>
      <c r="R219" s="66"/>
    </row>
    <row r="220" spans="1:18" x14ac:dyDescent="0.6">
      <c r="A220" s="8"/>
      <c r="B220" s="126" t="s">
        <v>160</v>
      </c>
      <c r="C220" s="66"/>
      <c r="D220" s="66"/>
      <c r="E220" s="66"/>
      <c r="F220" s="66">
        <f>(F217*SUM(F65:F68)-C187*10*E186*SUM(F65:F68))/SUM(F65:F68)</f>
        <v>79.493133101586722</v>
      </c>
      <c r="G220" s="66"/>
      <c r="H220" s="66"/>
      <c r="I220" s="66"/>
      <c r="J220" s="66"/>
      <c r="M220" s="66"/>
      <c r="N220" s="66"/>
      <c r="O220" s="66"/>
      <c r="P220" s="66"/>
      <c r="Q220" s="66"/>
      <c r="R220" s="66"/>
    </row>
    <row r="221" spans="1:18" x14ac:dyDescent="0.6">
      <c r="A221" s="8"/>
      <c r="B221" s="126" t="s">
        <v>161</v>
      </c>
      <c r="C221" s="66"/>
      <c r="D221" s="66"/>
      <c r="E221" s="66"/>
      <c r="F221" s="66">
        <f>+F220+C187*10</f>
        <v>88.145133101586723</v>
      </c>
      <c r="G221" s="180"/>
      <c r="H221" s="66"/>
      <c r="I221" s="66"/>
      <c r="J221" s="66"/>
      <c r="M221" s="66"/>
      <c r="N221" s="66"/>
      <c r="O221" s="66"/>
      <c r="P221" s="66"/>
      <c r="Q221" s="66"/>
      <c r="R221" s="66"/>
    </row>
    <row r="222" spans="1:18" x14ac:dyDescent="0.6">
      <c r="A222" s="8"/>
      <c r="C222" s="66"/>
      <c r="D222" s="66"/>
      <c r="E222" s="66"/>
      <c r="F222" s="66"/>
      <c r="G222" s="66"/>
      <c r="H222" s="66"/>
      <c r="I222" s="66"/>
      <c r="J222" s="66"/>
      <c r="M222" s="66"/>
      <c r="N222" s="66"/>
      <c r="O222" s="66"/>
      <c r="P222" s="66"/>
      <c r="Q222" s="66"/>
      <c r="R222" s="66"/>
    </row>
    <row r="223" spans="1:18" x14ac:dyDescent="0.6">
      <c r="A223" s="8"/>
      <c r="B223" s="99" t="s">
        <v>111</v>
      </c>
      <c r="C223" s="66"/>
      <c r="D223" s="66"/>
      <c r="E223" s="66">
        <f>+E155+(E$95*$E$192)+E$198+E203</f>
        <v>79.834268942008492</v>
      </c>
      <c r="F223" s="66">
        <f>+F155+(F$95*$E$192)+F$198+F203</f>
        <v>85.366870193864514</v>
      </c>
      <c r="G223" s="66">
        <f>+G155+(G$95*$E$192)+G$198+G203</f>
        <v>79.606782263767357</v>
      </c>
      <c r="H223" s="66"/>
      <c r="I223" s="66">
        <f>+I155+(I$95*$E$192)+I$198+I203</f>
        <v>67.238723004496109</v>
      </c>
      <c r="J223" s="66"/>
      <c r="K223" s="66"/>
      <c r="M223" s="66"/>
      <c r="N223" s="66"/>
      <c r="O223" s="66"/>
      <c r="P223" s="66"/>
      <c r="Q223" s="66"/>
      <c r="R223" s="66"/>
    </row>
    <row r="224" spans="1:18" x14ac:dyDescent="0.6">
      <c r="A224" s="8"/>
      <c r="B224" s="164" t="s">
        <v>128</v>
      </c>
      <c r="C224" s="66"/>
      <c r="D224" s="66"/>
      <c r="E224" s="66">
        <f>+E156+(E$95*$E$192)+E$198+E$204</f>
        <v>103.02153763505284</v>
      </c>
      <c r="F224" s="66"/>
      <c r="G224" s="66"/>
      <c r="H224" s="66">
        <f>+H156+(H$95*$E$192)+H$198+H$204</f>
        <v>90.200558558988917</v>
      </c>
      <c r="I224" s="66"/>
      <c r="J224" s="66"/>
      <c r="M224" s="66"/>
      <c r="N224" s="66"/>
      <c r="O224" s="66"/>
      <c r="P224" s="66"/>
      <c r="Q224" s="66"/>
      <c r="R224" s="66"/>
    </row>
    <row r="225" spans="1:18" x14ac:dyDescent="0.6">
      <c r="A225" s="8"/>
      <c r="B225" s="164" t="s">
        <v>129</v>
      </c>
      <c r="C225" s="66"/>
      <c r="D225" s="66"/>
      <c r="E225" s="66">
        <f>+E157+(E$95*$E$192)+E$198</f>
        <v>66.773554669786876</v>
      </c>
      <c r="F225" s="66"/>
      <c r="G225" s="66"/>
      <c r="H225" s="66">
        <f>+H157+(H$95*$E$192)+H$198</f>
        <v>65.803089975835704</v>
      </c>
      <c r="I225" s="66"/>
      <c r="J225" s="66"/>
      <c r="M225" s="66"/>
      <c r="N225" s="66"/>
      <c r="O225" s="66"/>
      <c r="P225" s="66"/>
      <c r="Q225" s="66"/>
      <c r="R225" s="66"/>
    </row>
    <row r="226" spans="1:18" x14ac:dyDescent="0.6">
      <c r="A226" s="8"/>
      <c r="C226" s="66"/>
      <c r="D226" s="66"/>
      <c r="E226" s="66"/>
      <c r="F226" s="66"/>
      <c r="G226" s="66"/>
      <c r="H226" s="66"/>
      <c r="I226" s="66"/>
      <c r="J226" s="66"/>
      <c r="M226" s="66"/>
      <c r="N226" s="66"/>
      <c r="O226" s="66"/>
      <c r="P226" s="66"/>
      <c r="Q226" s="66"/>
      <c r="R226" s="66"/>
    </row>
    <row r="227" spans="1:18" x14ac:dyDescent="0.6">
      <c r="A227" s="8"/>
      <c r="B227" t="s">
        <v>182</v>
      </c>
      <c r="C227" s="66"/>
      <c r="D227" s="66"/>
      <c r="E227" s="66">
        <f>+E159+(E$95*$E$192)+E$198+E200</f>
        <v>80.602331065390359</v>
      </c>
      <c r="F227" s="66">
        <f>+F159+(F$95*$E$192)+F$198+F200</f>
        <v>84.619768672957008</v>
      </c>
      <c r="G227" s="66">
        <f>+G159+(G$95*$E$192)+G$198+G200</f>
        <v>80.456727357154989</v>
      </c>
      <c r="H227" s="66">
        <f>((H218*SUMPRODUCT(H38:H41,H65:H68)+H219*SUMPRODUCT(T38:T41,H65:H68))+(H224*(SUMPRODUCT(H33:H37,H60:H64)+SUMPRODUCT(H42:H44,H69:H71))+H225*(SUMPRODUCT(T33:T37,H60:H64)+SUMPRODUCT(T42:T44,H69:H71))))/H72</f>
        <v>77.25401287368922</v>
      </c>
      <c r="I227" s="66">
        <f>+I159+(I$95*$E$192)+I$198+I200</f>
        <v>67.521279707096028</v>
      </c>
      <c r="J227" s="66"/>
      <c r="K227" s="66"/>
      <c r="M227" s="66"/>
      <c r="N227" s="66"/>
      <c r="O227" s="66"/>
      <c r="P227" s="66"/>
      <c r="Q227" s="66"/>
      <c r="R227" s="66"/>
    </row>
    <row r="228" spans="1:18" x14ac:dyDescent="0.6">
      <c r="A228" s="8"/>
      <c r="C228" s="66"/>
      <c r="D228" s="66"/>
      <c r="E228" s="66"/>
      <c r="F228" s="66"/>
      <c r="G228" s="66"/>
      <c r="H228" s="66"/>
      <c r="I228" s="66"/>
      <c r="J228" s="66"/>
      <c r="K228" s="66"/>
      <c r="M228" s="66"/>
      <c r="N228" s="66"/>
      <c r="O228" s="66"/>
      <c r="P228" s="66"/>
      <c r="Q228" s="66"/>
      <c r="R228" s="66"/>
    </row>
    <row r="229" spans="1:18" x14ac:dyDescent="0.6">
      <c r="A229" s="8"/>
      <c r="B229" s="4" t="s">
        <v>183</v>
      </c>
      <c r="M229" s="66"/>
      <c r="N229" s="66"/>
      <c r="O229" s="66"/>
      <c r="P229" s="66"/>
      <c r="Q229" s="66"/>
      <c r="R229" s="66"/>
    </row>
    <row r="230" spans="1:18" x14ac:dyDescent="0.6">
      <c r="A230" s="8"/>
      <c r="B230" s="5" t="s">
        <v>184</v>
      </c>
      <c r="M230" s="66"/>
      <c r="N230" s="66"/>
      <c r="O230" s="66"/>
      <c r="P230" s="66"/>
      <c r="Q230" s="66"/>
      <c r="R230" s="66"/>
    </row>
    <row r="231" spans="1:18" x14ac:dyDescent="0.6">
      <c r="A231" s="8"/>
      <c r="B231" s="5" t="s">
        <v>81</v>
      </c>
      <c r="M231" s="66"/>
      <c r="N231" s="66"/>
      <c r="O231" s="66"/>
      <c r="P231" s="66"/>
      <c r="Q231" s="66"/>
      <c r="R231" s="66"/>
    </row>
    <row r="232" spans="1:18" x14ac:dyDescent="0.6">
      <c r="A232" s="8"/>
      <c r="B232" s="164"/>
      <c r="C232" s="66"/>
      <c r="D232" s="66"/>
      <c r="I232" s="126"/>
      <c r="J232" s="66"/>
      <c r="K232" s="171"/>
      <c r="M232" s="66"/>
      <c r="N232" s="66"/>
      <c r="O232" s="66"/>
      <c r="P232" s="66"/>
      <c r="Q232" s="66"/>
      <c r="R232" s="66"/>
    </row>
    <row r="233" spans="1:18" x14ac:dyDescent="0.6">
      <c r="A233" s="8"/>
      <c r="C233" s="66"/>
      <c r="D233" s="66"/>
      <c r="M233" s="66"/>
      <c r="N233" s="66"/>
      <c r="O233" s="66"/>
      <c r="P233" s="66"/>
      <c r="Q233" s="66"/>
      <c r="R233" s="66"/>
    </row>
    <row r="234" spans="1:18" x14ac:dyDescent="0.6">
      <c r="A234" s="8"/>
      <c r="B234" s="14" t="s">
        <v>185</v>
      </c>
      <c r="C234" s="66"/>
      <c r="D234" s="66"/>
      <c r="I234" s="29"/>
      <c r="K234" s="171"/>
    </row>
    <row r="235" spans="1:18" x14ac:dyDescent="0.6">
      <c r="A235" s="8"/>
      <c r="B235" s="164"/>
      <c r="C235" s="66"/>
      <c r="D235" s="66"/>
      <c r="I235" s="126"/>
      <c r="J235" s="49"/>
      <c r="K235" s="171"/>
    </row>
    <row r="236" spans="1:18" ht="15.5" x14ac:dyDescent="0.7">
      <c r="A236" s="8"/>
      <c r="B236" s="340" t="str">
        <f>$B$1</f>
        <v xml:space="preserve">Jersey Central Power &amp; Light </v>
      </c>
      <c r="C236" s="340"/>
      <c r="D236" s="340"/>
      <c r="E236" s="340"/>
      <c r="F236" s="340"/>
      <c r="G236" s="340"/>
      <c r="H236" s="340"/>
      <c r="I236" s="340"/>
      <c r="J236" s="340"/>
      <c r="K236" s="340"/>
      <c r="L236" s="340"/>
    </row>
    <row r="237" spans="1:18" ht="15.5" x14ac:dyDescent="0.7">
      <c r="A237" s="8"/>
      <c r="B237" s="340" t="str">
        <f>$B$2</f>
        <v>Attachment 2</v>
      </c>
      <c r="C237" s="340"/>
      <c r="D237" s="340"/>
      <c r="E237" s="340"/>
      <c r="F237" s="340"/>
      <c r="G237" s="340"/>
      <c r="H237" s="340"/>
      <c r="I237" s="340"/>
      <c r="J237" s="340"/>
      <c r="K237" s="340"/>
      <c r="L237" s="340"/>
    </row>
    <row r="238" spans="1:18" ht="15.5" x14ac:dyDescent="0.7">
      <c r="A238" s="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8" ht="15.5" x14ac:dyDescent="0.7">
      <c r="A239" s="6" t="s">
        <v>186</v>
      </c>
      <c r="B239" s="4" t="s">
        <v>187</v>
      </c>
      <c r="C239" s="98"/>
      <c r="E239" s="30"/>
      <c r="F239" s="20"/>
      <c r="K239" s="1"/>
      <c r="L239" s="1"/>
    </row>
    <row r="240" spans="1:18" ht="15.5" x14ac:dyDescent="0.7">
      <c r="B240" t="s">
        <v>188</v>
      </c>
      <c r="K240" s="1"/>
      <c r="L240" s="1"/>
    </row>
    <row r="241" spans="1:12" ht="15.5" x14ac:dyDescent="0.7">
      <c r="E241" s="11" t="s">
        <v>13</v>
      </c>
      <c r="F241" s="11" t="s">
        <v>14</v>
      </c>
      <c r="G241" s="11" t="s">
        <v>15</v>
      </c>
      <c r="H241" s="11" t="s">
        <v>46</v>
      </c>
      <c r="I241" s="11" t="s">
        <v>17</v>
      </c>
      <c r="K241" s="1"/>
      <c r="L241" s="1"/>
    </row>
    <row r="242" spans="1:12" ht="15.5" x14ac:dyDescent="0.7">
      <c r="K242" s="1"/>
      <c r="L242" s="1"/>
    </row>
    <row r="243" spans="1:12" ht="15.5" x14ac:dyDescent="0.7">
      <c r="B243" s="99" t="s">
        <v>108</v>
      </c>
      <c r="E243" s="122">
        <f>'Composite Cost Allocation'!E110</f>
        <v>2152065.5431923</v>
      </c>
      <c r="G243" s="122">
        <f>'Composite Cost Allocation'!G110</f>
        <v>2026419000</v>
      </c>
      <c r="I243" s="122">
        <f>'Composite Cost Allocation'!I110</f>
        <v>39017000</v>
      </c>
      <c r="K243" s="1"/>
      <c r="L243" s="1"/>
    </row>
    <row r="244" spans="1:12" ht="15.5" x14ac:dyDescent="0.7">
      <c r="B244" s="164" t="s">
        <v>128</v>
      </c>
      <c r="E244" s="122">
        <f>'Composite Cost Allocation'!E111</f>
        <v>26015580</v>
      </c>
      <c r="H244" s="122">
        <f>'Composite Cost Allocation'!H111</f>
        <v>22890524.199999999</v>
      </c>
      <c r="K244" s="1"/>
      <c r="L244" s="1"/>
    </row>
    <row r="245" spans="1:12" ht="15.5" x14ac:dyDescent="0.7">
      <c r="B245" s="164" t="s">
        <v>129</v>
      </c>
      <c r="E245" s="122">
        <f>'Composite Cost Allocation'!E112</f>
        <v>36279354.456807703</v>
      </c>
      <c r="H245" s="122">
        <f>'Composite Cost Allocation'!H112</f>
        <v>27966475.800000001</v>
      </c>
      <c r="K245" s="1"/>
      <c r="L245" s="1"/>
    </row>
    <row r="246" spans="1:12" ht="15.5" x14ac:dyDescent="0.7">
      <c r="B246" s="126" t="s">
        <v>160</v>
      </c>
      <c r="F246" s="122">
        <f>'Composite Cost Allocation'!F113</f>
        <v>2081168000</v>
      </c>
      <c r="K246" s="1"/>
      <c r="L246" s="1"/>
    </row>
    <row r="247" spans="1:12" ht="15.5" x14ac:dyDescent="0.7">
      <c r="B247" s="126" t="s">
        <v>161</v>
      </c>
      <c r="F247" s="122">
        <f>'Composite Cost Allocation'!F114</f>
        <v>1855137000</v>
      </c>
      <c r="K247" s="1"/>
      <c r="L247" s="1"/>
    </row>
    <row r="248" spans="1:12" ht="15.5" x14ac:dyDescent="0.7">
      <c r="K248" s="1"/>
      <c r="L248" s="1"/>
    </row>
    <row r="249" spans="1:12" ht="15.5" x14ac:dyDescent="0.7">
      <c r="B249" s="99" t="s">
        <v>111</v>
      </c>
      <c r="E249" s="122">
        <f>'Composite Cost Allocation'!E116</f>
        <v>5274004.6993009001</v>
      </c>
      <c r="F249" s="122">
        <f>'Composite Cost Allocation'!F116</f>
        <v>5527172000</v>
      </c>
      <c r="G249" s="122">
        <f>'Composite Cost Allocation'!G116</f>
        <v>3504499000</v>
      </c>
      <c r="I249" s="122">
        <f>'Composite Cost Allocation'!I116</f>
        <v>78032000</v>
      </c>
      <c r="K249" s="1"/>
      <c r="L249" s="1"/>
    </row>
    <row r="250" spans="1:12" ht="15.5" x14ac:dyDescent="0.7">
      <c r="B250" s="164" t="s">
        <v>128</v>
      </c>
      <c r="E250" s="122">
        <f>'Composite Cost Allocation'!E117</f>
        <v>45240474.137929991</v>
      </c>
      <c r="H250" s="122">
        <f>'Composite Cost Allocation'!H117</f>
        <v>43702025.5</v>
      </c>
      <c r="K250" s="1"/>
      <c r="L250" s="1"/>
    </row>
    <row r="251" spans="1:12" ht="15.5" x14ac:dyDescent="0.7">
      <c r="B251" s="164" t="s">
        <v>129</v>
      </c>
      <c r="E251" s="122">
        <f>'Composite Cost Allocation'!E118</f>
        <v>80331521.162769109</v>
      </c>
      <c r="H251" s="122">
        <f>'Composite Cost Allocation'!H118</f>
        <v>58644974.5</v>
      </c>
      <c r="K251" s="1"/>
      <c r="L251" s="1"/>
    </row>
    <row r="252" spans="1:12" ht="15.5" x14ac:dyDescent="0.7">
      <c r="J252" s="11" t="s">
        <v>44</v>
      </c>
      <c r="K252" s="1"/>
      <c r="L252" s="1"/>
    </row>
    <row r="253" spans="1:12" ht="15.5" x14ac:dyDescent="0.7">
      <c r="B253" s="126" t="s">
        <v>153</v>
      </c>
      <c r="E253" s="122">
        <f>SUM(E243:E247)</f>
        <v>64447000</v>
      </c>
      <c r="F253" s="122">
        <f>SUM(F243:F247)</f>
        <v>3936305000</v>
      </c>
      <c r="G253" s="122">
        <f>SUM(G243:G247)</f>
        <v>2026419000</v>
      </c>
      <c r="H253" s="122">
        <f>SUM(H243:H247)</f>
        <v>50857000</v>
      </c>
      <c r="I253" s="122">
        <f>SUM(I243:I247)</f>
        <v>39017000</v>
      </c>
      <c r="J253" s="122">
        <f>SUM(E253:I253)</f>
        <v>6117045000</v>
      </c>
      <c r="K253" s="1"/>
      <c r="L253" s="1"/>
    </row>
    <row r="254" spans="1:12" ht="15.5" x14ac:dyDescent="0.7">
      <c r="B254" s="126" t="s">
        <v>154</v>
      </c>
      <c r="E254" s="31">
        <f>SUM(E249:E251)</f>
        <v>130846000</v>
      </c>
      <c r="F254" s="31">
        <f>SUM(F249:F251)</f>
        <v>5527172000</v>
      </c>
      <c r="G254" s="19">
        <f>SUM(G249:G251)</f>
        <v>3504499000</v>
      </c>
      <c r="H254" s="19">
        <f>SUM(H249:H251)</f>
        <v>102347000</v>
      </c>
      <c r="I254" s="19">
        <f>SUM(I249:I251)</f>
        <v>78032000</v>
      </c>
      <c r="J254" s="31">
        <f>SUM(E254:I254)</f>
        <v>9342896000</v>
      </c>
      <c r="K254" s="1"/>
      <c r="L254" s="1"/>
    </row>
    <row r="255" spans="1:12" ht="15.5" x14ac:dyDescent="0.7">
      <c r="B255" s="126" t="s">
        <v>155</v>
      </c>
      <c r="E255" s="122">
        <f>SUM(E253:E254)</f>
        <v>195293000</v>
      </c>
      <c r="F255" s="122">
        <f>SUM(F253:F254)</f>
        <v>9463477000</v>
      </c>
      <c r="G255" s="122">
        <f>SUM(G253:G254)</f>
        <v>5530918000</v>
      </c>
      <c r="H255" s="122">
        <f>SUM(H253:H254)</f>
        <v>153204000</v>
      </c>
      <c r="I255" s="122">
        <f>SUM(I253:I254)</f>
        <v>117049000</v>
      </c>
      <c r="J255" s="122">
        <f>SUM(E255:I255)</f>
        <v>15459941000</v>
      </c>
      <c r="K255" s="1"/>
      <c r="L255" s="1"/>
    </row>
    <row r="256" spans="1:12" ht="15.5" x14ac:dyDescent="0.7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5" ht="15.5" x14ac:dyDescent="0.7">
      <c r="A257" s="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61" spans="1:15" x14ac:dyDescent="0.6">
      <c r="A261" s="6" t="s">
        <v>189</v>
      </c>
      <c r="B261" s="4" t="s">
        <v>190</v>
      </c>
    </row>
    <row r="262" spans="1:15" x14ac:dyDescent="0.6">
      <c r="A262" s="8"/>
      <c r="B262" s="4"/>
    </row>
    <row r="263" spans="1:15" x14ac:dyDescent="0.6">
      <c r="A263" s="8"/>
      <c r="C263" s="11"/>
      <c r="D263" s="11"/>
      <c r="E263" s="11" t="str">
        <f>+E$13</f>
        <v>RT{1}</v>
      </c>
      <c r="F263" s="11" t="str">
        <f>+F$13</f>
        <v>RS{2}</v>
      </c>
      <c r="G263" s="11" t="str">
        <f>+G$13</f>
        <v>GS{3}</v>
      </c>
      <c r="H263" s="28" t="str">
        <f>+H$58</f>
        <v>GST {4}</v>
      </c>
      <c r="I263" s="11" t="str">
        <f>+I$13</f>
        <v>OL/SL</v>
      </c>
      <c r="J263" s="11" t="s">
        <v>44</v>
      </c>
      <c r="K263" s="11"/>
      <c r="L263" s="11"/>
    </row>
    <row r="264" spans="1:15" x14ac:dyDescent="0.6">
      <c r="A264" s="8"/>
      <c r="B264" t="s">
        <v>191</v>
      </c>
    </row>
    <row r="265" spans="1:15" x14ac:dyDescent="0.6">
      <c r="A265" s="8"/>
      <c r="B265" s="99" t="s">
        <v>108</v>
      </c>
      <c r="C265" s="181"/>
      <c r="D265" s="181"/>
      <c r="E265" s="181">
        <f>+E217*E243/1000000</f>
        <v>176.81740384077457</v>
      </c>
      <c r="F265" s="181"/>
      <c r="G265" s="181">
        <f>+G217*G243/1000000</f>
        <v>166017.67272419052</v>
      </c>
      <c r="H265" s="23"/>
      <c r="I265" s="181">
        <f>+I217*I243/1000000</f>
        <v>2656.5262349490417</v>
      </c>
      <c r="J265" s="181"/>
      <c r="K265" s="181"/>
      <c r="L265" s="181"/>
    </row>
    <row r="266" spans="1:15" x14ac:dyDescent="0.6">
      <c r="A266" s="8"/>
      <c r="B266" s="164" t="s">
        <v>128</v>
      </c>
      <c r="C266" s="181"/>
      <c r="D266" s="181"/>
      <c r="E266" s="181">
        <f>+E218*E244/1000000</f>
        <v>2798.0875786875658</v>
      </c>
      <c r="F266" s="181"/>
      <c r="G266" s="181"/>
      <c r="H266" s="181">
        <f>+H218*H244/1000000</f>
        <v>2240.7581197259769</v>
      </c>
      <c r="I266" s="181"/>
      <c r="J266" s="181"/>
      <c r="K266" s="181"/>
      <c r="L266" s="181"/>
    </row>
    <row r="267" spans="1:15" x14ac:dyDescent="0.6">
      <c r="A267" s="8"/>
      <c r="B267" s="164" t="s">
        <v>129</v>
      </c>
      <c r="C267" s="181"/>
      <c r="D267" s="181"/>
      <c r="E267" s="181">
        <f>+E219*E245/1000000</f>
        <v>2320.1909561997254</v>
      </c>
      <c r="F267" s="181"/>
      <c r="G267" s="181"/>
      <c r="H267" s="181">
        <f>+H219*H245/1000000</f>
        <v>1793.8980246614399</v>
      </c>
      <c r="I267" s="181"/>
      <c r="J267" s="181"/>
      <c r="K267" s="148"/>
      <c r="L267" s="148"/>
    </row>
    <row r="268" spans="1:15" x14ac:dyDescent="0.6">
      <c r="A268" s="8"/>
      <c r="B268" s="126" t="s">
        <v>160</v>
      </c>
      <c r="C268" s="181"/>
      <c r="D268" s="181"/>
      <c r="E268" s="181"/>
      <c r="F268" s="181">
        <f>+F220*F246/1000000</f>
        <v>165438.56483076303</v>
      </c>
      <c r="G268" s="181"/>
      <c r="H268" s="23"/>
      <c r="I268" s="181"/>
      <c r="J268" s="181"/>
      <c r="K268" s="181"/>
      <c r="L268" s="181"/>
    </row>
    <row r="269" spans="1:15" x14ac:dyDescent="0.6">
      <c r="A269" s="8"/>
      <c r="B269" s="126" t="s">
        <v>161</v>
      </c>
      <c r="C269" s="181"/>
      <c r="D269" s="181"/>
      <c r="E269" s="181"/>
      <c r="F269" s="181">
        <f>+F221*F247/1000000</f>
        <v>163521.29778667827</v>
      </c>
      <c r="G269" s="181"/>
      <c r="H269" s="23"/>
      <c r="I269" s="181"/>
      <c r="J269" s="181"/>
      <c r="K269" s="181"/>
      <c r="L269" s="181"/>
      <c r="M269" s="148"/>
      <c r="N269" s="148"/>
      <c r="O269" s="148"/>
    </row>
    <row r="270" spans="1:15" x14ac:dyDescent="0.6">
      <c r="A270" s="8"/>
      <c r="C270" s="181"/>
      <c r="D270" s="181"/>
      <c r="E270" s="181"/>
      <c r="F270" s="181"/>
      <c r="G270" s="181"/>
      <c r="H270" s="23"/>
      <c r="I270" s="181"/>
      <c r="J270" s="181"/>
      <c r="K270" s="181"/>
      <c r="L270" s="181"/>
    </row>
    <row r="271" spans="1:15" x14ac:dyDescent="0.6">
      <c r="A271" s="8"/>
      <c r="B271" s="99" t="s">
        <v>111</v>
      </c>
      <c r="C271" s="181"/>
      <c r="D271" s="181"/>
      <c r="E271" s="181">
        <f>+E223*E249/1000000</f>
        <v>421.04630956540473</v>
      </c>
      <c r="F271" s="181">
        <f>+F223*F249/1000000</f>
        <v>471837.37466316251</v>
      </c>
      <c r="G271" s="181">
        <f>+G223*G249/1000000</f>
        <v>278981.88883659046</v>
      </c>
      <c r="I271" s="181">
        <f>+I223*I249/1000000</f>
        <v>5246.77203348684</v>
      </c>
      <c r="J271" s="181"/>
      <c r="K271" s="181"/>
      <c r="L271" s="181"/>
    </row>
    <row r="272" spans="1:15" x14ac:dyDescent="0.6">
      <c r="A272" s="8"/>
      <c r="B272" s="164" t="s">
        <v>128</v>
      </c>
      <c r="C272" s="181"/>
      <c r="D272" s="181"/>
      <c r="E272" s="181">
        <f>+E224*E250/1000000</f>
        <v>4660.7432090283892</v>
      </c>
      <c r="F272" s="148"/>
      <c r="G272" s="148"/>
      <c r="H272" s="181">
        <f>+H224*H250/1000000</f>
        <v>3941.947110259177</v>
      </c>
      <c r="I272" s="148"/>
      <c r="J272" s="181"/>
      <c r="K272" s="181"/>
      <c r="L272" s="181"/>
    </row>
    <row r="273" spans="1:12" x14ac:dyDescent="0.6">
      <c r="A273" s="8"/>
      <c r="B273" s="164" t="s">
        <v>129</v>
      </c>
      <c r="C273" s="148"/>
      <c r="D273" s="148"/>
      <c r="E273" s="181">
        <f>+E225*E251/1000000</f>
        <v>5364.021220069304</v>
      </c>
      <c r="H273" s="181">
        <f>+H225*H251/1000000</f>
        <v>3859.0205336540903</v>
      </c>
      <c r="J273" s="181"/>
      <c r="K273" s="181"/>
      <c r="L273" s="181"/>
    </row>
    <row r="274" spans="1:12" x14ac:dyDescent="0.6">
      <c r="A274" s="8"/>
      <c r="B274" s="127"/>
    </row>
    <row r="275" spans="1:12" x14ac:dyDescent="0.6">
      <c r="A275" s="8"/>
      <c r="B275" t="s">
        <v>192</v>
      </c>
    </row>
    <row r="276" spans="1:12" x14ac:dyDescent="0.6">
      <c r="A276" s="8"/>
      <c r="B276" s="127" t="s">
        <v>91</v>
      </c>
      <c r="E276" s="148">
        <f>SUM(E265:E269)</f>
        <v>5295.0959387280654</v>
      </c>
      <c r="F276" s="148">
        <f>SUM(F265:F269)</f>
        <v>328959.86261744134</v>
      </c>
      <c r="G276" s="148">
        <f>SUM(G265:G269)</f>
        <v>166017.67272419052</v>
      </c>
      <c r="H276" s="148">
        <f>SUM(H265:H269)</f>
        <v>4034.656144387417</v>
      </c>
      <c r="I276" s="148">
        <f>SUM(I265:I269)</f>
        <v>2656.5262349490417</v>
      </c>
      <c r="J276" s="182">
        <f>SUM(E276:I276)</f>
        <v>506963.81365969643</v>
      </c>
    </row>
    <row r="277" spans="1:12" x14ac:dyDescent="0.6">
      <c r="A277" s="8"/>
      <c r="B277" s="127" t="s">
        <v>88</v>
      </c>
      <c r="E277" s="148">
        <f>SUM(E271:E273)</f>
        <v>10445.810738663098</v>
      </c>
      <c r="F277" s="148">
        <f>SUM(F271:F273)</f>
        <v>471837.37466316251</v>
      </c>
      <c r="G277" s="148">
        <f>SUM(G271:G273)</f>
        <v>278981.88883659046</v>
      </c>
      <c r="H277" s="148">
        <f>SUM(H271:H273)</f>
        <v>7800.9676439132672</v>
      </c>
      <c r="I277" s="148">
        <f>SUM(I271:I273)</f>
        <v>5246.77203348684</v>
      </c>
      <c r="J277" s="182">
        <f>SUM(E277:I277)</f>
        <v>774312.81391581614</v>
      </c>
    </row>
    <row r="278" spans="1:12" x14ac:dyDescent="0.6">
      <c r="A278" s="8"/>
      <c r="B278" s="127" t="s">
        <v>44</v>
      </c>
      <c r="E278" s="148">
        <f>SUM(E276:E277)</f>
        <v>15740.906677391164</v>
      </c>
      <c r="F278" s="148">
        <f>SUM(F276:F277)</f>
        <v>800797.23728060385</v>
      </c>
      <c r="G278" s="148">
        <f>SUM(G276:G277)</f>
        <v>444999.56156078097</v>
      </c>
      <c r="H278" s="148">
        <f>SUM(H276:H277)</f>
        <v>11835.623788300683</v>
      </c>
      <c r="I278" s="148">
        <f>SUM(I276:I277)</f>
        <v>7903.2982684358813</v>
      </c>
      <c r="J278" s="148">
        <f>SUM(E278:I278)</f>
        <v>1281276.6275755127</v>
      </c>
    </row>
    <row r="279" spans="1:12" x14ac:dyDescent="0.6">
      <c r="A279" s="8"/>
    </row>
    <row r="280" spans="1:12" x14ac:dyDescent="0.6">
      <c r="A280" s="8"/>
      <c r="B280" t="s">
        <v>193</v>
      </c>
    </row>
    <row r="281" spans="1:12" x14ac:dyDescent="0.6">
      <c r="A281" s="8"/>
      <c r="B281" s="127" t="s">
        <v>91</v>
      </c>
      <c r="E281" s="183">
        <f t="shared" ref="E281:J281" si="12">+E276/E278</f>
        <v>0.33639078404126932</v>
      </c>
      <c r="F281" s="183">
        <f t="shared" si="12"/>
        <v>0.41079045643881507</v>
      </c>
      <c r="G281" s="183">
        <f t="shared" si="12"/>
        <v>0.37307378942555369</v>
      </c>
      <c r="H281" s="183">
        <f t="shared" si="12"/>
        <v>0.34089087457947143</v>
      </c>
      <c r="I281" s="183">
        <f t="shared" si="12"/>
        <v>0.33612880910222653</v>
      </c>
      <c r="J281" s="183">
        <f t="shared" si="12"/>
        <v>0.39567085104720545</v>
      </c>
    </row>
    <row r="282" spans="1:12" x14ac:dyDescent="0.6">
      <c r="A282" s="8"/>
      <c r="B282" s="127" t="s">
        <v>88</v>
      </c>
      <c r="E282" s="183">
        <f t="shared" ref="E282:J282" si="13">+E277/E278</f>
        <v>0.66360921595873068</v>
      </c>
      <c r="F282" s="183">
        <f t="shared" si="13"/>
        <v>0.58920954356118493</v>
      </c>
      <c r="G282" s="183">
        <f t="shared" si="13"/>
        <v>0.62692621057444631</v>
      </c>
      <c r="H282" s="183">
        <f t="shared" si="13"/>
        <v>0.65910912542052857</v>
      </c>
      <c r="I282" s="183">
        <f t="shared" si="13"/>
        <v>0.66387119089777358</v>
      </c>
      <c r="J282" s="183">
        <f t="shared" si="13"/>
        <v>0.60432914895279444</v>
      </c>
    </row>
    <row r="283" spans="1:12" x14ac:dyDescent="0.6">
      <c r="A283" s="8"/>
      <c r="B283" s="127"/>
      <c r="E283" s="183"/>
      <c r="F283" s="183"/>
      <c r="G283" s="183"/>
      <c r="H283" s="183"/>
      <c r="I283" s="183"/>
      <c r="J283" s="183"/>
    </row>
    <row r="284" spans="1:12" x14ac:dyDescent="0.6">
      <c r="A284" s="8"/>
      <c r="B284" s="127"/>
      <c r="E284" s="183"/>
      <c r="F284" s="183"/>
      <c r="G284" s="183"/>
      <c r="H284" s="183"/>
      <c r="I284" s="183"/>
      <c r="J284" s="183"/>
    </row>
    <row r="285" spans="1:12" ht="15.5" x14ac:dyDescent="0.7">
      <c r="A285" s="8"/>
      <c r="B285" s="340" t="str">
        <f>$B$1</f>
        <v xml:space="preserve">Jersey Central Power &amp; Light </v>
      </c>
      <c r="C285" s="340"/>
      <c r="D285" s="340"/>
      <c r="E285" s="340"/>
      <c r="F285" s="340"/>
      <c r="G285" s="340"/>
      <c r="H285" s="340"/>
      <c r="I285" s="340"/>
      <c r="J285" s="340"/>
      <c r="K285" s="340"/>
      <c r="L285" s="340"/>
    </row>
    <row r="286" spans="1:12" ht="15.5" x14ac:dyDescent="0.7">
      <c r="A286" s="8"/>
      <c r="B286" s="340" t="str">
        <f>$B$2</f>
        <v>Attachment 2</v>
      </c>
      <c r="C286" s="340"/>
      <c r="D286" s="340"/>
      <c r="E286" s="340"/>
      <c r="F286" s="340"/>
      <c r="G286" s="340"/>
      <c r="H286" s="340"/>
      <c r="I286" s="340"/>
      <c r="J286" s="340"/>
      <c r="K286" s="340"/>
      <c r="L286" s="340"/>
    </row>
    <row r="287" spans="1:12" x14ac:dyDescent="0.6">
      <c r="A287" s="8"/>
      <c r="B287" s="127"/>
      <c r="E287" s="183"/>
      <c r="F287" s="183"/>
      <c r="G287" s="183"/>
      <c r="H287" s="183"/>
      <c r="I287" s="183"/>
      <c r="J287" s="183"/>
    </row>
    <row r="288" spans="1:12" x14ac:dyDescent="0.6">
      <c r="A288" s="6" t="s">
        <v>194</v>
      </c>
      <c r="B288" s="4" t="s">
        <v>195</v>
      </c>
      <c r="G288" s="148"/>
    </row>
    <row r="289" spans="1:10" x14ac:dyDescent="0.6">
      <c r="A289" s="8"/>
      <c r="C289" s="66"/>
      <c r="D289" s="66"/>
    </row>
    <row r="290" spans="1:10" x14ac:dyDescent="0.6">
      <c r="A290" s="8"/>
      <c r="B290" s="4" t="s">
        <v>196</v>
      </c>
      <c r="C290" s="66"/>
      <c r="D290" s="66"/>
    </row>
    <row r="291" spans="1:10" x14ac:dyDescent="0.6">
      <c r="A291" s="8"/>
      <c r="B291" s="126" t="s">
        <v>197</v>
      </c>
      <c r="C291" s="23">
        <f>J278</f>
        <v>1281276.6275755127</v>
      </c>
    </row>
    <row r="292" spans="1:10" x14ac:dyDescent="0.6">
      <c r="A292" s="8"/>
      <c r="B292" s="4"/>
      <c r="C292" s="23"/>
    </row>
    <row r="293" spans="1:10" x14ac:dyDescent="0.6">
      <c r="A293" s="8"/>
      <c r="B293" s="4" t="s">
        <v>198</v>
      </c>
      <c r="C293" s="23"/>
      <c r="E293" s="11" t="str">
        <f>+E$13</f>
        <v>RT{1}</v>
      </c>
      <c r="F293" s="11" t="str">
        <f>+F$13</f>
        <v>RS{2}</v>
      </c>
      <c r="G293" s="11" t="str">
        <f>+G$13</f>
        <v>GS{3}</v>
      </c>
      <c r="H293" s="28" t="str">
        <f>+H$58</f>
        <v>GST {4}</v>
      </c>
      <c r="I293" s="11" t="str">
        <f>+I$13</f>
        <v>OL/SL</v>
      </c>
      <c r="J293" s="11" t="s">
        <v>44</v>
      </c>
    </row>
    <row r="294" spans="1:10" x14ac:dyDescent="0.6">
      <c r="A294" s="8"/>
      <c r="B294" t="s">
        <v>91</v>
      </c>
      <c r="C294" s="23"/>
      <c r="E294" s="128">
        <f>ROUND(SUM(E65:E68)*E95,0)</f>
        <v>72052</v>
      </c>
      <c r="F294" s="128">
        <f>ROUND(SUM(F65:F68)*F95,0)</f>
        <v>4400786</v>
      </c>
      <c r="G294" s="128">
        <f>ROUND(SUM(G65:G68)*G95,0)</f>
        <v>2265535</v>
      </c>
      <c r="H294" s="128">
        <f>ROUND(SUM(H65:H68)*H95,0)</f>
        <v>56858</v>
      </c>
      <c r="I294" s="128">
        <f>ROUND(SUM(I65:I68)*I95,0)</f>
        <v>43621</v>
      </c>
      <c r="J294" s="128">
        <f>SUM(E294:I294)</f>
        <v>6838852</v>
      </c>
    </row>
    <row r="295" spans="1:10" x14ac:dyDescent="0.6">
      <c r="A295" s="8"/>
      <c r="B295" s="96" t="s">
        <v>88</v>
      </c>
      <c r="C295" s="23"/>
      <c r="E295" s="128">
        <f>ROUND((E72-SUM(E65:E68))*E95,0)</f>
        <v>146286</v>
      </c>
      <c r="F295" s="128">
        <f>ROUND((F72-SUM(F65:F68))*F95,0)</f>
        <v>6179374</v>
      </c>
      <c r="G295" s="128">
        <f>ROUND((G72-SUM(G65:G68))*G95,0)</f>
        <v>3918027</v>
      </c>
      <c r="H295" s="128">
        <f>ROUND((H72-SUM(H65:H68))*H95,0)</f>
        <v>114424</v>
      </c>
      <c r="I295" s="128">
        <f>ROUND((I72-SUM(I65:I68))*I95,0)</f>
        <v>87240</v>
      </c>
      <c r="J295" s="128">
        <f>SUM(E295:I295)</f>
        <v>10445351</v>
      </c>
    </row>
    <row r="296" spans="1:10" x14ac:dyDescent="0.6">
      <c r="A296" s="8"/>
      <c r="C296" s="126"/>
      <c r="D296" s="66"/>
      <c r="J296" s="122"/>
    </row>
    <row r="297" spans="1:10" x14ac:dyDescent="0.6">
      <c r="A297" s="8"/>
      <c r="B297" s="4" t="s">
        <v>199</v>
      </c>
      <c r="C297" s="126"/>
      <c r="D297" s="184" t="s">
        <v>200</v>
      </c>
      <c r="E297" s="19" t="s">
        <v>201</v>
      </c>
    </row>
    <row r="298" spans="1:10" x14ac:dyDescent="0.6">
      <c r="A298" s="8"/>
      <c r="B298" s="36" t="s">
        <v>393</v>
      </c>
      <c r="D298" s="20" t="s">
        <v>202</v>
      </c>
      <c r="E298" s="185">
        <f>'Attachment 3 - 24-25'!C35</f>
        <v>74.13</v>
      </c>
      <c r="F298" s="20" t="s">
        <v>203</v>
      </c>
      <c r="G298" s="20" t="s">
        <v>204</v>
      </c>
    </row>
    <row r="299" spans="1:10" x14ac:dyDescent="0.6">
      <c r="A299" s="8"/>
      <c r="B299" t="s">
        <v>205</v>
      </c>
      <c r="C299" s="126"/>
      <c r="D299" s="186">
        <v>1</v>
      </c>
      <c r="E299" s="185">
        <f>ROUND($E$298*D299,3)</f>
        <v>74.13</v>
      </c>
      <c r="F299" s="122">
        <f>J294</f>
        <v>6838852</v>
      </c>
      <c r="G299" s="23">
        <f>ROUND(F299*E299/1000,0)</f>
        <v>506964</v>
      </c>
    </row>
    <row r="300" spans="1:10" ht="15.25" x14ac:dyDescent="1.05">
      <c r="A300" s="8"/>
      <c r="B300" t="s">
        <v>206</v>
      </c>
      <c r="C300" s="126"/>
      <c r="D300" s="186">
        <v>1</v>
      </c>
      <c r="E300" s="185">
        <f>ROUND($E$298*D300,3)</f>
        <v>74.13</v>
      </c>
      <c r="F300" s="122">
        <f>J295</f>
        <v>10445351</v>
      </c>
      <c r="G300" s="22">
        <f>ROUND(F300*E300/1000,0)</f>
        <v>774314</v>
      </c>
    </row>
    <row r="301" spans="1:10" x14ac:dyDescent="0.6">
      <c r="A301" s="8"/>
      <c r="B301" t="s">
        <v>207</v>
      </c>
      <c r="C301" s="126"/>
      <c r="D301" s="66"/>
      <c r="G301" s="148">
        <f>SUM(G299:G300)</f>
        <v>1281278</v>
      </c>
    </row>
    <row r="302" spans="1:10" x14ac:dyDescent="0.6">
      <c r="A302" s="8"/>
      <c r="C302" s="126"/>
      <c r="D302" s="66"/>
    </row>
    <row r="303" spans="1:10" x14ac:dyDescent="0.6">
      <c r="A303" s="6" t="s">
        <v>208</v>
      </c>
      <c r="B303" s="4" t="s">
        <v>209</v>
      </c>
      <c r="C303" s="126"/>
      <c r="D303" s="66"/>
      <c r="F303" s="127" t="s">
        <v>200</v>
      </c>
      <c r="G303" s="127" t="s">
        <v>210</v>
      </c>
      <c r="H303" s="127"/>
    </row>
    <row r="304" spans="1:10" x14ac:dyDescent="0.6">
      <c r="A304" s="8"/>
      <c r="F304" s="127" t="s">
        <v>211</v>
      </c>
      <c r="G304" s="127" t="s">
        <v>202</v>
      </c>
      <c r="H304" s="127" t="s">
        <v>210</v>
      </c>
    </row>
    <row r="305" spans="1:15" x14ac:dyDescent="0.6">
      <c r="A305" s="8"/>
      <c r="B305" t="s">
        <v>212</v>
      </c>
      <c r="F305" s="20" t="s">
        <v>204</v>
      </c>
      <c r="G305" s="20" t="s">
        <v>213</v>
      </c>
      <c r="H305" s="20" t="s">
        <v>202</v>
      </c>
      <c r="I305" s="19"/>
    </row>
    <row r="306" spans="1:15" x14ac:dyDescent="0.6">
      <c r="A306" s="8"/>
      <c r="B306" s="127" t="s">
        <v>91</v>
      </c>
      <c r="C306" s="187">
        <f>J276*1000/J294</f>
        <v>74.129958311672254</v>
      </c>
      <c r="D306" t="s">
        <v>214</v>
      </c>
      <c r="F306" s="188">
        <f>E299</f>
        <v>74.13</v>
      </c>
      <c r="G306" s="186">
        <f>E299/C306</f>
        <v>1.0000005623681529</v>
      </c>
      <c r="H306" s="189">
        <v>1.294853</v>
      </c>
    </row>
    <row r="307" spans="1:15" x14ac:dyDescent="0.6">
      <c r="A307" s="8"/>
      <c r="B307" s="127" t="s">
        <v>88</v>
      </c>
      <c r="C307" s="187">
        <f>J277*1000/J295</f>
        <v>74.129898929755086</v>
      </c>
      <c r="D307" t="s">
        <v>214</v>
      </c>
      <c r="F307" s="188">
        <f>E300</f>
        <v>74.13</v>
      </c>
      <c r="G307" s="186">
        <f>E300/C307</f>
        <v>1.0000013634207838</v>
      </c>
      <c r="H307" s="189">
        <v>1.069126</v>
      </c>
    </row>
    <row r="308" spans="1:15" x14ac:dyDescent="0.6">
      <c r="A308" s="8"/>
      <c r="B308" s="127"/>
      <c r="C308" s="187"/>
      <c r="H308" s="11"/>
      <c r="I308" s="32"/>
    </row>
    <row r="309" spans="1:15" x14ac:dyDescent="0.6">
      <c r="A309" s="4" t="s">
        <v>215</v>
      </c>
      <c r="E309" s="33"/>
      <c r="F309" s="34"/>
    </row>
    <row r="310" spans="1:15" x14ac:dyDescent="0.6">
      <c r="A310" s="8"/>
      <c r="B310" s="126" t="s">
        <v>216</v>
      </c>
      <c r="C310" s="191">
        <f>E177</f>
        <v>104.7</v>
      </c>
      <c r="D310" s="171" t="s">
        <v>217</v>
      </c>
      <c r="E310" s="33"/>
      <c r="F310" s="34"/>
      <c r="M310" s="4"/>
      <c r="N310" s="32"/>
      <c r="O310" s="32"/>
    </row>
    <row r="311" spans="1:15" x14ac:dyDescent="0.6">
      <c r="A311" s="8"/>
      <c r="B311" s="126"/>
      <c r="C311" s="191">
        <f>E178</f>
        <v>104.7</v>
      </c>
      <c r="D311" s="171" t="s">
        <v>218</v>
      </c>
      <c r="E311" s="33"/>
      <c r="F311" s="34"/>
    </row>
    <row r="312" spans="1:15" x14ac:dyDescent="0.6">
      <c r="A312" s="8"/>
      <c r="B312" s="126" t="s">
        <v>219</v>
      </c>
      <c r="C312" s="148" t="s">
        <v>220</v>
      </c>
      <c r="D312" s="171"/>
      <c r="E312" s="33"/>
      <c r="F312" s="34"/>
    </row>
    <row r="313" spans="1:15" x14ac:dyDescent="0.6">
      <c r="A313" s="8"/>
      <c r="B313" s="126" t="s">
        <v>221</v>
      </c>
      <c r="C313" s="44">
        <f>+H171</f>
        <v>4</v>
      </c>
      <c r="D313" t="s">
        <v>222</v>
      </c>
      <c r="E313" s="33"/>
      <c r="F313" s="34"/>
    </row>
    <row r="314" spans="1:15" x14ac:dyDescent="0.6">
      <c r="A314" s="8"/>
      <c r="B314" s="126"/>
      <c r="C314" s="44">
        <f>+H172</f>
        <v>8</v>
      </c>
      <c r="D314" t="s">
        <v>223</v>
      </c>
      <c r="E314" s="33"/>
      <c r="F314" s="34"/>
    </row>
    <row r="315" spans="1:15" x14ac:dyDescent="0.6">
      <c r="A315" s="8"/>
      <c r="B315" s="126" t="s">
        <v>224</v>
      </c>
      <c r="C315" s="191">
        <f>+E192</f>
        <v>19.34</v>
      </c>
      <c r="D315" t="s">
        <v>225</v>
      </c>
      <c r="E315" s="33"/>
      <c r="F315" s="34"/>
    </row>
    <row r="316" spans="1:15" x14ac:dyDescent="0.6">
      <c r="A316" s="8"/>
      <c r="B316" s="126" t="s">
        <v>226</v>
      </c>
      <c r="C316" t="s">
        <v>227</v>
      </c>
      <c r="E316" s="33"/>
      <c r="F316" s="34"/>
    </row>
    <row r="317" spans="1:15" x14ac:dyDescent="0.6">
      <c r="A317" s="8"/>
      <c r="B317" s="126"/>
      <c r="C317" t="s">
        <v>394</v>
      </c>
      <c r="E317" s="33"/>
      <c r="F317" s="34"/>
    </row>
    <row r="318" spans="1:15" x14ac:dyDescent="0.6">
      <c r="A318" s="8"/>
      <c r="B318" s="126" t="s">
        <v>228</v>
      </c>
      <c r="C318" s="96" t="str">
        <f>'BGS PTY22 Cost Alloc'!C$307</f>
        <v xml:space="preserve"> forecasted 2023 energy use by class based upon PJM on/off % from 201907 through 202206 class load profiles</v>
      </c>
      <c r="E318" s="33"/>
      <c r="F318" s="34"/>
    </row>
    <row r="319" spans="1:15" x14ac:dyDescent="0.6">
      <c r="A319" s="8"/>
      <c r="B319" s="126"/>
      <c r="C319" s="96" t="str">
        <f>'BGS PTY22 Cost Alloc'!C$308</f>
        <v xml:space="preserve">   JCP&amp;L billing on/off % from 2023 forecasted billing determinants</v>
      </c>
      <c r="E319" s="33"/>
      <c r="F319" s="34"/>
    </row>
    <row r="320" spans="1:15" x14ac:dyDescent="0.6">
      <c r="A320" s="8"/>
      <c r="B320" s="126" t="s">
        <v>229</v>
      </c>
      <c r="C320" s="96" t="str">
        <f>'BGS PTY22 Cost Alloc'!C$309</f>
        <v xml:space="preserve"> class totals for 2023 excluding accounts required to take service under BGS-CIEP as of June 1, 2024</v>
      </c>
      <c r="E320" s="33"/>
      <c r="F320" s="34"/>
    </row>
    <row r="321" spans="1:12" x14ac:dyDescent="0.6">
      <c r="A321" s="8"/>
      <c r="B321" s="126" t="s">
        <v>230</v>
      </c>
      <c r="C321" t="s">
        <v>231</v>
      </c>
      <c r="E321" s="33"/>
      <c r="F321" s="34"/>
    </row>
    <row r="322" spans="1:12" x14ac:dyDescent="0.6">
      <c r="A322" s="8"/>
      <c r="B322" s="126" t="s">
        <v>232</v>
      </c>
      <c r="C322" t="s">
        <v>233</v>
      </c>
      <c r="E322" s="192"/>
      <c r="F322" s="34"/>
    </row>
    <row r="323" spans="1:12" x14ac:dyDescent="0.6">
      <c r="C323" t="s">
        <v>234</v>
      </c>
      <c r="E323" s="33"/>
      <c r="F323" s="34"/>
    </row>
    <row r="324" spans="1:12" x14ac:dyDescent="0.6">
      <c r="B324" s="126" t="s">
        <v>235</v>
      </c>
      <c r="C324" s="193" t="s">
        <v>236</v>
      </c>
      <c r="E324" s="33"/>
      <c r="F324" s="34"/>
    </row>
    <row r="325" spans="1:12" x14ac:dyDescent="0.6">
      <c r="A325" s="8"/>
      <c r="C325" s="193" t="s">
        <v>237</v>
      </c>
      <c r="E325" s="194"/>
    </row>
    <row r="326" spans="1:12" x14ac:dyDescent="0.6">
      <c r="C326" s="193" t="s">
        <v>238</v>
      </c>
    </row>
    <row r="327" spans="1:12" x14ac:dyDescent="0.6">
      <c r="A327" s="8"/>
      <c r="B327" s="126" t="s">
        <v>239</v>
      </c>
      <c r="C327" s="195" t="s">
        <v>240</v>
      </c>
      <c r="E327" s="196"/>
      <c r="F327" s="122"/>
    </row>
    <row r="328" spans="1:12" x14ac:dyDescent="0.6">
      <c r="A328" s="8"/>
      <c r="B328" t="str">
        <f>'BGS PTY22 Cost Alloc'!B318</f>
        <v xml:space="preserve"> </v>
      </c>
      <c r="C328" s="197"/>
      <c r="E328" s="196"/>
      <c r="F328" s="196"/>
    </row>
    <row r="333" spans="1:12" x14ac:dyDescent="0.6">
      <c r="L333" s="23"/>
    </row>
    <row r="342" spans="12:12" x14ac:dyDescent="0.6">
      <c r="L342" s="23"/>
    </row>
    <row r="343" spans="12:12" x14ac:dyDescent="0.6">
      <c r="L343" s="23"/>
    </row>
    <row r="344" spans="12:12" x14ac:dyDescent="0.6">
      <c r="L344" s="23"/>
    </row>
    <row r="345" spans="12:12" x14ac:dyDescent="0.6">
      <c r="L345" s="40"/>
    </row>
    <row r="346" spans="12:12" x14ac:dyDescent="0.6">
      <c r="L346" s="40"/>
    </row>
    <row r="347" spans="12:12" x14ac:dyDescent="0.6">
      <c r="L347" s="40"/>
    </row>
  </sheetData>
  <mergeCells count="16">
    <mergeCell ref="B53:L53"/>
    <mergeCell ref="B1:L1"/>
    <mergeCell ref="B2:L2"/>
    <mergeCell ref="B3:L3"/>
    <mergeCell ref="B5:L5"/>
    <mergeCell ref="B52:L52"/>
    <mergeCell ref="B236:L236"/>
    <mergeCell ref="B237:L237"/>
    <mergeCell ref="B285:L285"/>
    <mergeCell ref="B286:L286"/>
    <mergeCell ref="B103:L103"/>
    <mergeCell ref="B104:L104"/>
    <mergeCell ref="B143:L143"/>
    <mergeCell ref="B144:L144"/>
    <mergeCell ref="B206:L206"/>
    <mergeCell ref="B207:L207"/>
  </mergeCells>
  <pageMargins left="0.7" right="0.7" top="0.75" bottom="0.75" header="0.3" footer="0.3"/>
  <pageSetup scale="65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5" max="9" man="1"/>
    <brk id="235" max="9" man="1"/>
    <brk id="284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0E34-68E5-43D2-8DCD-B764074460B2}">
  <dimension ref="A1:AY344"/>
  <sheetViews>
    <sheetView view="pageBreakPreview" zoomScale="80" zoomScaleNormal="60" zoomScaleSheetLayoutView="80" workbookViewId="0"/>
  </sheetViews>
  <sheetFormatPr defaultColWidth="9.08984375" defaultRowHeight="13" x14ac:dyDescent="0.6"/>
  <cols>
    <col min="1" max="1" width="16.08984375" style="96" customWidth="1"/>
    <col min="2" max="2" width="27.90625" customWidth="1"/>
    <col min="3" max="3" width="14.54296875" customWidth="1"/>
    <col min="4" max="4" width="12.54296875" customWidth="1"/>
    <col min="5" max="5" width="16.54296875" customWidth="1"/>
    <col min="6" max="6" width="16" customWidth="1"/>
    <col min="7" max="7" width="16.54296875" customWidth="1"/>
    <col min="8" max="8" width="15.453125" customWidth="1"/>
    <col min="9" max="9" width="14.08984375" customWidth="1"/>
    <col min="10" max="10" width="16.453125" customWidth="1"/>
    <col min="11" max="11" width="12.54296875" customWidth="1"/>
    <col min="12" max="12" width="16.54296875" hidden="1" customWidth="1"/>
    <col min="13" max="13" width="21.81640625" hidden="1" customWidth="1"/>
    <col min="14" max="14" width="15.08984375" hidden="1" customWidth="1"/>
    <col min="15" max="16" width="12.453125" hidden="1" customWidth="1"/>
    <col min="17" max="17" width="13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0.54296875" hidden="1" customWidth="1"/>
    <col min="26" max="26" width="11.54296875" hidden="1" customWidth="1"/>
    <col min="27" max="27" width="12.54296875" hidden="1" customWidth="1"/>
    <col min="28" max="28" width="13.453125" hidden="1" customWidth="1"/>
    <col min="29" max="29" width="11" hidden="1" customWidth="1"/>
    <col min="30" max="30" width="14.08984375" hidden="1" customWidth="1"/>
    <col min="31" max="31" width="9.90625" hidden="1" customWidth="1"/>
    <col min="32" max="32" width="9.08984375" customWidth="1"/>
    <col min="33" max="33" width="12" customWidth="1"/>
    <col min="34" max="37" width="9.08984375" customWidth="1"/>
    <col min="38" max="38" width="9.453125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26" ht="15.5" x14ac:dyDescent="0.7">
      <c r="B2" s="340" t="s">
        <v>1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26" ht="15.5" x14ac:dyDescent="0.7">
      <c r="B3" s="340" t="str">
        <f>'BGS PTY22 Cost Alloc'!$B$3</f>
        <v>2024 BGS Auction Cost and Bid Factor Tables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</row>
    <row r="4" spans="1:26" ht="15.5" x14ac:dyDescent="0.7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6" ht="15.5" x14ac:dyDescent="0.7">
      <c r="B5" s="340" t="s">
        <v>241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</row>
    <row r="6" spans="1:26" x14ac:dyDescent="0.6">
      <c r="L6" s="97" t="s">
        <v>3</v>
      </c>
    </row>
    <row r="8" spans="1:26" ht="15.5" x14ac:dyDescent="0.7">
      <c r="B8" s="2" t="s">
        <v>4</v>
      </c>
    </row>
    <row r="9" spans="1:26" x14ac:dyDescent="0.6">
      <c r="A9" s="3"/>
      <c r="B9" s="4" t="s">
        <v>5</v>
      </c>
    </row>
    <row r="10" spans="1:26" x14ac:dyDescent="0.6">
      <c r="E10" s="5" t="str">
        <f>'BGS PTY22 Cost Alloc'!$E$10</f>
        <v>Based on an average of 201907 to 202206 Load Profile Information</v>
      </c>
    </row>
    <row r="11" spans="1:26" x14ac:dyDescent="0.6">
      <c r="A11" s="6" t="s">
        <v>6</v>
      </c>
      <c r="B11" s="7" t="s">
        <v>7</v>
      </c>
      <c r="C11" s="98"/>
      <c r="E11" s="5" t="s">
        <v>8</v>
      </c>
      <c r="N11" s="7"/>
      <c r="Q11" s="7" t="s">
        <v>9</v>
      </c>
    </row>
    <row r="12" spans="1:26" ht="26" x14ac:dyDescent="0.6">
      <c r="A12" s="8"/>
      <c r="C12" s="9"/>
      <c r="D12" s="9"/>
      <c r="E12" s="9" t="s">
        <v>10</v>
      </c>
      <c r="F12" s="9" t="s">
        <v>10</v>
      </c>
      <c r="G12" s="9" t="s">
        <v>10</v>
      </c>
      <c r="H12" s="9" t="s">
        <v>10</v>
      </c>
      <c r="I12" s="9" t="s">
        <v>11</v>
      </c>
      <c r="K12" s="9"/>
      <c r="L12" s="9"/>
      <c r="M12" s="9"/>
      <c r="N12" s="5"/>
      <c r="O12" s="9"/>
      <c r="P12" s="9"/>
      <c r="Q12" s="9" t="s">
        <v>10</v>
      </c>
      <c r="R12" s="9" t="s">
        <v>10</v>
      </c>
      <c r="S12" s="9" t="s">
        <v>10</v>
      </c>
      <c r="T12" s="9" t="s">
        <v>10</v>
      </c>
      <c r="U12" s="9" t="s">
        <v>11</v>
      </c>
      <c r="W12" s="9"/>
      <c r="X12" s="9"/>
      <c r="Y12" s="9"/>
      <c r="Z12" s="9"/>
    </row>
    <row r="13" spans="1:26" x14ac:dyDescent="0.6">
      <c r="A13" s="8"/>
      <c r="B13" s="10" t="s">
        <v>12</v>
      </c>
      <c r="C13" s="11"/>
      <c r="D13" s="11"/>
      <c r="E13" s="11" t="s">
        <v>13</v>
      </c>
      <c r="F13" s="11" t="s">
        <v>14</v>
      </c>
      <c r="G13" s="11" t="s">
        <v>15</v>
      </c>
      <c r="H13" s="11" t="s">
        <v>16</v>
      </c>
      <c r="I13" s="11" t="s">
        <v>17</v>
      </c>
      <c r="J13" s="11"/>
      <c r="K13" s="11"/>
      <c r="L13" s="11"/>
      <c r="M13" s="11"/>
      <c r="N13" s="12"/>
      <c r="O13" s="11"/>
      <c r="P13" s="11"/>
      <c r="Q13" s="11" t="str">
        <f>+E13</f>
        <v>RT{1}</v>
      </c>
      <c r="R13" s="11" t="str">
        <f>+F13</f>
        <v>RS{2}</v>
      </c>
      <c r="S13" s="11" t="str">
        <f>+G13</f>
        <v>GS{3}</v>
      </c>
      <c r="T13" s="11" t="str">
        <f>+H13</f>
        <v>GST</v>
      </c>
      <c r="U13" s="11" t="str">
        <f>+I13</f>
        <v>OL/SL</v>
      </c>
      <c r="V13" s="11"/>
      <c r="W13" s="11"/>
      <c r="X13" s="11"/>
      <c r="Y13" s="11"/>
      <c r="Z13" s="11"/>
    </row>
    <row r="14" spans="1:26" x14ac:dyDescent="0.6">
      <c r="A14" s="8"/>
    </row>
    <row r="15" spans="1:26" x14ac:dyDescent="0.6">
      <c r="A15" s="8"/>
      <c r="B15" s="99" t="s">
        <v>18</v>
      </c>
      <c r="C15" s="40"/>
      <c r="D15" s="40"/>
      <c r="E15" s="52">
        <f>'BGS PTY22 Cost Alloc'!E15</f>
        <v>0.46079999999999999</v>
      </c>
      <c r="F15" s="52">
        <f>'BGS PTY22 Cost Alloc'!F15</f>
        <v>0.48230000000000001</v>
      </c>
      <c r="G15" s="52">
        <f>'BGS PTY22 Cost Alloc'!G15</f>
        <v>0.54600000000000004</v>
      </c>
      <c r="H15" s="52">
        <f>'BGS PTY22 Cost Alloc'!H15</f>
        <v>0.5212</v>
      </c>
      <c r="I15" s="52">
        <f>'BGS PTY22 Cost Alloc'!I15</f>
        <v>0.32529999999999998</v>
      </c>
      <c r="J15" s="40"/>
      <c r="K15" s="100"/>
      <c r="L15" s="100"/>
      <c r="M15" s="100"/>
      <c r="N15" s="101"/>
      <c r="O15" s="101"/>
      <c r="P15" s="101"/>
      <c r="Q15" s="101">
        <f t="shared" ref="Q15:U26" si="0">1-E15</f>
        <v>0.53920000000000001</v>
      </c>
      <c r="R15" s="101">
        <f t="shared" si="0"/>
        <v>0.51770000000000005</v>
      </c>
      <c r="S15" s="101">
        <f t="shared" si="0"/>
        <v>0.45399999999999996</v>
      </c>
      <c r="T15" s="101">
        <f t="shared" si="0"/>
        <v>0.4788</v>
      </c>
      <c r="U15" s="101">
        <f t="shared" si="0"/>
        <v>0.67470000000000008</v>
      </c>
      <c r="V15" s="101"/>
      <c r="W15" s="101"/>
      <c r="X15" s="101"/>
      <c r="Y15" s="101"/>
      <c r="Z15" s="101"/>
    </row>
    <row r="16" spans="1:26" x14ac:dyDescent="0.6">
      <c r="A16" s="8"/>
      <c r="B16" s="99" t="s">
        <v>19</v>
      </c>
      <c r="C16" s="40"/>
      <c r="D16" s="40"/>
      <c r="E16" s="52">
        <f>'BGS PTY22 Cost Alloc'!E16</f>
        <v>0.46920000000000001</v>
      </c>
      <c r="F16" s="52">
        <f>'BGS PTY22 Cost Alloc'!F16</f>
        <v>0.49780000000000002</v>
      </c>
      <c r="G16" s="52">
        <f>'BGS PTY22 Cost Alloc'!G16</f>
        <v>0.56100000000000005</v>
      </c>
      <c r="H16" s="52">
        <f>'BGS PTY22 Cost Alloc'!H16</f>
        <v>0.53710000000000002</v>
      </c>
      <c r="I16" s="52">
        <f>'BGS PTY22 Cost Alloc'!I16</f>
        <v>0.30880000000000002</v>
      </c>
      <c r="J16" s="40"/>
      <c r="K16" s="100"/>
      <c r="L16" s="100"/>
      <c r="M16" s="100"/>
      <c r="N16" s="101"/>
      <c r="O16" s="101"/>
      <c r="P16" s="101"/>
      <c r="Q16" s="101">
        <f t="shared" si="0"/>
        <v>0.53079999999999994</v>
      </c>
      <c r="R16" s="101">
        <f t="shared" si="0"/>
        <v>0.50219999999999998</v>
      </c>
      <c r="S16" s="101">
        <f t="shared" si="0"/>
        <v>0.43899999999999995</v>
      </c>
      <c r="T16" s="101">
        <f t="shared" si="0"/>
        <v>0.46289999999999998</v>
      </c>
      <c r="U16" s="101">
        <f t="shared" si="0"/>
        <v>0.69120000000000004</v>
      </c>
      <c r="V16" s="101"/>
      <c r="W16" s="101"/>
      <c r="X16" s="101"/>
      <c r="Y16" s="101"/>
      <c r="Z16" s="101"/>
    </row>
    <row r="17" spans="1:26" x14ac:dyDescent="0.6">
      <c r="A17" s="8"/>
      <c r="B17" s="99" t="s">
        <v>20</v>
      </c>
      <c r="C17" s="40"/>
      <c r="D17" s="40"/>
      <c r="E17" s="52">
        <f>'BGS PTY22 Cost Alloc'!E17</f>
        <v>0.49280000000000002</v>
      </c>
      <c r="F17" s="52">
        <f>'BGS PTY22 Cost Alloc'!F17</f>
        <v>0.52270000000000005</v>
      </c>
      <c r="G17" s="52">
        <f>'BGS PTY22 Cost Alloc'!G17</f>
        <v>0.60070000000000001</v>
      </c>
      <c r="H17" s="52">
        <f>'BGS PTY22 Cost Alloc'!H17</f>
        <v>0.55249999999999999</v>
      </c>
      <c r="I17" s="52">
        <f>'BGS PTY22 Cost Alloc'!I17</f>
        <v>0.31859999999999999</v>
      </c>
      <c r="J17" s="40"/>
      <c r="K17" s="100"/>
      <c r="L17" s="100"/>
      <c r="M17" s="100"/>
      <c r="N17" s="101"/>
      <c r="O17" s="101"/>
      <c r="P17" s="101"/>
      <c r="Q17" s="101">
        <f t="shared" si="0"/>
        <v>0.50719999999999998</v>
      </c>
      <c r="R17" s="101">
        <f t="shared" si="0"/>
        <v>0.47729999999999995</v>
      </c>
      <c r="S17" s="101">
        <f t="shared" si="0"/>
        <v>0.39929999999999999</v>
      </c>
      <c r="T17" s="101">
        <f t="shared" si="0"/>
        <v>0.44750000000000001</v>
      </c>
      <c r="U17" s="101">
        <f t="shared" si="0"/>
        <v>0.68140000000000001</v>
      </c>
      <c r="V17" s="101"/>
      <c r="W17" s="101"/>
      <c r="X17" s="101"/>
      <c r="Y17" s="101"/>
      <c r="Z17" s="101"/>
    </row>
    <row r="18" spans="1:26" x14ac:dyDescent="0.6">
      <c r="A18" s="8"/>
      <c r="B18" s="99" t="s">
        <v>21</v>
      </c>
      <c r="C18" s="40"/>
      <c r="D18" s="40"/>
      <c r="E18" s="52">
        <f>'BGS PTY22 Cost Alloc'!E18</f>
        <v>0.49680000000000002</v>
      </c>
      <c r="F18" s="52">
        <f>'BGS PTY22 Cost Alloc'!F18</f>
        <v>0.52239999999999998</v>
      </c>
      <c r="G18" s="52">
        <f>'BGS PTY22 Cost Alloc'!G18</f>
        <v>0.59540000000000004</v>
      </c>
      <c r="H18" s="52">
        <f>'BGS PTY22 Cost Alloc'!H18</f>
        <v>0.5474</v>
      </c>
      <c r="I18" s="52">
        <f>'BGS PTY22 Cost Alloc'!I18</f>
        <v>0.31840000000000002</v>
      </c>
      <c r="J18" s="40"/>
      <c r="K18" s="100"/>
      <c r="L18" s="100"/>
      <c r="M18" s="100"/>
      <c r="N18" s="101"/>
      <c r="O18" s="101"/>
      <c r="P18" s="101"/>
      <c r="Q18" s="101">
        <f t="shared" si="0"/>
        <v>0.50319999999999998</v>
      </c>
      <c r="R18" s="101">
        <f t="shared" si="0"/>
        <v>0.47760000000000002</v>
      </c>
      <c r="S18" s="101">
        <f t="shared" si="0"/>
        <v>0.40459999999999996</v>
      </c>
      <c r="T18" s="101">
        <f t="shared" si="0"/>
        <v>0.4526</v>
      </c>
      <c r="U18" s="101">
        <f t="shared" si="0"/>
        <v>0.68159999999999998</v>
      </c>
      <c r="V18" s="101"/>
      <c r="W18" s="101"/>
      <c r="X18" s="101"/>
      <c r="Y18" s="101"/>
      <c r="Z18" s="101"/>
    </row>
    <row r="19" spans="1:26" x14ac:dyDescent="0.6">
      <c r="A19" s="8"/>
      <c r="B19" s="99" t="s">
        <v>22</v>
      </c>
      <c r="C19" s="40"/>
      <c r="D19" s="40"/>
      <c r="E19" s="52">
        <f>'BGS PTY22 Cost Alloc'!E19</f>
        <v>0.44340000000000002</v>
      </c>
      <c r="F19" s="52">
        <f>'BGS PTY22 Cost Alloc'!F19</f>
        <v>0.4572</v>
      </c>
      <c r="G19" s="52">
        <f>'BGS PTY22 Cost Alloc'!G19</f>
        <v>0.55259999999999998</v>
      </c>
      <c r="H19" s="52">
        <f>'BGS PTY22 Cost Alloc'!H19</f>
        <v>0.51890000000000003</v>
      </c>
      <c r="I19" s="52">
        <f>'BGS PTY22 Cost Alloc'!I19</f>
        <v>0.28349999999999997</v>
      </c>
      <c r="J19" s="40"/>
      <c r="K19" s="100"/>
      <c r="L19" s="100"/>
      <c r="M19" s="100"/>
      <c r="N19" s="101"/>
      <c r="O19" s="101"/>
      <c r="P19" s="101"/>
      <c r="Q19" s="101">
        <f t="shared" si="0"/>
        <v>0.55659999999999998</v>
      </c>
      <c r="R19" s="101">
        <f t="shared" si="0"/>
        <v>0.54279999999999995</v>
      </c>
      <c r="S19" s="101">
        <f t="shared" si="0"/>
        <v>0.44740000000000002</v>
      </c>
      <c r="T19" s="101">
        <f t="shared" si="0"/>
        <v>0.48109999999999997</v>
      </c>
      <c r="U19" s="101">
        <f t="shared" si="0"/>
        <v>0.71650000000000003</v>
      </c>
      <c r="V19" s="101"/>
      <c r="W19" s="101"/>
      <c r="X19" s="101"/>
      <c r="Y19" s="101"/>
      <c r="Z19" s="101"/>
    </row>
    <row r="20" spans="1:26" x14ac:dyDescent="0.6">
      <c r="A20" s="8"/>
      <c r="B20" s="102" t="s">
        <v>23</v>
      </c>
      <c r="C20" s="103"/>
      <c r="D20" s="103"/>
      <c r="E20" s="104">
        <f>'BGS PTY22 Cost Alloc'!E20</f>
        <v>0.54610000000000003</v>
      </c>
      <c r="F20" s="104">
        <f>'BGS PTY22 Cost Alloc'!F20</f>
        <v>0.55520000000000003</v>
      </c>
      <c r="G20" s="104">
        <f>'BGS PTY22 Cost Alloc'!G20</f>
        <v>0.59860000000000002</v>
      </c>
      <c r="H20" s="104">
        <f>'BGS PTY22 Cost Alloc'!H20</f>
        <v>0.57689999999999997</v>
      </c>
      <c r="I20" s="105">
        <f>'BGS PTY22 Cost Alloc'!I20</f>
        <v>0.30940000000000001</v>
      </c>
      <c r="J20" s="40"/>
      <c r="K20" s="100"/>
      <c r="L20" s="100"/>
      <c r="M20" s="100"/>
      <c r="N20" s="101"/>
      <c r="O20" s="101"/>
      <c r="P20" s="101"/>
      <c r="Q20" s="101">
        <f t="shared" si="0"/>
        <v>0.45389999999999997</v>
      </c>
      <c r="R20" s="101">
        <f t="shared" si="0"/>
        <v>0.44479999999999997</v>
      </c>
      <c r="S20" s="101">
        <f t="shared" si="0"/>
        <v>0.40139999999999998</v>
      </c>
      <c r="T20" s="101">
        <f t="shared" si="0"/>
        <v>0.42310000000000003</v>
      </c>
      <c r="U20" s="101">
        <f t="shared" si="0"/>
        <v>0.69059999999999999</v>
      </c>
      <c r="V20" s="101"/>
      <c r="W20" s="101"/>
      <c r="X20" s="101"/>
      <c r="Y20" s="101"/>
      <c r="Z20" s="101"/>
    </row>
    <row r="21" spans="1:26" x14ac:dyDescent="0.6">
      <c r="A21" s="8"/>
      <c r="B21" s="106" t="s">
        <v>24</v>
      </c>
      <c r="C21" s="56"/>
      <c r="D21" s="56"/>
      <c r="E21" s="60">
        <f>'BGS PTY22 Cost Alloc'!E21</f>
        <v>0.53010000000000002</v>
      </c>
      <c r="F21" s="60">
        <f>'BGS PTY22 Cost Alloc'!F21</f>
        <v>0.52810000000000001</v>
      </c>
      <c r="G21" s="60">
        <f>'BGS PTY22 Cost Alloc'!G21</f>
        <v>0.58140000000000003</v>
      </c>
      <c r="H21" s="60">
        <f>'BGS PTY22 Cost Alloc'!H21</f>
        <v>0.5575</v>
      </c>
      <c r="I21" s="107">
        <f>'BGS PTY22 Cost Alloc'!I21</f>
        <v>0.29630000000000001</v>
      </c>
      <c r="J21" s="40"/>
      <c r="K21" s="100"/>
      <c r="L21" s="100"/>
      <c r="M21" s="100"/>
      <c r="N21" s="101"/>
      <c r="O21" s="101"/>
      <c r="P21" s="101"/>
      <c r="Q21" s="101">
        <f t="shared" si="0"/>
        <v>0.46989999999999998</v>
      </c>
      <c r="R21" s="101">
        <f t="shared" si="0"/>
        <v>0.47189999999999999</v>
      </c>
      <c r="S21" s="101">
        <f t="shared" si="0"/>
        <v>0.41859999999999997</v>
      </c>
      <c r="T21" s="101">
        <f t="shared" si="0"/>
        <v>0.4425</v>
      </c>
      <c r="U21" s="101">
        <f t="shared" si="0"/>
        <v>0.70369999999999999</v>
      </c>
      <c r="V21" s="101"/>
      <c r="W21" s="101"/>
      <c r="X21" s="101"/>
      <c r="Y21" s="101"/>
      <c r="Z21" s="101"/>
    </row>
    <row r="22" spans="1:26" x14ac:dyDescent="0.6">
      <c r="A22" s="8"/>
      <c r="B22" s="106" t="s">
        <v>25</v>
      </c>
      <c r="C22" s="56"/>
      <c r="D22" s="56"/>
      <c r="E22" s="60">
        <f>'BGS PTY22 Cost Alloc'!E22</f>
        <v>0.53069999999999995</v>
      </c>
      <c r="F22" s="60">
        <f>'BGS PTY22 Cost Alloc'!F22</f>
        <v>0.53090000000000004</v>
      </c>
      <c r="G22" s="60">
        <f>'BGS PTY22 Cost Alloc'!G22</f>
        <v>0.57820000000000005</v>
      </c>
      <c r="H22" s="60">
        <f>'BGS PTY22 Cost Alloc'!H22</f>
        <v>0.55389999999999995</v>
      </c>
      <c r="I22" s="107">
        <f>'BGS PTY22 Cost Alloc'!I22</f>
        <v>0.30009999999999998</v>
      </c>
      <c r="J22" s="40"/>
      <c r="K22" s="100"/>
      <c r="L22" s="100"/>
      <c r="M22" s="100"/>
      <c r="N22" s="101"/>
      <c r="O22" s="101"/>
      <c r="P22" s="101"/>
      <c r="Q22" s="101">
        <f t="shared" si="0"/>
        <v>0.46930000000000005</v>
      </c>
      <c r="R22" s="101">
        <f t="shared" si="0"/>
        <v>0.46909999999999996</v>
      </c>
      <c r="S22" s="101">
        <f t="shared" si="0"/>
        <v>0.42179999999999995</v>
      </c>
      <c r="T22" s="101">
        <f t="shared" si="0"/>
        <v>0.44610000000000005</v>
      </c>
      <c r="U22" s="101">
        <f t="shared" si="0"/>
        <v>0.69989999999999997</v>
      </c>
      <c r="V22" s="101"/>
      <c r="W22" s="101"/>
      <c r="X22" s="101"/>
      <c r="Y22" s="101"/>
      <c r="Z22" s="101"/>
    </row>
    <row r="23" spans="1:26" x14ac:dyDescent="0.6">
      <c r="A23" s="8"/>
      <c r="B23" s="108" t="s">
        <v>26</v>
      </c>
      <c r="C23" s="109"/>
      <c r="D23" s="109"/>
      <c r="E23" s="110">
        <f>'BGS PTY22 Cost Alloc'!E23</f>
        <v>0.4824</v>
      </c>
      <c r="F23" s="110">
        <f>'BGS PTY22 Cost Alloc'!F23</f>
        <v>0.49249999999999999</v>
      </c>
      <c r="G23" s="110">
        <f>'BGS PTY22 Cost Alloc'!G23</f>
        <v>0.58209999999999995</v>
      </c>
      <c r="H23" s="110">
        <f>'BGS PTY22 Cost Alloc'!H23</f>
        <v>0.55189999999999995</v>
      </c>
      <c r="I23" s="111">
        <f>'BGS PTY22 Cost Alloc'!I23</f>
        <v>0.31309999999999999</v>
      </c>
      <c r="J23" s="40"/>
      <c r="K23" s="100"/>
      <c r="L23" s="100"/>
      <c r="M23" s="100"/>
      <c r="N23" s="101"/>
      <c r="O23" s="101"/>
      <c r="P23" s="101"/>
      <c r="Q23" s="101">
        <f t="shared" si="0"/>
        <v>0.51760000000000006</v>
      </c>
      <c r="R23" s="101">
        <f t="shared" si="0"/>
        <v>0.50750000000000006</v>
      </c>
      <c r="S23" s="101">
        <f t="shared" si="0"/>
        <v>0.41790000000000005</v>
      </c>
      <c r="T23" s="101">
        <f t="shared" si="0"/>
        <v>0.44810000000000005</v>
      </c>
      <c r="U23" s="101">
        <f t="shared" si="0"/>
        <v>0.68690000000000007</v>
      </c>
      <c r="V23" s="101"/>
      <c r="W23" s="101"/>
      <c r="X23" s="101"/>
      <c r="Y23" s="101"/>
      <c r="Z23" s="101"/>
    </row>
    <row r="24" spans="1:26" x14ac:dyDescent="0.6">
      <c r="A24" s="8"/>
      <c r="B24" s="99" t="s">
        <v>27</v>
      </c>
      <c r="C24" s="40"/>
      <c r="D24" s="40"/>
      <c r="E24" s="52">
        <f>'BGS PTY22 Cost Alloc'!E24</f>
        <v>0.48709999999999998</v>
      </c>
      <c r="F24" s="52">
        <f>'BGS PTY22 Cost Alloc'!F24</f>
        <v>0.51280000000000003</v>
      </c>
      <c r="G24" s="52">
        <f>'BGS PTY22 Cost Alloc'!G24</f>
        <v>0.58860000000000001</v>
      </c>
      <c r="H24" s="52">
        <f>'BGS PTY22 Cost Alloc'!H24</f>
        <v>0.56169999999999998</v>
      </c>
      <c r="I24" s="52">
        <f>'BGS PTY22 Cost Alloc'!I24</f>
        <v>0.33639999999999998</v>
      </c>
      <c r="J24" s="40"/>
      <c r="K24" s="100"/>
      <c r="L24" s="100"/>
      <c r="M24" s="100"/>
      <c r="N24" s="101"/>
      <c r="O24" s="101"/>
      <c r="P24" s="101"/>
      <c r="Q24" s="101">
        <f t="shared" si="0"/>
        <v>0.51290000000000002</v>
      </c>
      <c r="R24" s="101">
        <f t="shared" si="0"/>
        <v>0.48719999999999997</v>
      </c>
      <c r="S24" s="101">
        <f t="shared" si="0"/>
        <v>0.41139999999999999</v>
      </c>
      <c r="T24" s="101">
        <f t="shared" si="0"/>
        <v>0.43830000000000002</v>
      </c>
      <c r="U24" s="101">
        <f t="shared" si="0"/>
        <v>0.66359999999999997</v>
      </c>
      <c r="V24" s="101"/>
      <c r="W24" s="101"/>
      <c r="X24" s="101"/>
      <c r="Y24" s="101"/>
      <c r="Z24" s="101"/>
    </row>
    <row r="25" spans="1:26" x14ac:dyDescent="0.6">
      <c r="A25" s="8"/>
      <c r="B25" s="99" t="s">
        <v>28</v>
      </c>
      <c r="C25" s="40"/>
      <c r="D25" s="40"/>
      <c r="E25" s="52">
        <f>'BGS PTY22 Cost Alloc'!E25</f>
        <v>0.45250000000000001</v>
      </c>
      <c r="F25" s="52">
        <f>'BGS PTY22 Cost Alloc'!F25</f>
        <v>0.48230000000000001</v>
      </c>
      <c r="G25" s="52">
        <f>'BGS PTY22 Cost Alloc'!G25</f>
        <v>0.56159999999999999</v>
      </c>
      <c r="H25" s="52">
        <f>'BGS PTY22 Cost Alloc'!H25</f>
        <v>0.52959999999999996</v>
      </c>
      <c r="I25" s="52">
        <f>'BGS PTY22 Cost Alloc'!I25</f>
        <v>0.32190000000000002</v>
      </c>
      <c r="J25" s="40"/>
      <c r="K25" s="100"/>
      <c r="L25" s="100"/>
      <c r="M25" s="100"/>
      <c r="N25" s="101"/>
      <c r="O25" s="101"/>
      <c r="P25" s="101"/>
      <c r="Q25" s="101">
        <f t="shared" si="0"/>
        <v>0.54749999999999999</v>
      </c>
      <c r="R25" s="101">
        <f t="shared" si="0"/>
        <v>0.51770000000000005</v>
      </c>
      <c r="S25" s="101">
        <f t="shared" si="0"/>
        <v>0.43840000000000001</v>
      </c>
      <c r="T25" s="101">
        <f t="shared" si="0"/>
        <v>0.47040000000000004</v>
      </c>
      <c r="U25" s="101">
        <f t="shared" si="0"/>
        <v>0.67809999999999993</v>
      </c>
      <c r="V25" s="101"/>
      <c r="W25" s="101"/>
      <c r="X25" s="101"/>
      <c r="Y25" s="101"/>
      <c r="Z25" s="101"/>
    </row>
    <row r="26" spans="1:26" x14ac:dyDescent="0.6">
      <c r="A26" s="8"/>
      <c r="B26" s="99" t="s">
        <v>29</v>
      </c>
      <c r="C26" s="40"/>
      <c r="D26" s="40"/>
      <c r="E26" s="52">
        <f>'BGS PTY22 Cost Alloc'!E26</f>
        <v>0.4834</v>
      </c>
      <c r="F26" s="52">
        <f>'BGS PTY22 Cost Alloc'!F26</f>
        <v>0.50560000000000005</v>
      </c>
      <c r="G26" s="52">
        <f>'BGS PTY22 Cost Alloc'!G26</f>
        <v>0.57509999999999994</v>
      </c>
      <c r="H26" s="52">
        <f>'BGS PTY22 Cost Alloc'!H26</f>
        <v>0.54320000000000002</v>
      </c>
      <c r="I26" s="52">
        <f>'BGS PTY22 Cost Alloc'!I26</f>
        <v>0.34179999999999999</v>
      </c>
      <c r="J26" s="40"/>
      <c r="K26" s="100"/>
      <c r="L26" s="100"/>
      <c r="M26" s="100"/>
      <c r="N26" s="101"/>
      <c r="O26" s="101"/>
      <c r="P26" s="101"/>
      <c r="Q26" s="101">
        <f t="shared" si="0"/>
        <v>0.51659999999999995</v>
      </c>
      <c r="R26" s="101">
        <f t="shared" si="0"/>
        <v>0.49439999999999995</v>
      </c>
      <c r="S26" s="101">
        <f t="shared" si="0"/>
        <v>0.42490000000000006</v>
      </c>
      <c r="T26" s="101">
        <f t="shared" si="0"/>
        <v>0.45679999999999998</v>
      </c>
      <c r="U26" s="101">
        <f t="shared" si="0"/>
        <v>0.65820000000000001</v>
      </c>
      <c r="V26" s="101"/>
      <c r="W26" s="101"/>
      <c r="X26" s="101"/>
      <c r="Y26" s="101"/>
      <c r="Z26" s="101"/>
    </row>
    <row r="27" spans="1:26" x14ac:dyDescent="0.6">
      <c r="A27" s="8"/>
      <c r="B27" s="99"/>
      <c r="C27" s="101"/>
      <c r="D27" s="101"/>
      <c r="E27" s="101"/>
      <c r="F27" s="101"/>
      <c r="G27" s="101"/>
      <c r="H27" s="101"/>
      <c r="I27" s="45"/>
      <c r="J27" s="45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</row>
    <row r="28" spans="1:26" x14ac:dyDescent="0.6">
      <c r="A28" s="8"/>
      <c r="B28" s="99"/>
      <c r="C28" s="101"/>
      <c r="D28" s="101"/>
      <c r="E28" s="101"/>
      <c r="F28" s="101"/>
      <c r="G28" s="101"/>
      <c r="H28" s="101"/>
      <c r="I28" s="45"/>
      <c r="J28" s="45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spans="1:26" x14ac:dyDescent="0.6">
      <c r="A29" s="6" t="s">
        <v>30</v>
      </c>
      <c r="B29" s="7" t="s">
        <v>31</v>
      </c>
      <c r="C29" s="101"/>
      <c r="D29" s="101"/>
      <c r="E29" s="101"/>
      <c r="F29" s="13" t="s">
        <v>32</v>
      </c>
      <c r="G29" s="101"/>
      <c r="H29" s="101"/>
      <c r="I29" s="45"/>
      <c r="J29" s="45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</row>
    <row r="30" spans="1:26" ht="53.25" customHeight="1" x14ac:dyDescent="0.6">
      <c r="A30" s="8"/>
      <c r="C30" s="9"/>
      <c r="D30" s="9"/>
      <c r="E30" s="9" t="str">
        <f>'BGS PTY22 Cost Alloc'!$E$30</f>
        <v>2023 Forecasted Calendar Month Sales</v>
      </c>
      <c r="F30" s="9" t="s">
        <v>33</v>
      </c>
      <c r="G30" s="9" t="s">
        <v>33</v>
      </c>
      <c r="H30" s="9" t="str">
        <f>'BGS PTY22 Cost Alloc'!$E$30</f>
        <v>2023 Forecasted Calendar Month Sales</v>
      </c>
      <c r="I30" s="9" t="s">
        <v>33</v>
      </c>
      <c r="J30" s="9"/>
      <c r="K30" s="9"/>
      <c r="L30" s="9"/>
      <c r="M30" s="9"/>
      <c r="N30" s="5"/>
      <c r="O30" s="9"/>
      <c r="P30" s="9"/>
      <c r="Q30" s="9" t="str">
        <f>'BGS PTY22 Cost Alloc'!Q30</f>
        <v>2023 Forecasted Calendar Month Sales</v>
      </c>
      <c r="R30" s="9" t="s">
        <v>33</v>
      </c>
      <c r="S30" s="9" t="s">
        <v>33</v>
      </c>
      <c r="T30" s="9" t="str">
        <f>'BGS PTY22 Cost Alloc'!T30</f>
        <v>2023 Forecasted Calendar Month Sales</v>
      </c>
      <c r="U30" s="9" t="s">
        <v>33</v>
      </c>
      <c r="V30" s="9"/>
      <c r="W30" s="9"/>
      <c r="X30" s="9"/>
      <c r="Y30" s="9"/>
      <c r="Z30" s="9"/>
    </row>
    <row r="31" spans="1:26" x14ac:dyDescent="0.6">
      <c r="A31" s="8"/>
      <c r="B31" s="10" t="s">
        <v>12</v>
      </c>
      <c r="C31" s="11"/>
      <c r="D31" s="11"/>
      <c r="E31" s="11" t="str">
        <f>+E$13</f>
        <v>RT{1}</v>
      </c>
      <c r="F31" s="11" t="str">
        <f>+F$13</f>
        <v>RS{2}</v>
      </c>
      <c r="G31" s="11" t="str">
        <f>+G$13</f>
        <v>GS{3}</v>
      </c>
      <c r="H31" s="11" t="str">
        <f>+H$13</f>
        <v>GST</v>
      </c>
      <c r="I31" s="11" t="str">
        <f>+I$13</f>
        <v>OL/SL</v>
      </c>
      <c r="J31" s="11"/>
      <c r="K31" s="11"/>
      <c r="L31" s="11"/>
      <c r="M31" s="11"/>
      <c r="N31" s="12"/>
      <c r="O31" s="11"/>
      <c r="P31" s="11"/>
      <c r="Q31" s="11" t="str">
        <f>+Q$13</f>
        <v>RT{1}</v>
      </c>
      <c r="R31" s="11" t="str">
        <f>+R$13</f>
        <v>RS{2}</v>
      </c>
      <c r="S31" s="11" t="str">
        <f>+S$13</f>
        <v>GS{3}</v>
      </c>
      <c r="T31" s="11" t="str">
        <f>+T$13</f>
        <v>GST</v>
      </c>
      <c r="U31" s="11" t="str">
        <f>+U$13</f>
        <v>OL/SL</v>
      </c>
      <c r="V31" s="11"/>
      <c r="W31" s="11"/>
      <c r="X31" s="11"/>
      <c r="Y31" s="11"/>
      <c r="Z31" s="11"/>
    </row>
    <row r="32" spans="1:26" x14ac:dyDescent="0.6">
      <c r="A32" s="8"/>
    </row>
    <row r="33" spans="1:26" x14ac:dyDescent="0.6">
      <c r="A33" s="8"/>
      <c r="B33" s="99" t="s">
        <v>18</v>
      </c>
      <c r="C33" s="112"/>
      <c r="D33" s="113"/>
      <c r="E33" s="52">
        <f>'BGS PTY22 Cost Alloc'!E33</f>
        <v>0.3579</v>
      </c>
      <c r="F33" s="112" t="s">
        <v>34</v>
      </c>
      <c r="G33" s="112" t="s">
        <v>34</v>
      </c>
      <c r="H33" s="52">
        <f>'BGS PTY22 Cost Alloc'!H33</f>
        <v>0.4158</v>
      </c>
      <c r="I33" s="112" t="s">
        <v>34</v>
      </c>
      <c r="J33" s="112"/>
      <c r="K33" s="112"/>
      <c r="L33" s="101"/>
      <c r="M33" s="100"/>
      <c r="N33" s="101"/>
      <c r="O33" s="101"/>
      <c r="P33" s="101"/>
      <c r="Q33" s="101">
        <f t="shared" ref="Q33:Q44" si="1">1-E33</f>
        <v>0.6421</v>
      </c>
      <c r="R33" s="101"/>
      <c r="S33" s="101"/>
      <c r="T33" s="101">
        <f t="shared" ref="T33:T44" si="2">1-H33</f>
        <v>0.58420000000000005</v>
      </c>
      <c r="U33" s="101"/>
      <c r="V33" s="101"/>
      <c r="W33" s="101"/>
      <c r="X33" s="101"/>
      <c r="Y33" s="101"/>
      <c r="Z33" s="101"/>
    </row>
    <row r="34" spans="1:26" x14ac:dyDescent="0.6">
      <c r="A34" s="8"/>
      <c r="B34" s="99" t="s">
        <v>19</v>
      </c>
      <c r="C34" s="112"/>
      <c r="D34" s="113"/>
      <c r="E34" s="52">
        <f>'BGS PTY22 Cost Alloc'!E34</f>
        <v>0.3508</v>
      </c>
      <c r="F34" s="112" t="s">
        <v>34</v>
      </c>
      <c r="G34" s="112" t="s">
        <v>34</v>
      </c>
      <c r="H34" s="52">
        <f>'BGS PTY22 Cost Alloc'!H34</f>
        <v>0.42</v>
      </c>
      <c r="I34" s="112" t="s">
        <v>34</v>
      </c>
      <c r="J34" s="112"/>
      <c r="K34" s="112"/>
      <c r="L34" s="101"/>
      <c r="M34" s="100"/>
      <c r="N34" s="101"/>
      <c r="O34" s="101"/>
      <c r="P34" s="101"/>
      <c r="Q34" s="101">
        <f t="shared" si="1"/>
        <v>0.6492</v>
      </c>
      <c r="R34" s="101"/>
      <c r="S34" s="101"/>
      <c r="T34" s="101">
        <f t="shared" si="2"/>
        <v>0.58000000000000007</v>
      </c>
      <c r="U34" s="101"/>
      <c r="V34" s="101"/>
      <c r="W34" s="101"/>
      <c r="X34" s="101"/>
      <c r="Y34" s="101"/>
      <c r="Z34" s="101"/>
    </row>
    <row r="35" spans="1:26" x14ac:dyDescent="0.6">
      <c r="A35" s="8"/>
      <c r="B35" s="99" t="s">
        <v>20</v>
      </c>
      <c r="C35" s="112"/>
      <c r="D35" s="113"/>
      <c r="E35" s="52">
        <f>'BGS PTY22 Cost Alloc'!E35</f>
        <v>0.35049999999999998</v>
      </c>
      <c r="F35" s="112" t="s">
        <v>34</v>
      </c>
      <c r="G35" s="112" t="s">
        <v>34</v>
      </c>
      <c r="H35" s="52">
        <f>'BGS PTY22 Cost Alloc'!H35</f>
        <v>0.42030000000000001</v>
      </c>
      <c r="I35" s="112" t="s">
        <v>34</v>
      </c>
      <c r="J35" s="112"/>
      <c r="K35" s="112"/>
      <c r="L35" s="101"/>
      <c r="M35" s="100"/>
      <c r="N35" s="101"/>
      <c r="O35" s="101"/>
      <c r="P35" s="101"/>
      <c r="Q35" s="101">
        <f t="shared" si="1"/>
        <v>0.64949999999999997</v>
      </c>
      <c r="R35" s="101"/>
      <c r="S35" s="101"/>
      <c r="T35" s="101">
        <f t="shared" si="2"/>
        <v>0.57969999999999999</v>
      </c>
      <c r="U35" s="101"/>
      <c r="V35" s="101"/>
      <c r="W35" s="101"/>
      <c r="X35" s="101"/>
      <c r="Y35" s="101"/>
      <c r="Z35" s="101"/>
    </row>
    <row r="36" spans="1:26" x14ac:dyDescent="0.6">
      <c r="A36" s="8"/>
      <c r="B36" s="99" t="s">
        <v>21</v>
      </c>
      <c r="C36" s="112"/>
      <c r="D36" s="113"/>
      <c r="E36" s="52">
        <f>'BGS PTY22 Cost Alloc'!E36</f>
        <v>0.35899999999999999</v>
      </c>
      <c r="F36" s="112" t="s">
        <v>34</v>
      </c>
      <c r="G36" s="112" t="s">
        <v>34</v>
      </c>
      <c r="H36" s="52">
        <f>'BGS PTY22 Cost Alloc'!H36</f>
        <v>0.4209</v>
      </c>
      <c r="I36" s="112" t="s">
        <v>34</v>
      </c>
      <c r="J36" s="112"/>
      <c r="K36" s="112"/>
      <c r="L36" s="101"/>
      <c r="M36" s="100"/>
      <c r="N36" s="101"/>
      <c r="O36" s="101"/>
      <c r="P36" s="101"/>
      <c r="Q36" s="101">
        <f t="shared" si="1"/>
        <v>0.64100000000000001</v>
      </c>
      <c r="R36" s="101"/>
      <c r="S36" s="101"/>
      <c r="T36" s="101">
        <f t="shared" si="2"/>
        <v>0.57909999999999995</v>
      </c>
      <c r="U36" s="101"/>
      <c r="V36" s="101"/>
      <c r="W36" s="101"/>
      <c r="X36" s="101"/>
      <c r="Y36" s="101"/>
      <c r="Z36" s="101"/>
    </row>
    <row r="37" spans="1:26" x14ac:dyDescent="0.6">
      <c r="A37" s="8"/>
      <c r="B37" s="99" t="s">
        <v>22</v>
      </c>
      <c r="C37" s="112"/>
      <c r="D37" s="113"/>
      <c r="E37" s="52">
        <f>'BGS PTY22 Cost Alloc'!E37</f>
        <v>0.37880000000000003</v>
      </c>
      <c r="F37" s="112" t="s">
        <v>34</v>
      </c>
      <c r="G37" s="112" t="s">
        <v>34</v>
      </c>
      <c r="H37" s="52">
        <f>'BGS PTY22 Cost Alloc'!H37</f>
        <v>0.43309999999999998</v>
      </c>
      <c r="I37" s="112" t="s">
        <v>34</v>
      </c>
      <c r="J37" s="112"/>
      <c r="K37" s="112"/>
      <c r="L37" s="101"/>
      <c r="M37" s="100"/>
      <c r="N37" s="101"/>
      <c r="O37" s="101"/>
      <c r="P37" s="101"/>
      <c r="Q37" s="101">
        <f t="shared" si="1"/>
        <v>0.62119999999999997</v>
      </c>
      <c r="R37" s="101"/>
      <c r="S37" s="101"/>
      <c r="T37" s="101">
        <f t="shared" si="2"/>
        <v>0.56689999999999996</v>
      </c>
      <c r="U37" s="101"/>
      <c r="V37" s="101"/>
      <c r="W37" s="101"/>
      <c r="X37" s="101"/>
      <c r="Y37" s="101"/>
      <c r="Z37" s="101"/>
    </row>
    <row r="38" spans="1:26" x14ac:dyDescent="0.6">
      <c r="A38" s="8"/>
      <c r="B38" s="99" t="s">
        <v>23</v>
      </c>
      <c r="C38" s="112"/>
      <c r="D38" s="113"/>
      <c r="E38" s="52">
        <f>'BGS PTY22 Cost Alloc'!E38</f>
        <v>0.40579999999999999</v>
      </c>
      <c r="F38" s="112" t="s">
        <v>34</v>
      </c>
      <c r="G38" s="112" t="s">
        <v>34</v>
      </c>
      <c r="H38" s="52">
        <f>'BGS PTY22 Cost Alloc'!H38</f>
        <v>0.44679999999999997</v>
      </c>
      <c r="I38" s="112" t="s">
        <v>34</v>
      </c>
      <c r="J38" s="112"/>
      <c r="K38" s="112"/>
      <c r="L38" s="101"/>
      <c r="M38" s="100"/>
      <c r="N38" s="101"/>
      <c r="O38" s="101"/>
      <c r="P38" s="101"/>
      <c r="Q38" s="101">
        <f t="shared" si="1"/>
        <v>0.59420000000000006</v>
      </c>
      <c r="R38" s="101"/>
      <c r="S38" s="101"/>
      <c r="T38" s="101">
        <f t="shared" si="2"/>
        <v>0.55320000000000003</v>
      </c>
      <c r="U38" s="101"/>
      <c r="V38" s="101"/>
      <c r="W38" s="101"/>
      <c r="X38" s="101"/>
      <c r="Y38" s="101"/>
      <c r="Z38" s="101"/>
    </row>
    <row r="39" spans="1:26" x14ac:dyDescent="0.6">
      <c r="A39" s="8"/>
      <c r="B39" s="99" t="s">
        <v>24</v>
      </c>
      <c r="C39" s="112"/>
      <c r="D39" s="113"/>
      <c r="E39" s="52">
        <f>'BGS PTY22 Cost Alloc'!E39</f>
        <v>0.42009999999999997</v>
      </c>
      <c r="F39" s="112" t="s">
        <v>34</v>
      </c>
      <c r="G39" s="112" t="s">
        <v>34</v>
      </c>
      <c r="H39" s="52">
        <f>'BGS PTY22 Cost Alloc'!H39</f>
        <v>0.45200000000000001</v>
      </c>
      <c r="I39" s="112" t="s">
        <v>34</v>
      </c>
      <c r="J39" s="112"/>
      <c r="K39" s="112"/>
      <c r="L39" s="101"/>
      <c r="M39" s="100"/>
      <c r="N39" s="101"/>
      <c r="O39" s="101"/>
      <c r="P39" s="101"/>
      <c r="Q39" s="101">
        <f t="shared" si="1"/>
        <v>0.57990000000000008</v>
      </c>
      <c r="R39" s="101"/>
      <c r="S39" s="101"/>
      <c r="T39" s="101">
        <f t="shared" si="2"/>
        <v>0.54800000000000004</v>
      </c>
      <c r="U39" s="101"/>
      <c r="V39" s="101"/>
      <c r="W39" s="101"/>
      <c r="X39" s="101"/>
      <c r="Y39" s="101"/>
      <c r="Z39" s="101"/>
    </row>
    <row r="40" spans="1:26" x14ac:dyDescent="0.6">
      <c r="A40" s="8"/>
      <c r="B40" s="99" t="s">
        <v>25</v>
      </c>
      <c r="C40" s="112"/>
      <c r="D40" s="113"/>
      <c r="E40" s="52">
        <f>'BGS PTY22 Cost Alloc'!E40</f>
        <v>0.4249</v>
      </c>
      <c r="F40" s="112" t="s">
        <v>34</v>
      </c>
      <c r="G40" s="112" t="s">
        <v>34</v>
      </c>
      <c r="H40" s="52">
        <f>'BGS PTY22 Cost Alloc'!H40</f>
        <v>0.4481</v>
      </c>
      <c r="I40" s="112" t="s">
        <v>34</v>
      </c>
      <c r="J40" s="112"/>
      <c r="K40" s="112"/>
      <c r="L40" s="101"/>
      <c r="M40" s="100"/>
      <c r="N40" s="101"/>
      <c r="O40" s="101"/>
      <c r="P40" s="101"/>
      <c r="Q40" s="101">
        <f t="shared" si="1"/>
        <v>0.57509999999999994</v>
      </c>
      <c r="R40" s="101"/>
      <c r="S40" s="101"/>
      <c r="T40" s="101">
        <f t="shared" si="2"/>
        <v>0.55190000000000006</v>
      </c>
      <c r="U40" s="101"/>
      <c r="V40" s="101"/>
      <c r="W40" s="101"/>
      <c r="X40" s="101"/>
      <c r="Y40" s="101"/>
      <c r="Z40" s="101"/>
    </row>
    <row r="41" spans="1:26" x14ac:dyDescent="0.6">
      <c r="A41" s="8"/>
      <c r="B41" s="99" t="s">
        <v>26</v>
      </c>
      <c r="C41" s="112"/>
      <c r="D41" s="113"/>
      <c r="E41" s="52">
        <f>'BGS PTY22 Cost Alloc'!E41</f>
        <v>0.4168</v>
      </c>
      <c r="F41" s="112" t="s">
        <v>34</v>
      </c>
      <c r="G41" s="112" t="s">
        <v>34</v>
      </c>
      <c r="H41" s="52">
        <f>'BGS PTY22 Cost Alloc'!H41</f>
        <v>0.4531</v>
      </c>
      <c r="I41" s="112" t="s">
        <v>34</v>
      </c>
      <c r="J41" s="112"/>
      <c r="K41" s="112"/>
      <c r="L41" s="101"/>
      <c r="M41" s="100"/>
      <c r="N41" s="101"/>
      <c r="O41" s="101"/>
      <c r="P41" s="101"/>
      <c r="Q41" s="101">
        <f t="shared" si="1"/>
        <v>0.58319999999999994</v>
      </c>
      <c r="R41" s="101"/>
      <c r="S41" s="101"/>
      <c r="T41" s="101">
        <f t="shared" si="2"/>
        <v>0.54689999999999994</v>
      </c>
      <c r="U41" s="101"/>
      <c r="V41" s="101"/>
      <c r="W41" s="101"/>
      <c r="X41" s="101"/>
      <c r="Y41" s="101"/>
      <c r="Z41" s="101"/>
    </row>
    <row r="42" spans="1:26" x14ac:dyDescent="0.6">
      <c r="A42" s="8"/>
      <c r="B42" s="99" t="s">
        <v>27</v>
      </c>
      <c r="C42" s="112"/>
      <c r="D42" s="113"/>
      <c r="E42" s="52">
        <f>'BGS PTY22 Cost Alloc'!E42</f>
        <v>0.38400000000000001</v>
      </c>
      <c r="F42" s="112" t="s">
        <v>34</v>
      </c>
      <c r="G42" s="112" t="s">
        <v>34</v>
      </c>
      <c r="H42" s="52">
        <f>'BGS PTY22 Cost Alloc'!H42</f>
        <v>0.44940000000000002</v>
      </c>
      <c r="I42" s="112" t="s">
        <v>34</v>
      </c>
      <c r="J42" s="112"/>
      <c r="K42" s="112"/>
      <c r="L42" s="101"/>
      <c r="M42" s="100"/>
      <c r="N42" s="101"/>
      <c r="O42" s="101"/>
      <c r="P42" s="101"/>
      <c r="Q42" s="101">
        <f t="shared" si="1"/>
        <v>0.61599999999999999</v>
      </c>
      <c r="R42" s="101"/>
      <c r="S42" s="101"/>
      <c r="T42" s="101">
        <f t="shared" si="2"/>
        <v>0.55059999999999998</v>
      </c>
      <c r="U42" s="101"/>
      <c r="V42" s="101"/>
      <c r="W42" s="101"/>
      <c r="X42" s="101"/>
      <c r="Y42" s="101"/>
      <c r="Z42" s="101"/>
    </row>
    <row r="43" spans="1:26" x14ac:dyDescent="0.6">
      <c r="A43" s="8"/>
      <c r="B43" s="99" t="s">
        <v>28</v>
      </c>
      <c r="C43" s="112"/>
      <c r="D43" s="113"/>
      <c r="E43" s="52">
        <f>'BGS PTY22 Cost Alloc'!E43</f>
        <v>0.3599</v>
      </c>
      <c r="F43" s="112" t="s">
        <v>34</v>
      </c>
      <c r="G43" s="112" t="s">
        <v>34</v>
      </c>
      <c r="H43" s="52">
        <f>'BGS PTY22 Cost Alloc'!H43</f>
        <v>0.44040000000000001</v>
      </c>
      <c r="I43" s="112" t="s">
        <v>34</v>
      </c>
      <c r="J43" s="112"/>
      <c r="K43" s="112"/>
      <c r="L43" s="101"/>
      <c r="M43" s="100"/>
      <c r="N43" s="101"/>
      <c r="O43" s="101"/>
      <c r="P43" s="101"/>
      <c r="Q43" s="101">
        <f t="shared" si="1"/>
        <v>0.6401</v>
      </c>
      <c r="R43" s="101"/>
      <c r="S43" s="101"/>
      <c r="T43" s="101">
        <f t="shared" si="2"/>
        <v>0.55959999999999999</v>
      </c>
      <c r="U43" s="101"/>
      <c r="V43" s="101"/>
      <c r="W43" s="101"/>
      <c r="X43" s="101"/>
      <c r="Y43" s="101"/>
      <c r="Z43" s="101"/>
    </row>
    <row r="44" spans="1:26" x14ac:dyDescent="0.6">
      <c r="A44" s="8"/>
      <c r="B44" s="99" t="s">
        <v>29</v>
      </c>
      <c r="C44" s="112"/>
      <c r="D44" s="113"/>
      <c r="E44" s="52">
        <f>'BGS PTY22 Cost Alloc'!E44</f>
        <v>0.35909999999999997</v>
      </c>
      <c r="F44" s="112" t="s">
        <v>34</v>
      </c>
      <c r="G44" s="112" t="s">
        <v>34</v>
      </c>
      <c r="H44" s="52">
        <f>'BGS PTY22 Cost Alloc'!H44</f>
        <v>0.42199999999999999</v>
      </c>
      <c r="I44" s="112" t="s">
        <v>34</v>
      </c>
      <c r="J44" s="112"/>
      <c r="K44" s="112"/>
      <c r="L44" s="101"/>
      <c r="M44" s="100"/>
      <c r="N44" s="101"/>
      <c r="O44" s="101"/>
      <c r="P44" s="101"/>
      <c r="Q44" s="101">
        <f t="shared" si="1"/>
        <v>0.64090000000000003</v>
      </c>
      <c r="R44" s="101"/>
      <c r="S44" s="101"/>
      <c r="T44" s="101">
        <f t="shared" si="2"/>
        <v>0.57800000000000007</v>
      </c>
      <c r="U44" s="101"/>
      <c r="V44" s="101"/>
      <c r="W44" s="101"/>
      <c r="X44" s="101"/>
      <c r="Y44" s="101"/>
      <c r="Z44" s="101"/>
    </row>
    <row r="45" spans="1:26" x14ac:dyDescent="0.6">
      <c r="A45" s="8"/>
      <c r="B45" s="99"/>
      <c r="C45" s="112"/>
      <c r="D45" s="112"/>
      <c r="E45" s="112"/>
      <c r="F45" s="112"/>
      <c r="G45" s="112"/>
      <c r="H45" s="112"/>
      <c r="I45" s="112"/>
      <c r="J45" s="112"/>
      <c r="K45" s="112"/>
      <c r="L45" s="101"/>
      <c r="M45" s="100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x14ac:dyDescent="0.6">
      <c r="A46" s="8"/>
      <c r="B46" s="114" t="s">
        <v>35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01"/>
      <c r="M46" s="100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x14ac:dyDescent="0.6">
      <c r="A47" s="8"/>
      <c r="B47" s="114" t="s">
        <v>36</v>
      </c>
      <c r="C47" s="101"/>
      <c r="D47" s="101"/>
      <c r="E47" s="101"/>
      <c r="F47" s="101"/>
      <c r="G47" s="101"/>
      <c r="H47" s="101"/>
      <c r="I47" s="45"/>
      <c r="J47" s="45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x14ac:dyDescent="0.6">
      <c r="A48" s="8"/>
      <c r="B48" s="114" t="s">
        <v>37</v>
      </c>
      <c r="C48" s="101"/>
      <c r="D48" s="101"/>
      <c r="E48" s="101"/>
      <c r="F48" s="101"/>
      <c r="G48" s="101"/>
      <c r="H48" s="101"/>
      <c r="I48" s="45"/>
      <c r="J48" s="45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33" x14ac:dyDescent="0.6">
      <c r="A49" s="8"/>
      <c r="B49" s="114" t="s">
        <v>38</v>
      </c>
      <c r="C49" s="101"/>
      <c r="D49" s="101"/>
      <c r="E49" s="101"/>
      <c r="F49" s="101"/>
      <c r="G49" s="101"/>
      <c r="H49" s="101"/>
      <c r="I49" s="45"/>
      <c r="J49" s="45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33" x14ac:dyDescent="0.6">
      <c r="A50" s="8"/>
      <c r="B50" s="114" t="s">
        <v>39</v>
      </c>
      <c r="C50" s="101"/>
      <c r="D50" s="101"/>
      <c r="E50" s="101"/>
      <c r="F50" s="101"/>
      <c r="G50" s="101"/>
      <c r="H50" s="101"/>
      <c r="I50" s="45"/>
      <c r="J50" s="45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33" x14ac:dyDescent="0.6">
      <c r="A51" s="8"/>
      <c r="B51" s="99"/>
      <c r="C51" s="101"/>
      <c r="D51" s="101"/>
      <c r="E51" s="101"/>
      <c r="F51" s="101"/>
      <c r="G51" s="101"/>
      <c r="H51" s="101"/>
      <c r="I51" s="45"/>
      <c r="J51" s="45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spans="1:33" ht="15.5" x14ac:dyDescent="0.7">
      <c r="A52" s="8"/>
      <c r="B52" s="340" t="str">
        <f>$B$1</f>
        <v xml:space="preserve">Jersey Central Power &amp; Light </v>
      </c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  <row r="53" spans="1:33" ht="15.5" x14ac:dyDescent="0.7">
      <c r="A53" s="8"/>
      <c r="B53" s="340" t="str">
        <f>$B$2</f>
        <v>Attachment 2</v>
      </c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spans="1:33" x14ac:dyDescent="0.6">
      <c r="A54" s="8"/>
      <c r="B54" s="99"/>
      <c r="C54" s="101"/>
      <c r="D54" s="101"/>
      <c r="E54" s="101"/>
      <c r="F54" s="101"/>
      <c r="G54" s="101"/>
      <c r="H54" s="101"/>
      <c r="I54" s="45"/>
      <c r="J54" s="45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33" x14ac:dyDescent="0.6">
      <c r="A55" s="8"/>
      <c r="B55" s="99"/>
      <c r="C55" s="101"/>
      <c r="D55" s="101"/>
      <c r="E55" s="101"/>
      <c r="F55" s="101"/>
      <c r="G55" s="101"/>
      <c r="H55" s="101"/>
      <c r="I55" s="45"/>
      <c r="J55" s="45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4" t="str">
        <f>'BGS PTY22 Cost Alloc'!Y55</f>
        <v>Forecast 2023 Delivery MWh</v>
      </c>
      <c r="X55" s="115"/>
      <c r="Y55" s="115"/>
      <c r="Z55" s="101"/>
    </row>
    <row r="56" spans="1:33" x14ac:dyDescent="0.6">
      <c r="A56" s="6" t="s">
        <v>40</v>
      </c>
      <c r="B56" s="14" t="s">
        <v>41</v>
      </c>
      <c r="E56" s="101"/>
      <c r="F56" s="101"/>
      <c r="G56" s="101"/>
      <c r="H56" s="101"/>
      <c r="I56" s="45"/>
      <c r="J56" s="45"/>
      <c r="O56" s="4"/>
      <c r="W56" s="4"/>
      <c r="X56" s="4"/>
      <c r="Z56" s="116" t="s">
        <v>42</v>
      </c>
    </row>
    <row r="57" spans="1:33" x14ac:dyDescent="0.6">
      <c r="A57" s="8"/>
      <c r="B57" s="15" t="str">
        <f>'BGS PTY22 Cost Alloc'!$B$57</f>
        <v>calendar month sales forecasted for 2023</v>
      </c>
      <c r="N57" s="117"/>
      <c r="O57" s="118"/>
      <c r="P57" s="118"/>
      <c r="Q57" s="118" t="s">
        <v>43</v>
      </c>
      <c r="R57" s="118"/>
      <c r="S57" s="118"/>
      <c r="T57" s="118"/>
      <c r="U57" s="119"/>
      <c r="W57" s="11" t="s">
        <v>44</v>
      </c>
    </row>
    <row r="58" spans="1:33" x14ac:dyDescent="0.6">
      <c r="A58" s="8"/>
      <c r="B58" s="5" t="s">
        <v>45</v>
      </c>
      <c r="C58" s="11"/>
      <c r="D58" s="11"/>
      <c r="E58" s="11" t="str">
        <f>+E$13</f>
        <v>RT{1}</v>
      </c>
      <c r="F58" s="11" t="str">
        <f>+F$13</f>
        <v>RS{2}</v>
      </c>
      <c r="G58" s="11" t="str">
        <f>+G$13</f>
        <v>GS{3}</v>
      </c>
      <c r="H58" s="11" t="s">
        <v>46</v>
      </c>
      <c r="I58" s="11" t="str">
        <f>+I$13</f>
        <v>OL/SL</v>
      </c>
      <c r="J58" s="11" t="s">
        <v>44</v>
      </c>
      <c r="K58" s="11"/>
      <c r="L58" s="11"/>
      <c r="M58" s="11" t="s">
        <v>47</v>
      </c>
      <c r="N58" s="16"/>
      <c r="O58" s="11"/>
      <c r="P58" s="11"/>
      <c r="Q58" s="11" t="str">
        <f>+Q$13</f>
        <v>RT{1}</v>
      </c>
      <c r="R58" s="11" t="str">
        <f>+R$13</f>
        <v>RS{2}</v>
      </c>
      <c r="S58" s="11" t="str">
        <f>+S$13</f>
        <v>GS{3}</v>
      </c>
      <c r="T58" s="11" t="str">
        <f>+T$13</f>
        <v>GST</v>
      </c>
      <c r="U58" s="17" t="str">
        <f>+U$13</f>
        <v>OL/SL</v>
      </c>
      <c r="V58" s="11"/>
      <c r="W58" s="11" t="s">
        <v>48</v>
      </c>
      <c r="X58" s="11" t="s">
        <v>49</v>
      </c>
      <c r="Y58" s="11" t="s">
        <v>50</v>
      </c>
      <c r="Z58" s="11" t="s">
        <v>51</v>
      </c>
      <c r="AA58" s="11" t="s">
        <v>52</v>
      </c>
      <c r="AB58" s="11" t="s">
        <v>53</v>
      </c>
      <c r="AC58" s="11" t="s">
        <v>54</v>
      </c>
      <c r="AD58" s="11" t="s">
        <v>54</v>
      </c>
      <c r="AG58" s="11"/>
    </row>
    <row r="59" spans="1:33" x14ac:dyDescent="0.6">
      <c r="A59" s="8"/>
      <c r="M59" s="4" t="s">
        <v>55</v>
      </c>
      <c r="N59" s="120"/>
      <c r="U59" s="121"/>
    </row>
    <row r="60" spans="1:33" x14ac:dyDescent="0.6">
      <c r="A60" s="8"/>
      <c r="B60" s="99" t="s">
        <v>18</v>
      </c>
      <c r="C60" s="122"/>
      <c r="D60" s="122"/>
      <c r="E60" s="122">
        <f>'BGS PTY22 Cost Alloc'!E60</f>
        <v>21737</v>
      </c>
      <c r="F60" s="122">
        <f>'BGS PTY22 Cost Alloc'!F60</f>
        <v>830631</v>
      </c>
      <c r="G60" s="122">
        <f>'BGS PTY22 Cost Alloc'!G60</f>
        <v>476277</v>
      </c>
      <c r="H60" s="122">
        <f>'BGS PTY22 Cost Alloc'!H60</f>
        <v>14624</v>
      </c>
      <c r="I60" s="122">
        <f>'BGS PTY22 Cost Alloc'!I60</f>
        <v>9753</v>
      </c>
      <c r="J60" s="122">
        <f t="shared" ref="J60:J72" si="3">SUM(E60:I60)</f>
        <v>1353022</v>
      </c>
      <c r="K60" s="122"/>
      <c r="L60" s="122"/>
      <c r="M60" s="122">
        <f t="shared" ref="M60:M71" si="4">E60-ROUND(SUM($W60/1000),0)</f>
        <v>20962</v>
      </c>
      <c r="N60" s="123" t="s">
        <v>56</v>
      </c>
      <c r="O60" s="124"/>
      <c r="P60" s="122"/>
      <c r="Q60" s="122">
        <f>SUM(E60:E64,E69:E71)</f>
        <v>130846</v>
      </c>
      <c r="R60" s="122">
        <f>SUM(F60:F64,F69:F71)</f>
        <v>5527172</v>
      </c>
      <c r="S60" s="122">
        <f>SUM(G60:G64,G69:G71)</f>
        <v>3504499</v>
      </c>
      <c r="T60" s="122">
        <f>SUM(H60:H64,H69:H71)</f>
        <v>102347</v>
      </c>
      <c r="U60" s="125">
        <f>SUM(I60:I64,I69:I71)</f>
        <v>78032</v>
      </c>
      <c r="V60" s="99">
        <f>'BGS PTY22 Cost Alloc'!V60</f>
        <v>44927</v>
      </c>
      <c r="W60" s="122">
        <f>'BGS PTY22 Cost Alloc'!W60</f>
        <v>775186.66666659992</v>
      </c>
      <c r="X60" s="122">
        <f>'BGS PTY22 Cost Alloc'!X60</f>
        <v>16773</v>
      </c>
      <c r="Y60" s="122">
        <f t="shared" ref="Y60:Y71" si="5">W60-X60</f>
        <v>758413.66666659992</v>
      </c>
      <c r="Z60" s="122">
        <f>'BGS PTY22 Cost Alloc'!Z60</f>
        <v>1779217.186677</v>
      </c>
      <c r="AA60" s="122">
        <f>'BGS PTY22 Cost Alloc'!AA60</f>
        <v>20961.6466553014</v>
      </c>
      <c r="AB60" s="122">
        <f>'BGS PTY22 Cost Alloc'!AB60</f>
        <v>828852.04053248593</v>
      </c>
      <c r="AC60" s="122">
        <f>'BGS PTY22 Cost Alloc'!AC60</f>
        <v>476293.90376343799</v>
      </c>
      <c r="AD60" s="122">
        <f>'BGS PTY22 Cost Alloc'!AD60</f>
        <v>533175.84776343801</v>
      </c>
      <c r="AG60" s="122"/>
    </row>
    <row r="61" spans="1:33" x14ac:dyDescent="0.6">
      <c r="A61" s="8"/>
      <c r="B61" s="99" t="s">
        <v>19</v>
      </c>
      <c r="C61" s="122"/>
      <c r="D61" s="122"/>
      <c r="E61" s="122">
        <f>'BGS PTY22 Cost Alloc'!E61</f>
        <v>21724</v>
      </c>
      <c r="F61" s="122">
        <f>'BGS PTY22 Cost Alloc'!F61</f>
        <v>791280</v>
      </c>
      <c r="G61" s="122">
        <f>'BGS PTY22 Cost Alloc'!G61</f>
        <v>464508</v>
      </c>
      <c r="H61" s="122">
        <f>'BGS PTY22 Cost Alloc'!H61</f>
        <v>14543</v>
      </c>
      <c r="I61" s="122">
        <f>'BGS PTY22 Cost Alloc'!I61</f>
        <v>9753</v>
      </c>
      <c r="J61" s="122">
        <f t="shared" si="3"/>
        <v>1301808</v>
      </c>
      <c r="K61" s="122"/>
      <c r="L61" s="122"/>
      <c r="M61" s="122">
        <f t="shared" si="4"/>
        <v>20997</v>
      </c>
      <c r="N61" s="123"/>
      <c r="O61" s="124"/>
      <c r="P61" s="126" t="s">
        <v>57</v>
      </c>
      <c r="Q61" s="122">
        <f>SUMPRODUCT(E33:E37,M60:M64)+SUMPRODUCT(E42:E44,M69:M71)</f>
        <v>45239.026299999998</v>
      </c>
      <c r="S61" s="127" t="s">
        <v>58</v>
      </c>
      <c r="T61" s="122">
        <f>SUMPRODUCT(H33:H37,H60:H64)+SUMPRODUCT(H42:H44,H69:H71)</f>
        <v>43702.025500000003</v>
      </c>
      <c r="U61" s="121">
        <f>T61/T60</f>
        <v>0.42699859790711991</v>
      </c>
      <c r="V61" s="99">
        <f>'BGS PTY22 Cost Alloc'!V61</f>
        <v>44958</v>
      </c>
      <c r="W61" s="122">
        <f>'BGS PTY22 Cost Alloc'!W61</f>
        <v>727049.66666670004</v>
      </c>
      <c r="X61" s="122">
        <f>'BGS PTY22 Cost Alloc'!X61</f>
        <v>16329</v>
      </c>
      <c r="Y61" s="122">
        <f t="shared" si="5"/>
        <v>710720.66666670004</v>
      </c>
      <c r="Z61" s="122">
        <f>'BGS PTY22 Cost Alloc'!Z61</f>
        <v>1803587.4535377</v>
      </c>
      <c r="AA61" s="122">
        <f>'BGS PTY22 Cost Alloc'!AA61</f>
        <v>20996.894169701798</v>
      </c>
      <c r="AB61" s="122">
        <f>'BGS PTY22 Cost Alloc'!AB61</f>
        <v>789476.49592749402</v>
      </c>
      <c r="AC61" s="122">
        <f>'BGS PTY22 Cost Alloc'!AC61</f>
        <v>464524.42941122002</v>
      </c>
      <c r="AD61" s="122">
        <f>'BGS PTY22 Cost Alloc'!AD61</f>
        <v>519753.48641121999</v>
      </c>
      <c r="AG61" s="122"/>
    </row>
    <row r="62" spans="1:33" x14ac:dyDescent="0.6">
      <c r="A62" s="8"/>
      <c r="B62" s="99" t="s">
        <v>20</v>
      </c>
      <c r="C62" s="122"/>
      <c r="D62" s="122"/>
      <c r="E62" s="122">
        <f>'BGS PTY22 Cost Alloc'!E62</f>
        <v>19819</v>
      </c>
      <c r="F62" s="122">
        <f>'BGS PTY22 Cost Alloc'!F62</f>
        <v>731324</v>
      </c>
      <c r="G62" s="122">
        <f>'BGS PTY22 Cost Alloc'!G62</f>
        <v>459199</v>
      </c>
      <c r="H62" s="122">
        <f>'BGS PTY22 Cost Alloc'!H62</f>
        <v>14902</v>
      </c>
      <c r="I62" s="122">
        <f>'BGS PTY22 Cost Alloc'!I62</f>
        <v>9753</v>
      </c>
      <c r="J62" s="122">
        <f t="shared" si="3"/>
        <v>1234997</v>
      </c>
      <c r="K62" s="122"/>
      <c r="L62" s="122"/>
      <c r="M62" s="122">
        <f t="shared" si="4"/>
        <v>19101</v>
      </c>
      <c r="N62" s="123"/>
      <c r="O62" s="124"/>
      <c r="P62" s="126" t="s">
        <v>59</v>
      </c>
      <c r="Q62" s="122">
        <f>SUMPRODUCT(Q33:Q37,M60:M64)+SUMPRODUCT(Q42:Q44,M69:M71)</f>
        <v>80332.973700000002</v>
      </c>
      <c r="S62" s="127" t="s">
        <v>60</v>
      </c>
      <c r="T62" s="122">
        <f>+T60-T61</f>
        <v>58644.974499999997</v>
      </c>
      <c r="U62" s="121"/>
      <c r="V62" s="99">
        <f>'BGS PTY22 Cost Alloc'!V62</f>
        <v>44986</v>
      </c>
      <c r="W62" s="122">
        <f>'BGS PTY22 Cost Alloc'!W62</f>
        <v>717810</v>
      </c>
      <c r="X62" s="122">
        <f>'BGS PTY22 Cost Alloc'!X62</f>
        <v>15567</v>
      </c>
      <c r="Y62" s="122">
        <f t="shared" si="5"/>
        <v>702243</v>
      </c>
      <c r="Z62" s="122">
        <f>'BGS PTY22 Cost Alloc'!Z62</f>
        <v>1567211.6019067001</v>
      </c>
      <c r="AA62" s="122">
        <f>'BGS PTY22 Cost Alloc'!AA62</f>
        <v>19100.9164618377</v>
      </c>
      <c r="AB62" s="122">
        <f>'BGS PTY22 Cost Alloc'!AB62</f>
        <v>729756.53727940703</v>
      </c>
      <c r="AC62" s="122">
        <f>'BGS PTY22 Cost Alloc'!AC62</f>
        <v>459215.28149496904</v>
      </c>
      <c r="AD62" s="122">
        <f>'BGS PTY22 Cost Alloc'!AD62</f>
        <v>515736.73449496902</v>
      </c>
      <c r="AG62" s="122"/>
    </row>
    <row r="63" spans="1:33" x14ac:dyDescent="0.6">
      <c r="A63" s="8"/>
      <c r="B63" s="99" t="s">
        <v>21</v>
      </c>
      <c r="C63" s="122"/>
      <c r="D63" s="122"/>
      <c r="E63" s="122">
        <f>'BGS PTY22 Cost Alloc'!E63</f>
        <v>15463</v>
      </c>
      <c r="F63" s="122">
        <f>'BGS PTY22 Cost Alloc'!F63</f>
        <v>626387</v>
      </c>
      <c r="G63" s="122">
        <f>'BGS PTY22 Cost Alloc'!G63</f>
        <v>426664</v>
      </c>
      <c r="H63" s="122">
        <f>'BGS PTY22 Cost Alloc'!H63</f>
        <v>12002</v>
      </c>
      <c r="I63" s="122">
        <f>'BGS PTY22 Cost Alloc'!I63</f>
        <v>9753</v>
      </c>
      <c r="J63" s="122">
        <f t="shared" si="3"/>
        <v>1090269</v>
      </c>
      <c r="K63" s="122"/>
      <c r="L63" s="122"/>
      <c r="M63" s="122">
        <f t="shared" si="4"/>
        <v>14760</v>
      </c>
      <c r="N63" s="120"/>
      <c r="P63" s="126" t="s">
        <v>61</v>
      </c>
      <c r="Q63" s="122">
        <f>SUM(W60:W64,W69:W71)/1000</f>
        <v>5274.0046993009</v>
      </c>
      <c r="U63" s="121"/>
      <c r="V63" s="99">
        <f>'BGS PTY22 Cost Alloc'!V63</f>
        <v>45017</v>
      </c>
      <c r="W63" s="122">
        <f>'BGS PTY22 Cost Alloc'!W63</f>
        <v>703354.66666660004</v>
      </c>
      <c r="X63" s="122">
        <f>'BGS PTY22 Cost Alloc'!X63</f>
        <v>15410</v>
      </c>
      <c r="Y63" s="122">
        <f t="shared" si="5"/>
        <v>687944.66666660004</v>
      </c>
      <c r="Z63" s="122">
        <f>'BGS PTY22 Cost Alloc'!Z63</f>
        <v>1136867.3307473999</v>
      </c>
      <c r="AA63" s="122">
        <f>'BGS PTY22 Cost Alloc'!AA63</f>
        <v>14759.780561416701</v>
      </c>
      <c r="AB63" s="122">
        <f>'BGS PTY22 Cost Alloc'!AB63</f>
        <v>625250.09678912896</v>
      </c>
      <c r="AC63" s="122">
        <f>'BGS PTY22 Cost Alloc'!AC63</f>
        <v>426678.98267302895</v>
      </c>
      <c r="AD63" s="122">
        <f>'BGS PTY22 Cost Alloc'!AD63</f>
        <v>483414.67567302898</v>
      </c>
      <c r="AG63" s="122"/>
    </row>
    <row r="64" spans="1:33" x14ac:dyDescent="0.6">
      <c r="A64" s="8"/>
      <c r="B64" s="99" t="s">
        <v>22</v>
      </c>
      <c r="C64" s="122"/>
      <c r="D64" s="122"/>
      <c r="E64" s="122">
        <f>'BGS PTY22 Cost Alloc'!E64</f>
        <v>12474</v>
      </c>
      <c r="F64" s="122">
        <f>'BGS PTY22 Cost Alloc'!F64</f>
        <v>571244</v>
      </c>
      <c r="G64" s="122">
        <f>'BGS PTY22 Cost Alloc'!G64</f>
        <v>392258</v>
      </c>
      <c r="H64" s="122">
        <f>'BGS PTY22 Cost Alloc'!H64</f>
        <v>9803</v>
      </c>
      <c r="I64" s="122">
        <f>'BGS PTY22 Cost Alloc'!I64</f>
        <v>9754</v>
      </c>
      <c r="J64" s="122">
        <f t="shared" si="3"/>
        <v>995533</v>
      </c>
      <c r="K64" s="122"/>
      <c r="L64" s="122"/>
      <c r="M64" s="122">
        <f t="shared" si="4"/>
        <v>11797</v>
      </c>
      <c r="N64" s="123" t="s">
        <v>62</v>
      </c>
      <c r="O64" s="124"/>
      <c r="P64" s="122"/>
      <c r="Q64" s="122">
        <f>+SUM(E65:E68)</f>
        <v>64447</v>
      </c>
      <c r="R64" s="122">
        <f>+SUM(F65:F68)</f>
        <v>3936305</v>
      </c>
      <c r="S64" s="122">
        <f>+SUM(G65:G68)</f>
        <v>2026419</v>
      </c>
      <c r="T64" s="122">
        <f>+SUM(H65:H68)</f>
        <v>50857</v>
      </c>
      <c r="U64" s="125">
        <f>+SUM(I65:I68)</f>
        <v>39017</v>
      </c>
      <c r="V64" s="99">
        <f>'BGS PTY22 Cost Alloc'!V64</f>
        <v>45047</v>
      </c>
      <c r="W64" s="122">
        <f>'BGS PTY22 Cost Alloc'!W64</f>
        <v>677439.37307890004</v>
      </c>
      <c r="X64" s="122">
        <f>'BGS PTY22 Cost Alloc'!X64</f>
        <v>16689.984105300002</v>
      </c>
      <c r="Y64" s="122">
        <f t="shared" si="5"/>
        <v>660749.3889736</v>
      </c>
      <c r="Z64" s="122">
        <f>'BGS PTY22 Cost Alloc'!Z64</f>
        <v>922909.67974469997</v>
      </c>
      <c r="AA64" s="122">
        <f>'BGS PTY22 Cost Alloc'!AA64</f>
        <v>11797.4620390653</v>
      </c>
      <c r="AB64" s="122">
        <f>'BGS PTY22 Cost Alloc'!AB64</f>
        <v>570321.48521926499</v>
      </c>
      <c r="AC64" s="122">
        <f>'BGS PTY22 Cost Alloc'!AC64</f>
        <v>392275.08711539698</v>
      </c>
      <c r="AD64" s="122">
        <f>'BGS PTY22 Cost Alloc'!AD64</f>
        <v>456323.161115397</v>
      </c>
      <c r="AG64" s="122"/>
    </row>
    <row r="65" spans="1:33" x14ac:dyDescent="0.6">
      <c r="A65" s="8"/>
      <c r="B65" s="99" t="s">
        <v>23</v>
      </c>
      <c r="C65" s="122"/>
      <c r="D65" s="122"/>
      <c r="E65" s="122">
        <f>'BGS PTY22 Cost Alloc'!E65</f>
        <v>13518</v>
      </c>
      <c r="F65" s="122">
        <f>'BGS PTY22 Cost Alloc'!F65</f>
        <v>723109</v>
      </c>
      <c r="G65" s="122">
        <f>'BGS PTY22 Cost Alloc'!G65</f>
        <v>458107</v>
      </c>
      <c r="H65" s="122">
        <f>'BGS PTY22 Cost Alloc'!H65</f>
        <v>11312</v>
      </c>
      <c r="I65" s="122">
        <f>'BGS PTY22 Cost Alloc'!I65</f>
        <v>9754</v>
      </c>
      <c r="J65" s="122">
        <f t="shared" si="3"/>
        <v>1215800</v>
      </c>
      <c r="K65" s="122"/>
      <c r="L65" s="122"/>
      <c r="M65" s="122">
        <f t="shared" si="4"/>
        <v>12884</v>
      </c>
      <c r="N65" s="123"/>
      <c r="O65" s="124"/>
      <c r="P65" s="128" t="s">
        <v>63</v>
      </c>
      <c r="Q65" s="122">
        <f>SUMPRODUCT(E38:E41,M65:M68)</f>
        <v>26016.642399999997</v>
      </c>
      <c r="R65" s="122">
        <f>'BGS PTY22 Cost Alloc'!R65</f>
        <v>2081168.3119226394</v>
      </c>
      <c r="S65" s="127" t="s">
        <v>58</v>
      </c>
      <c r="T65" s="122">
        <f>+SUMPRODUCT(H38:H41,H65:H68)</f>
        <v>22890.5242</v>
      </c>
      <c r="U65" s="129">
        <f>T65/T64</f>
        <v>0.45009584128045305</v>
      </c>
      <c r="V65" s="99">
        <f>'BGS PTY22 Cost Alloc'!V65</f>
        <v>45078</v>
      </c>
      <c r="W65" s="122">
        <f>'BGS PTY22 Cost Alloc'!W65</f>
        <v>633673.10451660003</v>
      </c>
      <c r="X65" s="122">
        <f>'BGS PTY22 Cost Alloc'!X65</f>
        <v>13661.020794700002</v>
      </c>
      <c r="Y65" s="122">
        <f t="shared" si="5"/>
        <v>620012.08372190001</v>
      </c>
      <c r="Z65" s="122">
        <f>'BGS PTY22 Cost Alloc'!Z65</f>
        <v>931798.00980260002</v>
      </c>
      <c r="AA65" s="122">
        <f>'BGS PTY22 Cost Alloc'!AA65</f>
        <v>11952.541498757901</v>
      </c>
      <c r="AB65" s="122">
        <f>'BGS PTY22 Cost Alloc'!AB65</f>
        <v>723109.30610346305</v>
      </c>
      <c r="AC65" s="122">
        <f>'BGS PTY22 Cost Alloc'!AC65</f>
        <v>458120.80625261203</v>
      </c>
      <c r="AD65" s="122">
        <f>'BGS PTY22 Cost Alloc'!AD65</f>
        <v>516518.22125261201</v>
      </c>
      <c r="AG65" s="122"/>
    </row>
    <row r="66" spans="1:33" x14ac:dyDescent="0.6">
      <c r="A66" s="8"/>
      <c r="B66" s="99" t="s">
        <v>24</v>
      </c>
      <c r="C66" s="122"/>
      <c r="D66" s="122"/>
      <c r="E66" s="122">
        <f>'BGS PTY22 Cost Alloc'!E66</f>
        <v>17081</v>
      </c>
      <c r="F66" s="122">
        <f>'BGS PTY22 Cost Alloc'!F66</f>
        <v>1061944</v>
      </c>
      <c r="G66" s="122">
        <f>'BGS PTY22 Cost Alloc'!G66</f>
        <v>516146</v>
      </c>
      <c r="H66" s="122">
        <f>'BGS PTY22 Cost Alloc'!H66</f>
        <v>13379</v>
      </c>
      <c r="I66" s="122">
        <f>'BGS PTY22 Cost Alloc'!I66</f>
        <v>9754</v>
      </c>
      <c r="J66" s="122">
        <f t="shared" si="3"/>
        <v>1618304</v>
      </c>
      <c r="K66" s="122"/>
      <c r="L66" s="122"/>
      <c r="M66" s="122">
        <f t="shared" si="4"/>
        <v>16533</v>
      </c>
      <c r="N66" s="123"/>
      <c r="O66" s="124"/>
      <c r="P66" s="128" t="s">
        <v>64</v>
      </c>
      <c r="Q66" s="122">
        <f>SUMPRODUCT(Q38:Q41,M65:M68)</f>
        <v>36277.357600000003</v>
      </c>
      <c r="R66" s="122">
        <f>'BGS PTY22 Cost Alloc'!R66</f>
        <v>1855136.6880773606</v>
      </c>
      <c r="S66" s="127" t="s">
        <v>60</v>
      </c>
      <c r="T66" s="122">
        <f>+T64-T65</f>
        <v>27966.4758</v>
      </c>
      <c r="U66" s="121"/>
      <c r="V66" s="99">
        <f>'BGS PTY22 Cost Alloc'!V66</f>
        <v>45108</v>
      </c>
      <c r="W66" s="122">
        <f>'BGS PTY22 Cost Alloc'!W66</f>
        <v>547556.57998099993</v>
      </c>
      <c r="X66" s="122">
        <f>'BGS PTY22 Cost Alloc'!X66</f>
        <v>12231.271228000001</v>
      </c>
      <c r="Y66" s="122">
        <f t="shared" si="5"/>
        <v>535325.30875299987</v>
      </c>
      <c r="Z66" s="122">
        <f>'BGS PTY22 Cost Alloc'!Z66</f>
        <v>1169850.3956394</v>
      </c>
      <c r="AA66" s="122">
        <f>'BGS PTY22 Cost Alloc'!AA66</f>
        <v>15363.8896208839</v>
      </c>
      <c r="AB66" s="122">
        <f>'BGS PTY22 Cost Alloc'!AB66</f>
        <v>1061943.7223306301</v>
      </c>
      <c r="AC66" s="122">
        <f>'BGS PTY22 Cost Alloc'!AC66</f>
        <v>516157.98113801394</v>
      </c>
      <c r="AD66" s="122">
        <f>'BGS PTY22 Cost Alloc'!AD66</f>
        <v>586717.35013801395</v>
      </c>
      <c r="AG66" s="122"/>
    </row>
    <row r="67" spans="1:33" x14ac:dyDescent="0.6">
      <c r="A67" s="8"/>
      <c r="B67" s="99" t="s">
        <v>25</v>
      </c>
      <c r="C67" s="122"/>
      <c r="D67" s="122"/>
      <c r="E67" s="122">
        <f>'BGS PTY22 Cost Alloc'!E67</f>
        <v>17728</v>
      </c>
      <c r="F67" s="122">
        <f>'BGS PTY22 Cost Alloc'!F67</f>
        <v>1136389</v>
      </c>
      <c r="G67" s="122">
        <f>'BGS PTY22 Cost Alloc'!G67</f>
        <v>548316</v>
      </c>
      <c r="H67" s="122">
        <f>'BGS PTY22 Cost Alloc'!H67</f>
        <v>13360</v>
      </c>
      <c r="I67" s="122">
        <f>'BGS PTY22 Cost Alloc'!I67</f>
        <v>9754</v>
      </c>
      <c r="J67" s="122">
        <f t="shared" si="3"/>
        <v>1725547</v>
      </c>
      <c r="K67" s="122"/>
      <c r="L67" s="122"/>
      <c r="M67" s="122">
        <f t="shared" si="4"/>
        <v>17243</v>
      </c>
      <c r="N67" s="130"/>
      <c r="O67" s="131"/>
      <c r="P67" s="126" t="s">
        <v>61</v>
      </c>
      <c r="Q67" s="122">
        <f>SUM(W65:W68)/1000</f>
        <v>2152.0655431923001</v>
      </c>
      <c r="R67" s="132"/>
      <c r="S67" s="131"/>
      <c r="T67" s="131"/>
      <c r="U67" s="133"/>
      <c r="V67" s="99">
        <f>'BGS PTY22 Cost Alloc'!V67</f>
        <v>45139</v>
      </c>
      <c r="W67" s="122">
        <f>'BGS PTY22 Cost Alloc'!W67</f>
        <v>485237.61095230002</v>
      </c>
      <c r="X67" s="122">
        <f>'BGS PTY22 Cost Alloc'!X67</f>
        <v>10069.392233</v>
      </c>
      <c r="Y67" s="122">
        <f t="shared" si="5"/>
        <v>475168.2187193</v>
      </c>
      <c r="Z67" s="122">
        <f>'BGS PTY22 Cost Alloc'!Z67</f>
        <v>1144838.6630997001</v>
      </c>
      <c r="AA67" s="122">
        <f>'BGS PTY22 Cost Alloc'!AA67</f>
        <v>16097.790328732901</v>
      </c>
      <c r="AB67" s="122">
        <f>'BGS PTY22 Cost Alloc'!AB67</f>
        <v>1136389.47848098</v>
      </c>
      <c r="AC67" s="122">
        <f>'BGS PTY22 Cost Alloc'!AC67</f>
        <v>548326.19832697499</v>
      </c>
      <c r="AD67" s="122">
        <f>'BGS PTY22 Cost Alloc'!AD67</f>
        <v>621281.39632697497</v>
      </c>
      <c r="AG67" s="122"/>
    </row>
    <row r="68" spans="1:33" x14ac:dyDescent="0.6">
      <c r="A68" s="8"/>
      <c r="B68" s="99" t="s">
        <v>26</v>
      </c>
      <c r="C68" s="122"/>
      <c r="D68" s="122"/>
      <c r="E68" s="122">
        <f>'BGS PTY22 Cost Alloc'!E68</f>
        <v>16120</v>
      </c>
      <c r="F68" s="122">
        <f>'BGS PTY22 Cost Alloc'!F68</f>
        <v>1014863</v>
      </c>
      <c r="G68" s="122">
        <f>'BGS PTY22 Cost Alloc'!G68</f>
        <v>503850</v>
      </c>
      <c r="H68" s="122">
        <f>'BGS PTY22 Cost Alloc'!H68</f>
        <v>12806</v>
      </c>
      <c r="I68" s="122">
        <f>'BGS PTY22 Cost Alloc'!I68</f>
        <v>9755</v>
      </c>
      <c r="J68" s="122">
        <f t="shared" si="3"/>
        <v>1557394</v>
      </c>
      <c r="K68" s="122"/>
      <c r="L68" s="122"/>
      <c r="M68" s="122">
        <f t="shared" si="4"/>
        <v>15634</v>
      </c>
      <c r="N68" s="117"/>
      <c r="O68" s="118"/>
      <c r="P68" s="118"/>
      <c r="Q68" s="118" t="s">
        <v>65</v>
      </c>
      <c r="R68" s="118"/>
      <c r="S68" s="118"/>
      <c r="T68" s="118"/>
      <c r="U68" s="119"/>
      <c r="V68" s="99">
        <f>'BGS PTY22 Cost Alloc'!V68</f>
        <v>45170</v>
      </c>
      <c r="W68" s="122">
        <f>'BGS PTY22 Cost Alloc'!W68</f>
        <v>485598.24774239998</v>
      </c>
      <c r="X68" s="122">
        <f>'BGS PTY22 Cost Alloc'!X68</f>
        <v>9940.5144476999994</v>
      </c>
      <c r="Y68" s="122">
        <f t="shared" si="5"/>
        <v>475657.73329469998</v>
      </c>
      <c r="Z68" s="122">
        <f>'BGS PTY22 Cost Alloc'!Z68</f>
        <v>1067243.2872257</v>
      </c>
      <c r="AA68" s="122">
        <f>'BGS PTY22 Cost Alloc'!AA68</f>
        <v>14566.509985743</v>
      </c>
      <c r="AB68" s="122">
        <f>'BGS PTY22 Cost Alloc'!AB68</f>
        <v>1014863.05470183</v>
      </c>
      <c r="AC68" s="122">
        <f>'BGS PTY22 Cost Alloc'!AC68</f>
        <v>503860.09486879804</v>
      </c>
      <c r="AD68" s="122">
        <f>'BGS PTY22 Cost Alloc'!AD68</f>
        <v>574691.07286879804</v>
      </c>
      <c r="AG68" s="122"/>
    </row>
    <row r="69" spans="1:33" x14ac:dyDescent="0.6">
      <c r="A69" s="8"/>
      <c r="B69" s="99" t="s">
        <v>27</v>
      </c>
      <c r="C69" s="122"/>
      <c r="D69" s="122"/>
      <c r="E69" s="122">
        <f>'BGS PTY22 Cost Alloc'!E69</f>
        <v>11336</v>
      </c>
      <c r="F69" s="122">
        <f>'BGS PTY22 Cost Alloc'!F69</f>
        <v>688787</v>
      </c>
      <c r="G69" s="122">
        <f>'BGS PTY22 Cost Alloc'!G69</f>
        <v>448325</v>
      </c>
      <c r="H69" s="122">
        <f>'BGS PTY22 Cost Alloc'!H69</f>
        <v>12663</v>
      </c>
      <c r="I69" s="122">
        <f>'BGS PTY22 Cost Alloc'!I69</f>
        <v>9755</v>
      </c>
      <c r="J69" s="122">
        <f t="shared" si="3"/>
        <v>1170866</v>
      </c>
      <c r="K69" s="122"/>
      <c r="L69" s="122"/>
      <c r="M69" s="122">
        <f t="shared" si="4"/>
        <v>10839</v>
      </c>
      <c r="N69" s="16"/>
      <c r="O69" s="11"/>
      <c r="P69" s="11"/>
      <c r="Q69" s="11" t="str">
        <f>+Q$13</f>
        <v>RT{1}</v>
      </c>
      <c r="R69" s="11"/>
      <c r="S69" s="11"/>
      <c r="T69" s="11" t="str">
        <f>+T$13</f>
        <v>GST</v>
      </c>
      <c r="U69" s="17"/>
      <c r="V69" s="99">
        <f>'BGS PTY22 Cost Alloc'!V69</f>
        <v>45200</v>
      </c>
      <c r="W69" s="122">
        <f>'BGS PTY22 Cost Alloc'!W69</f>
        <v>496544.46312099992</v>
      </c>
      <c r="X69" s="122">
        <f>'BGS PTY22 Cost Alloc'!X69</f>
        <v>13754.015775299998</v>
      </c>
      <c r="Y69" s="122">
        <f t="shared" si="5"/>
        <v>482790.44734569994</v>
      </c>
      <c r="Z69" s="122">
        <f>'BGS PTY22 Cost Alloc'!Z69</f>
        <v>853942.26917420002</v>
      </c>
      <c r="AA69" s="122">
        <f>'BGS PTY22 Cost Alloc'!AA69</f>
        <v>10839.209389539899</v>
      </c>
      <c r="AB69" s="122">
        <f>'BGS PTY22 Cost Alloc'!AB69</f>
        <v>687933.24885446706</v>
      </c>
      <c r="AC69" s="122">
        <f>'BGS PTY22 Cost Alloc'!AC69</f>
        <v>448339.39622732595</v>
      </c>
      <c r="AD69" s="122">
        <f>'BGS PTY22 Cost Alloc'!AD69</f>
        <v>509437.36722732597</v>
      </c>
      <c r="AG69" s="122"/>
    </row>
    <row r="70" spans="1:33" x14ac:dyDescent="0.6">
      <c r="A70" s="8"/>
      <c r="B70" s="99" t="s">
        <v>28</v>
      </c>
      <c r="C70" s="122"/>
      <c r="D70" s="122"/>
      <c r="E70" s="122">
        <f>'BGS PTY22 Cost Alloc'!E70</f>
        <v>11805</v>
      </c>
      <c r="F70" s="122">
        <f>'BGS PTY22 Cost Alloc'!F70</f>
        <v>588637</v>
      </c>
      <c r="G70" s="122">
        <f>'BGS PTY22 Cost Alloc'!G70</f>
        <v>405256</v>
      </c>
      <c r="H70" s="122">
        <f>'BGS PTY22 Cost Alloc'!H70</f>
        <v>11636</v>
      </c>
      <c r="I70" s="122">
        <f>'BGS PTY22 Cost Alloc'!I70</f>
        <v>9755</v>
      </c>
      <c r="J70" s="122">
        <f t="shared" si="3"/>
        <v>1027089</v>
      </c>
      <c r="K70" s="122"/>
      <c r="L70" s="122"/>
      <c r="M70" s="122">
        <f t="shared" si="4"/>
        <v>11254</v>
      </c>
      <c r="N70" s="120"/>
      <c r="U70" s="121"/>
      <c r="V70" s="99">
        <f>'BGS PTY22 Cost Alloc'!V70</f>
        <v>45231</v>
      </c>
      <c r="W70" s="122">
        <f>'BGS PTY22 Cost Alloc'!W70</f>
        <v>551029.81771500001</v>
      </c>
      <c r="X70" s="122">
        <f>'BGS PTY22 Cost Alloc'!X70</f>
        <v>12896.758878300001</v>
      </c>
      <c r="Y70" s="122">
        <f t="shared" si="5"/>
        <v>538133.05883670005</v>
      </c>
      <c r="Z70" s="122">
        <f>'BGS PTY22 Cost Alloc'!Z70</f>
        <v>988879.76956410008</v>
      </c>
      <c r="AA70" s="122">
        <f>'BGS PTY22 Cost Alloc'!AA70</f>
        <v>11253.687441919601</v>
      </c>
      <c r="AB70" s="122">
        <f>'BGS PTY22 Cost Alloc'!AB70</f>
        <v>587647.82375456207</v>
      </c>
      <c r="AC70" s="122">
        <f>'BGS PTY22 Cost Alloc'!AC70</f>
        <v>405268.76539500704</v>
      </c>
      <c r="AD70" s="122">
        <f>'BGS PTY22 Cost Alloc'!AD70</f>
        <v>463306.65239500703</v>
      </c>
      <c r="AE70">
        <f>'BGS PTY22 Cost Alloc'!AE70</f>
        <v>0</v>
      </c>
      <c r="AG70" s="122"/>
    </row>
    <row r="71" spans="1:33" x14ac:dyDescent="0.6">
      <c r="A71" s="8"/>
      <c r="B71" s="99" t="s">
        <v>29</v>
      </c>
      <c r="C71" s="122"/>
      <c r="D71" s="122"/>
      <c r="E71" s="122">
        <f>'BGS PTY22 Cost Alloc'!E71</f>
        <v>16488</v>
      </c>
      <c r="F71" s="122">
        <f>'BGS PTY22 Cost Alloc'!F71</f>
        <v>698882</v>
      </c>
      <c r="G71" s="122">
        <f>'BGS PTY22 Cost Alloc'!G71</f>
        <v>432012</v>
      </c>
      <c r="H71" s="122">
        <f>'BGS PTY22 Cost Alloc'!H71</f>
        <v>12174</v>
      </c>
      <c r="I71" s="122">
        <f>'BGS PTY22 Cost Alloc'!I71</f>
        <v>9756</v>
      </c>
      <c r="J71" s="122">
        <f t="shared" si="3"/>
        <v>1169312</v>
      </c>
      <c r="K71" s="122"/>
      <c r="L71" s="122"/>
      <c r="M71" s="122">
        <f t="shared" si="4"/>
        <v>15862</v>
      </c>
      <c r="N71" s="123"/>
      <c r="O71" s="124"/>
      <c r="P71" s="128" t="s">
        <v>66</v>
      </c>
      <c r="Q71" s="122">
        <f>SUM(E60:E64,E69:E71)</f>
        <v>130846</v>
      </c>
      <c r="R71" s="122"/>
      <c r="S71" s="128" t="s">
        <v>66</v>
      </c>
      <c r="T71" s="122">
        <f>SUM(H60:H64,H69:H71)</f>
        <v>102347</v>
      </c>
      <c r="U71" s="125"/>
      <c r="V71" s="99">
        <f>'BGS PTY22 Cost Alloc'!V71</f>
        <v>45261</v>
      </c>
      <c r="W71" s="122">
        <f>'BGS PTY22 Cost Alloc'!W71</f>
        <v>625590.04538609996</v>
      </c>
      <c r="X71" s="122">
        <f>'BGS PTY22 Cost Alloc'!X71</f>
        <v>13772.6687377</v>
      </c>
      <c r="Y71" s="122">
        <f t="shared" si="5"/>
        <v>611817.37664839998</v>
      </c>
      <c r="Z71" s="122">
        <f>'BGS PTY22 Cost Alloc'!Z71</f>
        <v>1394051.4240458999</v>
      </c>
      <c r="AA71" s="122">
        <f>'BGS PTY22 Cost Alloc'!AA71</f>
        <v>15861.6818067494</v>
      </c>
      <c r="AB71" s="122">
        <f>'BGS PTY22 Cost Alloc'!AB71</f>
        <v>697487.68002028798</v>
      </c>
      <c r="AC71" s="122">
        <f>'BGS PTY22 Cost Alloc'!AC71</f>
        <v>432025.72825334599</v>
      </c>
      <c r="AD71" s="122">
        <f>'BGS PTY22 Cost Alloc'!AD71</f>
        <v>489187.189253346</v>
      </c>
      <c r="AE71">
        <f>'BGS PTY22 Cost Alloc'!AE71</f>
        <v>0</v>
      </c>
      <c r="AG71" s="122"/>
    </row>
    <row r="72" spans="1:33" x14ac:dyDescent="0.6">
      <c r="A72" s="8"/>
      <c r="B72" s="134" t="s">
        <v>44</v>
      </c>
      <c r="C72" s="122"/>
      <c r="D72" s="122"/>
      <c r="E72" s="122">
        <f>SUM(E60:E71)</f>
        <v>195293</v>
      </c>
      <c r="F72" s="122">
        <f>SUM(F60:F71)</f>
        <v>9463477</v>
      </c>
      <c r="G72" s="122">
        <f>SUM(G60:G71)</f>
        <v>5530918</v>
      </c>
      <c r="H72" s="122">
        <f>SUM(H60:H71)</f>
        <v>153204</v>
      </c>
      <c r="I72" s="122">
        <f>SUM(I60:I71)</f>
        <v>117049</v>
      </c>
      <c r="J72" s="122">
        <f t="shared" si="3"/>
        <v>15459941</v>
      </c>
      <c r="K72" s="122"/>
      <c r="L72" s="122"/>
      <c r="M72" s="122">
        <f>SUM(M60:M71)</f>
        <v>187866</v>
      </c>
      <c r="N72" s="123"/>
      <c r="O72" s="124"/>
      <c r="P72" s="126" t="s">
        <v>67</v>
      </c>
      <c r="Q72" s="122">
        <f>SUMPRODUCT(E15:E19,E60:E64)+SUMPRODUCT(E24:E26,E69:E71)</f>
        <v>62022.930899999992</v>
      </c>
      <c r="R72">
        <f>Q72/Q71</f>
        <v>0.4740147264723415</v>
      </c>
      <c r="S72" s="126" t="s">
        <v>58</v>
      </c>
      <c r="T72" s="122">
        <f>SUMPRODUCT(H15:H19,H60:H64)+SUMPRODUCT(H24:H26,H69:H71)</f>
        <v>55211.250100000005</v>
      </c>
      <c r="U72" s="121">
        <f>T72/T71</f>
        <v>0.53945157259128262</v>
      </c>
      <c r="W72" s="122">
        <f t="shared" ref="W72:AD72" si="6">SUM(W60:W71)</f>
        <v>7426070.2424932001</v>
      </c>
      <c r="X72" s="122">
        <f t="shared" si="6"/>
        <v>167094.6262</v>
      </c>
      <c r="Y72" s="122">
        <f t="shared" si="6"/>
        <v>7258975.6162932003</v>
      </c>
      <c r="Z72" s="122">
        <f t="shared" si="6"/>
        <v>14760397.071165098</v>
      </c>
      <c r="AA72" s="122">
        <f t="shared" si="6"/>
        <v>183552.0099596495</v>
      </c>
      <c r="AB72" s="122">
        <f t="shared" si="6"/>
        <v>9453030.9699940011</v>
      </c>
      <c r="AC72" s="122">
        <f t="shared" si="6"/>
        <v>5531086.654920131</v>
      </c>
      <c r="AD72" s="122">
        <f t="shared" si="6"/>
        <v>6269543.154920131</v>
      </c>
      <c r="AE72">
        <f>'BGS PTY22 Cost Alloc'!AE72</f>
        <v>0</v>
      </c>
      <c r="AG72" s="122"/>
    </row>
    <row r="73" spans="1:33" x14ac:dyDescent="0.6">
      <c r="A73" s="8"/>
      <c r="B73" s="99"/>
      <c r="J73" s="135"/>
      <c r="N73" s="123"/>
      <c r="O73" s="124"/>
      <c r="P73" s="126" t="s">
        <v>68</v>
      </c>
      <c r="Q73" s="122">
        <f>+Q71-Q72</f>
        <v>68823.069100000008</v>
      </c>
      <c r="S73" s="126" t="s">
        <v>60</v>
      </c>
      <c r="T73" s="122">
        <f>+T71-T72</f>
        <v>47135.749899999995</v>
      </c>
      <c r="U73" s="121"/>
    </row>
    <row r="74" spans="1:33" ht="15.5" x14ac:dyDescent="0.7">
      <c r="A74" s="8"/>
      <c r="N74" s="120"/>
      <c r="U74" s="121"/>
      <c r="V74" s="127" t="s">
        <v>69</v>
      </c>
      <c r="W74" t="s">
        <v>70</v>
      </c>
      <c r="X74" t="s">
        <v>71</v>
      </c>
      <c r="Y74" t="s">
        <v>72</v>
      </c>
      <c r="Z74" t="s">
        <v>73</v>
      </c>
      <c r="AB74" t="s">
        <v>74</v>
      </c>
      <c r="AC74" t="s">
        <v>75</v>
      </c>
      <c r="AE74" s="2"/>
    </row>
    <row r="75" spans="1:33" x14ac:dyDescent="0.6">
      <c r="A75" s="6" t="s">
        <v>76</v>
      </c>
      <c r="B75" s="4" t="s">
        <v>77</v>
      </c>
      <c r="G75" s="18" t="s">
        <v>78</v>
      </c>
      <c r="H75" s="4" t="s">
        <v>79</v>
      </c>
      <c r="N75" s="123"/>
      <c r="O75" s="124"/>
      <c r="P75" s="126" t="s">
        <v>80</v>
      </c>
      <c r="Q75" s="122">
        <f>+SUM(E65:E68)</f>
        <v>64447</v>
      </c>
      <c r="R75" s="11"/>
      <c r="S75" s="126" t="s">
        <v>80</v>
      </c>
      <c r="T75" s="122">
        <f>+SUM(H65:H68)</f>
        <v>50857</v>
      </c>
      <c r="U75" s="17"/>
      <c r="V75" s="122">
        <f t="shared" ref="V75:V86" si="7">W60-W75</f>
        <v>299411.99999999988</v>
      </c>
      <c r="W75" s="122">
        <f t="shared" ref="W75:W86" si="8">SUM(X75:Z75)</f>
        <v>475774.66666660004</v>
      </c>
      <c r="X75" s="122">
        <f>'BGS PTY22 Cost Alloc'!X75</f>
        <v>13901.333333299999</v>
      </c>
      <c r="Y75" s="122">
        <f>'BGS PTY22 Cost Alloc'!Y75</f>
        <v>457026.33333330002</v>
      </c>
      <c r="Z75" s="122">
        <f>'BGS PTY22 Cost Alloc'!Z75</f>
        <v>4847</v>
      </c>
      <c r="AA75" s="122"/>
      <c r="AB75">
        <f t="shared" ref="AB75:AB86" si="9">(V75*$AA$94+W75*$AA$95)/1000</f>
        <v>170.98082951768555</v>
      </c>
      <c r="AC75">
        <f t="shared" ref="AC75:AC86" si="10">(W60/1000)-AB75</f>
        <v>604.20583714891427</v>
      </c>
    </row>
    <row r="76" spans="1:33" x14ac:dyDescent="0.6">
      <c r="A76" s="8"/>
      <c r="B76" s="5" t="s">
        <v>81</v>
      </c>
      <c r="H76" s="7" t="s">
        <v>82</v>
      </c>
      <c r="N76" s="123"/>
      <c r="O76" s="124"/>
      <c r="P76" s="126" t="s">
        <v>67</v>
      </c>
      <c r="Q76" s="122">
        <f>+SUMPRODUCT(E20:E23,E65:E68)</f>
        <v>33621.355499999998</v>
      </c>
      <c r="R76">
        <f>Q76/Q75</f>
        <v>0.52169000108616381</v>
      </c>
      <c r="S76" s="127" t="s">
        <v>58</v>
      </c>
      <c r="T76" s="122">
        <f>+SUMPRODUCT(H20:H23,H65:H68)</f>
        <v>28452.420699999995</v>
      </c>
      <c r="U76" s="121">
        <f>T76/T75</f>
        <v>0.55945928190809513</v>
      </c>
      <c r="V76" s="122">
        <f t="shared" si="7"/>
        <v>281872.33333340002</v>
      </c>
      <c r="W76" s="122">
        <f t="shared" si="8"/>
        <v>445177.33333330002</v>
      </c>
      <c r="X76" s="122">
        <f>'BGS PTY22 Cost Alloc'!X76</f>
        <v>12583.333333299999</v>
      </c>
      <c r="Y76" s="122">
        <f>'BGS PTY22 Cost Alloc'!Y76</f>
        <v>428147.33333330002</v>
      </c>
      <c r="Z76" s="122">
        <f>'BGS PTY22 Cost Alloc'!Z76</f>
        <v>4446.6666667</v>
      </c>
      <c r="AA76" s="122"/>
      <c r="AB76">
        <f t="shared" si="9"/>
        <v>160.18920558607905</v>
      </c>
      <c r="AC76">
        <f t="shared" si="10"/>
        <v>566.86046108062101</v>
      </c>
    </row>
    <row r="77" spans="1:33" x14ac:dyDescent="0.6">
      <c r="A77" s="8"/>
      <c r="C77" s="11" t="s">
        <v>83</v>
      </c>
      <c r="D77" s="11" t="s">
        <v>84</v>
      </c>
      <c r="E77" s="11" t="s">
        <v>83</v>
      </c>
      <c r="F77" s="11" t="s">
        <v>84</v>
      </c>
      <c r="G77" s="11"/>
      <c r="N77" s="136"/>
      <c r="O77" s="137"/>
      <c r="P77" s="138" t="s">
        <v>68</v>
      </c>
      <c r="Q77" s="132">
        <f>Q75-Q76</f>
        <v>30825.644500000002</v>
      </c>
      <c r="R77" s="131"/>
      <c r="S77" s="139" t="s">
        <v>60</v>
      </c>
      <c r="T77" s="132">
        <f>T75-T76</f>
        <v>22404.579300000005</v>
      </c>
      <c r="U77" s="133"/>
      <c r="V77" s="122">
        <f t="shared" si="7"/>
        <v>276958.66666660004</v>
      </c>
      <c r="W77" s="122">
        <f t="shared" si="8"/>
        <v>440851.33333339996</v>
      </c>
      <c r="X77" s="122">
        <f>'BGS PTY22 Cost Alloc'!X77</f>
        <v>12335.666666700001</v>
      </c>
      <c r="Y77" s="122">
        <f>'BGS PTY22 Cost Alloc'!Y77</f>
        <v>423918</v>
      </c>
      <c r="Z77" s="122">
        <f>'BGS PTY22 Cost Alloc'!Z77</f>
        <v>4597.6666667</v>
      </c>
      <c r="AA77" s="122"/>
      <c r="AB77">
        <f t="shared" si="9"/>
        <v>158.37369238401592</v>
      </c>
      <c r="AC77">
        <f t="shared" si="10"/>
        <v>559.43630761598399</v>
      </c>
      <c r="AD77" s="122">
        <f>SUM(AB65:AB68)</f>
        <v>3936305.5616169032</v>
      </c>
    </row>
    <row r="78" spans="1:33" x14ac:dyDescent="0.6">
      <c r="A78" s="8"/>
      <c r="C78" s="11" t="s">
        <v>85</v>
      </c>
      <c r="D78" s="11" t="s">
        <v>85</v>
      </c>
      <c r="E78" s="11" t="s">
        <v>86</v>
      </c>
      <c r="F78" s="11" t="s">
        <v>86</v>
      </c>
      <c r="H78" s="11" t="s">
        <v>85</v>
      </c>
      <c r="I78" s="11" t="s">
        <v>86</v>
      </c>
      <c r="N78" s="120"/>
      <c r="Q78" t="s">
        <v>87</v>
      </c>
      <c r="U78" s="121"/>
      <c r="V78" s="122">
        <f t="shared" si="7"/>
        <v>273712.66666660004</v>
      </c>
      <c r="W78" s="122">
        <f t="shared" si="8"/>
        <v>429642</v>
      </c>
      <c r="X78" s="122">
        <f>'BGS PTY22 Cost Alloc'!X78</f>
        <v>11813.666666700001</v>
      </c>
      <c r="Y78" s="122">
        <f>'BGS PTY22 Cost Alloc'!Y78</f>
        <v>413330.33333330002</v>
      </c>
      <c r="Z78" s="122">
        <f>'BGS PTY22 Cost Alloc'!Z78</f>
        <v>4498</v>
      </c>
      <c r="AA78" s="122"/>
      <c r="AB78">
        <f t="shared" si="9"/>
        <v>154.79871146214103</v>
      </c>
      <c r="AC78">
        <f t="shared" si="10"/>
        <v>548.555955204459</v>
      </c>
    </row>
    <row r="79" spans="1:33" x14ac:dyDescent="0.6">
      <c r="A79" s="8"/>
      <c r="B79" s="99" t="s">
        <v>18</v>
      </c>
      <c r="C79" s="140">
        <v>105.85</v>
      </c>
      <c r="D79" s="141">
        <f>ROUND(C79*$H$304,3)</f>
        <v>148.70699999999999</v>
      </c>
      <c r="E79" s="141">
        <v>35.018999999999998</v>
      </c>
      <c r="F79" s="141">
        <f>ROUND(E79*$H$304,3)</f>
        <v>49.197000000000003</v>
      </c>
      <c r="H79" s="45">
        <v>0.83790283790283804</v>
      </c>
      <c r="I79" s="45">
        <v>0.89894736842105261</v>
      </c>
      <c r="L79" s="122"/>
      <c r="N79" s="16"/>
      <c r="O79" s="11"/>
      <c r="P79" s="11"/>
      <c r="Q79" s="11" t="str">
        <f>+Q$13</f>
        <v>RT{1}</v>
      </c>
      <c r="R79" s="11"/>
      <c r="S79" s="11"/>
      <c r="T79" s="11" t="str">
        <f>+T$13</f>
        <v>GST</v>
      </c>
      <c r="U79" s="17"/>
      <c r="V79" s="122">
        <f t="shared" si="7"/>
        <v>274679.88255860005</v>
      </c>
      <c r="W79" s="122">
        <f t="shared" si="8"/>
        <v>402759.49052029999</v>
      </c>
      <c r="X79" s="122">
        <f>'BGS PTY22 Cost Alloc'!X79</f>
        <v>13513.913343300001</v>
      </c>
      <c r="Y79" s="122">
        <f>'BGS PTY22 Cost Alloc'!Y79</f>
        <v>385312.77243329998</v>
      </c>
      <c r="Z79" s="122">
        <f>'BGS PTY22 Cost Alloc'!Z79</f>
        <v>3932.8047437</v>
      </c>
      <c r="AA79" s="122"/>
      <c r="AB79">
        <f t="shared" si="9"/>
        <v>147.266988530665</v>
      </c>
      <c r="AC79">
        <f t="shared" si="10"/>
        <v>530.17238454823507</v>
      </c>
    </row>
    <row r="80" spans="1:33" x14ac:dyDescent="0.6">
      <c r="A80" s="8"/>
      <c r="B80" s="99" t="s">
        <v>19</v>
      </c>
      <c r="C80" s="140">
        <v>98.35</v>
      </c>
      <c r="D80" s="141">
        <f>ROUND(C80*$H$304,3)</f>
        <v>138.16999999999999</v>
      </c>
      <c r="E80" s="141">
        <v>33.005000000000003</v>
      </c>
      <c r="F80" s="141">
        <f>ROUND(E80*$H$304,3)</f>
        <v>46.368000000000002</v>
      </c>
      <c r="H80" s="45">
        <f>H79</f>
        <v>0.83790283790283804</v>
      </c>
      <c r="I80" s="45">
        <f>I79</f>
        <v>0.89894736842105261</v>
      </c>
      <c r="L80" s="40"/>
      <c r="N80" s="120"/>
      <c r="U80" s="121"/>
      <c r="V80" s="122">
        <f t="shared" si="7"/>
        <v>257161.95086800004</v>
      </c>
      <c r="W80" s="122">
        <f t="shared" si="8"/>
        <v>376511.15364859998</v>
      </c>
      <c r="X80" s="122">
        <f>'BGS PTY22 Cost Alloc'!X80</f>
        <v>10980.895570000001</v>
      </c>
      <c r="Y80" s="122">
        <f>'BGS PTY22 Cost Alloc'!Y80</f>
        <v>361940.82693330001</v>
      </c>
      <c r="Z80" s="122">
        <f>'BGS PTY22 Cost Alloc'!Z80</f>
        <v>3589.4311453</v>
      </c>
      <c r="AA80" s="122"/>
      <c r="AB80">
        <f t="shared" si="9"/>
        <v>137.71504644224945</v>
      </c>
      <c r="AC80">
        <f t="shared" si="10"/>
        <v>495.95805807435056</v>
      </c>
    </row>
    <row r="81" spans="1:29" x14ac:dyDescent="0.6">
      <c r="A81" s="8"/>
      <c r="B81" s="99" t="s">
        <v>20</v>
      </c>
      <c r="C81" s="140">
        <v>56.95</v>
      </c>
      <c r="D81" s="141">
        <f>ROUND(C81*$H$304,3)</f>
        <v>80.007999999999996</v>
      </c>
      <c r="E81" s="141">
        <v>26.766999999999999</v>
      </c>
      <c r="F81" s="141">
        <f>ROUND(E81*$H$304,3)</f>
        <v>37.603999999999999</v>
      </c>
      <c r="H81" s="45">
        <f>H79</f>
        <v>0.83790283790283804</v>
      </c>
      <c r="I81" s="45">
        <f>I79</f>
        <v>0.89894736842105261</v>
      </c>
      <c r="L81" s="40"/>
      <c r="N81" s="123"/>
      <c r="O81" s="124"/>
      <c r="P81" s="128" t="s">
        <v>88</v>
      </c>
      <c r="Q81" s="122"/>
      <c r="R81" s="122"/>
      <c r="S81" s="128" t="s">
        <v>88</v>
      </c>
      <c r="T81" s="122"/>
      <c r="U81" s="125"/>
      <c r="V81" s="122">
        <f t="shared" si="7"/>
        <v>225226.12628599996</v>
      </c>
      <c r="W81" s="122">
        <f t="shared" si="8"/>
        <v>322330.45369499997</v>
      </c>
      <c r="X81" s="122">
        <f>'BGS PTY22 Cost Alloc'!X81</f>
        <v>9636.0560153000006</v>
      </c>
      <c r="Y81" s="122">
        <f>'BGS PTY22 Cost Alloc'!Y81</f>
        <v>309522.31126669998</v>
      </c>
      <c r="Z81" s="122">
        <f>'BGS PTY22 Cost Alloc'!Z81</f>
        <v>3172.086413</v>
      </c>
      <c r="AA81" s="122"/>
      <c r="AB81">
        <f t="shared" si="9"/>
        <v>118.50118461189501</v>
      </c>
      <c r="AC81">
        <f t="shared" si="10"/>
        <v>429.05539536910487</v>
      </c>
    </row>
    <row r="82" spans="1:29" x14ac:dyDescent="0.6">
      <c r="A82" s="8"/>
      <c r="B82" s="99" t="s">
        <v>21</v>
      </c>
      <c r="C82" s="140">
        <v>50.35</v>
      </c>
      <c r="D82" s="141">
        <f>ROUND(C82*$H$304,3)</f>
        <v>70.736000000000004</v>
      </c>
      <c r="E82" s="141">
        <v>23.491</v>
      </c>
      <c r="F82" s="141">
        <f>ROUND(E82*$H$304,3)</f>
        <v>33.002000000000002</v>
      </c>
      <c r="H82" s="45">
        <f>H79</f>
        <v>0.83790283790283804</v>
      </c>
      <c r="I82" s="45">
        <f>I79</f>
        <v>0.89894736842105261</v>
      </c>
      <c r="L82" s="40"/>
      <c r="N82" s="123"/>
      <c r="O82" s="124"/>
      <c r="P82" s="126" t="s">
        <v>89</v>
      </c>
      <c r="Q82" s="122">
        <f>Q72-Q61</f>
        <v>16783.904599999994</v>
      </c>
      <c r="S82" s="126" t="s">
        <v>89</v>
      </c>
      <c r="T82" s="122">
        <f>T72-T61</f>
        <v>11509.224600000001</v>
      </c>
      <c r="U82" s="121"/>
      <c r="V82" s="122">
        <f t="shared" si="7"/>
        <v>199870.02928630006</v>
      </c>
      <c r="W82" s="122">
        <f t="shared" si="8"/>
        <v>285367.58166599995</v>
      </c>
      <c r="X82" s="122">
        <f>'BGS PTY22 Cost Alloc'!X82</f>
        <v>7676.6175767000004</v>
      </c>
      <c r="Y82" s="122">
        <f>'BGS PTY22 Cost Alloc'!Y82</f>
        <v>275257.51559999998</v>
      </c>
      <c r="Z82" s="122">
        <f>'BGS PTY22 Cost Alloc'!Z82</f>
        <v>2433.4484892999999</v>
      </c>
      <c r="AA82" s="122"/>
      <c r="AB82">
        <f t="shared" si="9"/>
        <v>104.96832313390131</v>
      </c>
      <c r="AC82">
        <f t="shared" si="10"/>
        <v>380.26928781839871</v>
      </c>
    </row>
    <row r="83" spans="1:29" x14ac:dyDescent="0.6">
      <c r="A83" s="8"/>
      <c r="B83" s="99" t="s">
        <v>22</v>
      </c>
      <c r="C83" s="140">
        <v>50.45</v>
      </c>
      <c r="D83" s="141">
        <f>ROUND(C83*$H$304,3)</f>
        <v>70.876000000000005</v>
      </c>
      <c r="E83" s="141">
        <v>23.885000000000002</v>
      </c>
      <c r="F83" s="141">
        <f>ROUND(E83*$H$304,3)</f>
        <v>33.555999999999997</v>
      </c>
      <c r="H83" s="45">
        <f>H79</f>
        <v>0.83790283790283804</v>
      </c>
      <c r="I83" s="45">
        <f>I79</f>
        <v>0.89894736842105261</v>
      </c>
      <c r="L83" s="40"/>
      <c r="N83" s="123"/>
      <c r="O83" s="124"/>
      <c r="P83" s="126" t="s">
        <v>90</v>
      </c>
      <c r="Q83" s="142">
        <f>Q82*(E117-E118)</f>
        <v>905333.89993413235</v>
      </c>
      <c r="S83" s="126" t="s">
        <v>90</v>
      </c>
      <c r="T83" s="142">
        <f>T82*(H117-H118)</f>
        <v>589698.31428267539</v>
      </c>
      <c r="U83" s="121"/>
      <c r="V83" s="122">
        <f t="shared" si="7"/>
        <v>203316.42216039996</v>
      </c>
      <c r="W83" s="122">
        <f t="shared" si="8"/>
        <v>282281.82558200002</v>
      </c>
      <c r="X83" s="122">
        <f>'BGS PTY22 Cost Alloc'!X83</f>
        <v>7506.4973339999997</v>
      </c>
      <c r="Y83" s="122">
        <f>'BGS PTY22 Cost Alloc'!Y83</f>
        <v>272721.06</v>
      </c>
      <c r="Z83" s="122">
        <f>'BGS PTY22 Cost Alloc'!Z83</f>
        <v>2054.2682479999999</v>
      </c>
      <c r="AA83" s="122"/>
      <c r="AB83">
        <f t="shared" si="9"/>
        <v>104.50084885738164</v>
      </c>
      <c r="AC83">
        <f t="shared" si="10"/>
        <v>381.09739888501832</v>
      </c>
    </row>
    <row r="84" spans="1:29" x14ac:dyDescent="0.6">
      <c r="A84" s="8"/>
      <c r="B84" s="102" t="s">
        <v>23</v>
      </c>
      <c r="C84" s="143">
        <v>59.3</v>
      </c>
      <c r="D84" s="144">
        <f>ROUND(C84*$H$303,3)</f>
        <v>92.236999999999995</v>
      </c>
      <c r="E84" s="144">
        <v>20.359000000000002</v>
      </c>
      <c r="F84" s="145">
        <f>ROUND(E84*$H$303,3)</f>
        <v>31.667000000000002</v>
      </c>
      <c r="H84" s="146">
        <v>0.83211115399459668</v>
      </c>
      <c r="I84" s="147">
        <v>0.89575402635431922</v>
      </c>
      <c r="L84" s="40"/>
      <c r="N84" s="120"/>
      <c r="Q84" s="148"/>
      <c r="T84" s="148"/>
      <c r="U84" s="121"/>
      <c r="V84" s="122">
        <f t="shared" si="7"/>
        <v>205807.63204129995</v>
      </c>
      <c r="W84" s="122">
        <f t="shared" si="8"/>
        <v>290736.83107969997</v>
      </c>
      <c r="X84" s="122">
        <f>'BGS PTY22 Cost Alloc'!X84</f>
        <v>11362.484463999999</v>
      </c>
      <c r="Y84" s="122">
        <f>'BGS PTY22 Cost Alloc'!Y84</f>
        <v>276538.9648667</v>
      </c>
      <c r="Z84" s="122">
        <f>'BGS PTY22 Cost Alloc'!Z84</f>
        <v>2835.3817490000001</v>
      </c>
      <c r="AA84" s="122"/>
      <c r="AB84">
        <f t="shared" si="9"/>
        <v>107.20249113507398</v>
      </c>
      <c r="AC84">
        <f t="shared" si="10"/>
        <v>389.34197198592597</v>
      </c>
    </row>
    <row r="85" spans="1:29" x14ac:dyDescent="0.6">
      <c r="A85" s="8"/>
      <c r="B85" s="106" t="s">
        <v>24</v>
      </c>
      <c r="C85" s="140">
        <v>77.45</v>
      </c>
      <c r="D85" s="141">
        <f>ROUND(C85*$H$303,3)</f>
        <v>120.468</v>
      </c>
      <c r="E85" s="141">
        <v>24.478000000000002</v>
      </c>
      <c r="F85" s="149">
        <f>ROUND(E85*$H$303,3)</f>
        <v>38.073999999999998</v>
      </c>
      <c r="H85" s="150">
        <f>H84</f>
        <v>0.83211115399459668</v>
      </c>
      <c r="I85" s="151">
        <f>I84</f>
        <v>0.89575402635431922</v>
      </c>
      <c r="L85" s="40"/>
      <c r="N85" s="123"/>
      <c r="O85" s="124"/>
      <c r="P85" s="126" t="s">
        <v>91</v>
      </c>
      <c r="Q85" s="148"/>
      <c r="R85" s="11"/>
      <c r="S85" s="126" t="s">
        <v>91</v>
      </c>
      <c r="T85" s="148"/>
      <c r="U85" s="17"/>
      <c r="V85" s="122">
        <f t="shared" si="7"/>
        <v>225816.15350270004</v>
      </c>
      <c r="W85" s="122">
        <f t="shared" si="8"/>
        <v>325213.66421229998</v>
      </c>
      <c r="X85" s="122">
        <f>'BGS PTY22 Cost Alloc'!X85</f>
        <v>10349.2439123</v>
      </c>
      <c r="Y85" s="122">
        <f>'BGS PTY22 Cost Alloc'!Y85</f>
        <v>311608.48533330002</v>
      </c>
      <c r="Z85" s="122">
        <f>'BGS PTY22 Cost Alloc'!Z85</f>
        <v>3255.9349667000001</v>
      </c>
      <c r="AA85" s="122"/>
      <c r="AB85">
        <f t="shared" si="9"/>
        <v>119.39156996455741</v>
      </c>
      <c r="AC85">
        <f t="shared" si="10"/>
        <v>431.63824775044264</v>
      </c>
    </row>
    <row r="86" spans="1:29" x14ac:dyDescent="0.6">
      <c r="A86" s="8"/>
      <c r="B86" s="106" t="s">
        <v>25</v>
      </c>
      <c r="C86" s="140">
        <v>68.599999999999994</v>
      </c>
      <c r="D86" s="141">
        <f>ROUND(C86*$H$303,3)</f>
        <v>106.703</v>
      </c>
      <c r="E86" s="141">
        <v>22.401</v>
      </c>
      <c r="F86" s="149">
        <f>ROUND(E86*$H$303,3)</f>
        <v>34.843000000000004</v>
      </c>
      <c r="H86" s="150">
        <f>H84</f>
        <v>0.83211115399459668</v>
      </c>
      <c r="I86" s="151">
        <f>I84</f>
        <v>0.89575402635431922</v>
      </c>
      <c r="L86" s="40"/>
      <c r="N86" s="123"/>
      <c r="O86" s="124"/>
      <c r="P86" s="126" t="s">
        <v>89</v>
      </c>
      <c r="Q86" s="122">
        <f>Q76-Q65</f>
        <v>7604.7131000000008</v>
      </c>
      <c r="S86" s="126" t="s">
        <v>89</v>
      </c>
      <c r="T86" s="122">
        <f>T76-T65</f>
        <v>5561.8964999999953</v>
      </c>
      <c r="U86" s="121"/>
      <c r="V86" s="122">
        <f t="shared" si="7"/>
        <v>250270.78271439997</v>
      </c>
      <c r="W86" s="122">
        <f t="shared" si="8"/>
        <v>375319.26267169998</v>
      </c>
      <c r="X86" s="122">
        <f>'BGS PTY22 Cost Alloc'!X86</f>
        <v>10297.922699999999</v>
      </c>
      <c r="Y86" s="122">
        <f>'BGS PTY22 Cost Alloc'!Y86</f>
        <v>360954.30176669999</v>
      </c>
      <c r="Z86" s="122">
        <f>'BGS PTY22 Cost Alloc'!Z86</f>
        <v>4067.0382049999998</v>
      </c>
      <c r="AA86" s="122"/>
      <c r="AB86">
        <f t="shared" si="9"/>
        <v>136.55562978046595</v>
      </c>
      <c r="AC86">
        <f t="shared" si="10"/>
        <v>489.03441560563402</v>
      </c>
    </row>
    <row r="87" spans="1:29" x14ac:dyDescent="0.6">
      <c r="A87" s="8"/>
      <c r="B87" s="108" t="s">
        <v>26</v>
      </c>
      <c r="C87" s="152">
        <v>55.65</v>
      </c>
      <c r="D87" s="153">
        <f>ROUND(C87*$H$303,3)</f>
        <v>86.56</v>
      </c>
      <c r="E87" s="153">
        <v>21.228999999999999</v>
      </c>
      <c r="F87" s="154">
        <f>ROUND(E87*$H$303,3)</f>
        <v>33.020000000000003</v>
      </c>
      <c r="H87" s="155">
        <f>H84</f>
        <v>0.83211115399459668</v>
      </c>
      <c r="I87" s="156">
        <f>I84</f>
        <v>0.89575402635431922</v>
      </c>
      <c r="L87" s="40"/>
      <c r="N87" s="136"/>
      <c r="O87" s="137"/>
      <c r="P87" s="138" t="s">
        <v>90</v>
      </c>
      <c r="Q87" s="157">
        <f>Q86*(E113-E114)</f>
        <v>462492.51962453529</v>
      </c>
      <c r="R87" s="131"/>
      <c r="S87" s="138" t="s">
        <v>90</v>
      </c>
      <c r="T87" s="157">
        <f>T86*(H113-H114)</f>
        <v>335269.36889345228</v>
      </c>
      <c r="U87" s="133"/>
      <c r="AA87" s="122"/>
    </row>
    <row r="88" spans="1:29" x14ac:dyDescent="0.6">
      <c r="A88" s="8"/>
      <c r="B88" s="99" t="s">
        <v>27</v>
      </c>
      <c r="C88" s="140">
        <v>49.8</v>
      </c>
      <c r="D88" s="141">
        <f>ROUND(C88*$H$304,3)</f>
        <v>69.962999999999994</v>
      </c>
      <c r="E88" s="141">
        <v>23.806000000000001</v>
      </c>
      <c r="F88" s="141">
        <f>ROUND(E88*$H$304,3)</f>
        <v>33.445</v>
      </c>
      <c r="H88" s="45">
        <f>H79</f>
        <v>0.83790283790283804</v>
      </c>
      <c r="I88" s="45">
        <f>I79</f>
        <v>0.89894736842105261</v>
      </c>
      <c r="L88" s="40"/>
    </row>
    <row r="89" spans="1:29" x14ac:dyDescent="0.6">
      <c r="A89" s="8"/>
      <c r="B89" s="99" t="s">
        <v>28</v>
      </c>
      <c r="C89" s="140">
        <v>52.9</v>
      </c>
      <c r="D89" s="141">
        <f>ROUND(C89*$H$304,3)</f>
        <v>74.317999999999998</v>
      </c>
      <c r="E89" s="141">
        <v>24.042999999999999</v>
      </c>
      <c r="F89" s="141">
        <f>ROUND(E89*$H$304,3)</f>
        <v>33.777999999999999</v>
      </c>
      <c r="H89" s="45">
        <f>H79</f>
        <v>0.83790283790283804</v>
      </c>
      <c r="I89" s="45">
        <f>I79</f>
        <v>0.89894736842105261</v>
      </c>
      <c r="L89" s="40"/>
    </row>
    <row r="90" spans="1:29" x14ac:dyDescent="0.6">
      <c r="A90" s="8"/>
      <c r="B90" s="99" t="s">
        <v>29</v>
      </c>
      <c r="C90" s="140">
        <v>69.95</v>
      </c>
      <c r="D90" s="141">
        <f>ROUND(C90*$H$304,3)</f>
        <v>98.271000000000001</v>
      </c>
      <c r="E90" s="141">
        <v>25.701000000000001</v>
      </c>
      <c r="F90" s="141">
        <f>ROUND(E90*$H$304,3)</f>
        <v>36.106999999999999</v>
      </c>
      <c r="G90" s="45"/>
      <c r="H90" s="45">
        <f>H79</f>
        <v>0.83790283790283804</v>
      </c>
      <c r="I90" s="45">
        <f>I79</f>
        <v>0.89894736842105261</v>
      </c>
      <c r="L90" s="40"/>
    </row>
    <row r="91" spans="1:29" x14ac:dyDescent="0.6">
      <c r="A91" s="8"/>
      <c r="B91" s="99"/>
      <c r="C91" s="140"/>
      <c r="D91" s="140"/>
      <c r="G91" s="45"/>
      <c r="K91" s="45"/>
      <c r="X91" t="s">
        <v>92</v>
      </c>
    </row>
    <row r="92" spans="1:29" x14ac:dyDescent="0.6">
      <c r="A92" s="6" t="s">
        <v>93</v>
      </c>
      <c r="B92" s="14" t="s">
        <v>94</v>
      </c>
      <c r="C92" s="11"/>
      <c r="D92" s="11"/>
      <c r="E92" s="11" t="str">
        <f>+E$13</f>
        <v>RT{1}</v>
      </c>
      <c r="F92" s="11" t="str">
        <f>+F$13</f>
        <v>RS{2}</v>
      </c>
      <c r="G92" s="11" t="str">
        <f>+G$13</f>
        <v>GS{3}</v>
      </c>
      <c r="H92" s="11" t="str">
        <f>+H$58</f>
        <v>GST {4}</v>
      </c>
      <c r="I92" s="11" t="str">
        <f>+I$13</f>
        <v>OL/SL</v>
      </c>
      <c r="J92" s="11"/>
      <c r="K92" s="11"/>
      <c r="L92" s="11"/>
      <c r="M92" s="11"/>
      <c r="X92" t="s">
        <v>95</v>
      </c>
      <c r="Y92" s="127" t="s">
        <v>44</v>
      </c>
      <c r="Z92" s="127" t="s">
        <v>44</v>
      </c>
      <c r="AA92" s="127" t="s">
        <v>96</v>
      </c>
    </row>
    <row r="93" spans="1:29" x14ac:dyDescent="0.6">
      <c r="A93" s="8"/>
      <c r="C93" s="127"/>
      <c r="D93" s="127"/>
      <c r="E93" s="127"/>
      <c r="F93" s="127"/>
      <c r="X93" s="19" t="s">
        <v>97</v>
      </c>
      <c r="Y93" s="20" t="s">
        <v>96</v>
      </c>
      <c r="Z93" s="20" t="s">
        <v>98</v>
      </c>
      <c r="AA93" s="20" t="s">
        <v>99</v>
      </c>
    </row>
    <row r="94" spans="1:29" x14ac:dyDescent="0.6">
      <c r="A94" s="8"/>
      <c r="B94" s="99" t="s">
        <v>100</v>
      </c>
      <c r="C94" s="158"/>
      <c r="D94" s="158"/>
      <c r="E94" s="158">
        <f>'BGS PTY22 Cost Alloc'!E94</f>
        <v>0.105545</v>
      </c>
      <c r="F94" s="158">
        <f>'BGS PTY22 Cost Alloc'!F94</f>
        <v>0.105545</v>
      </c>
      <c r="G94" s="158">
        <f>'BGS PTY22 Cost Alloc'!G94</f>
        <v>0.105545</v>
      </c>
      <c r="H94" s="158">
        <f>'BGS PTY22 Cost Alloc'!H94</f>
        <v>0.105545</v>
      </c>
      <c r="I94" s="158">
        <f>'BGS PTY22 Cost Alloc'!I94</f>
        <v>0.105545</v>
      </c>
      <c r="J94" s="158"/>
      <c r="K94" s="158"/>
      <c r="L94" s="158"/>
      <c r="M94" s="158"/>
      <c r="W94" t="s">
        <v>69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29" x14ac:dyDescent="0.6">
      <c r="A95" s="8"/>
      <c r="B95" t="s">
        <v>101</v>
      </c>
      <c r="C95" s="159"/>
      <c r="D95" s="159"/>
      <c r="E95" s="159">
        <f>1/(1-E94)</f>
        <v>1.1179992285805322</v>
      </c>
      <c r="F95" s="159">
        <f>1/(1-F94)</f>
        <v>1.1179992285805322</v>
      </c>
      <c r="G95" s="159">
        <f>1/(1-G94)</f>
        <v>1.1179992285805322</v>
      </c>
      <c r="H95" s="159">
        <f>1/(1-H94)</f>
        <v>1.1179992285805322</v>
      </c>
      <c r="I95" s="159">
        <f>1/(1-I94)</f>
        <v>1.1179992285805322</v>
      </c>
      <c r="J95" s="159"/>
      <c r="K95" s="159"/>
      <c r="L95" s="159"/>
      <c r="M95" s="159"/>
      <c r="W95" t="s">
        <v>102</v>
      </c>
      <c r="X95">
        <f>(9*23+10*29)/52</f>
        <v>9.5576923076923084</v>
      </c>
      <c r="Y95">
        <f>X95*365*5/7</f>
        <v>2491.8269230769229</v>
      </c>
      <c r="Z95">
        <f>365*24</f>
        <v>8760</v>
      </c>
      <c r="AA95">
        <f>Y95/Z95</f>
        <v>0.28445512820512819</v>
      </c>
    </row>
    <row r="96" spans="1:29" x14ac:dyDescent="0.6">
      <c r="A96" s="8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</row>
    <row r="97" spans="1:29" x14ac:dyDescent="0.6">
      <c r="A97" s="8"/>
      <c r="B97" t="s">
        <v>103</v>
      </c>
      <c r="C97" s="159"/>
      <c r="D97" s="159"/>
      <c r="E97" s="37">
        <f>ROUND(1-1/E98,6)</f>
        <v>9.7689999999999999E-2</v>
      </c>
      <c r="F97" s="37">
        <f t="shared" ref="F97:I97" si="11">ROUND(1-1/F98,6)</f>
        <v>9.7689999999999999E-2</v>
      </c>
      <c r="G97" s="37">
        <f t="shared" si="11"/>
        <v>9.7689999999999999E-2</v>
      </c>
      <c r="H97" s="37">
        <f t="shared" si="11"/>
        <v>9.7689999999999999E-2</v>
      </c>
      <c r="I97" s="37">
        <f t="shared" si="11"/>
        <v>9.7689999999999999E-2</v>
      </c>
      <c r="J97" s="159"/>
      <c r="K97" s="159"/>
      <c r="L97" s="159"/>
      <c r="M97" s="159"/>
    </row>
    <row r="98" spans="1:29" x14ac:dyDescent="0.6">
      <c r="A98" s="8"/>
      <c r="B98" t="s">
        <v>104</v>
      </c>
      <c r="C98" s="159"/>
      <c r="D98" s="159"/>
      <c r="E98" s="159">
        <v>1.1082660727725406</v>
      </c>
      <c r="F98" s="159">
        <v>1.1082660727725406</v>
      </c>
      <c r="G98" s="159">
        <v>1.1082660727725406</v>
      </c>
      <c r="H98" s="159">
        <v>1.1082660727725406</v>
      </c>
      <c r="I98" s="159">
        <v>1.1082660727725406</v>
      </c>
      <c r="J98" s="159"/>
      <c r="K98" s="159"/>
      <c r="L98" s="159"/>
      <c r="Q98" s="122"/>
      <c r="R98" s="122"/>
      <c r="S98" s="122"/>
      <c r="T98" s="122"/>
    </row>
    <row r="99" spans="1:29" x14ac:dyDescent="0.6">
      <c r="A99" s="8"/>
      <c r="C99" s="159"/>
      <c r="D99" s="159"/>
      <c r="E99" s="159" t="s">
        <v>3</v>
      </c>
      <c r="F99" s="159"/>
      <c r="G99" s="159"/>
      <c r="H99" s="159"/>
      <c r="I99" s="159"/>
      <c r="J99" s="159"/>
      <c r="K99" s="159"/>
      <c r="L99" s="159"/>
      <c r="Q99" s="122"/>
      <c r="R99" s="122"/>
      <c r="S99" s="122"/>
      <c r="T99" s="122"/>
    </row>
    <row r="100" spans="1:29" x14ac:dyDescent="0.6">
      <c r="A100" s="8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1:29" x14ac:dyDescent="0.6">
      <c r="A101" s="8"/>
      <c r="B101" s="114" t="s">
        <v>390</v>
      </c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1:29" x14ac:dyDescent="0.6">
      <c r="A102" s="8"/>
      <c r="B102" s="114" t="str">
        <f>'BGS PTY22 Cost Alloc'!$B$102</f>
        <v xml:space="preserve"> </v>
      </c>
    </row>
    <row r="103" spans="1:29" ht="15.5" x14ac:dyDescent="0.7">
      <c r="A103" s="8"/>
      <c r="B103" s="340" t="str">
        <f>$B$1</f>
        <v xml:space="preserve">Jersey Central Power &amp; Light </v>
      </c>
      <c r="C103" s="340"/>
      <c r="D103" s="340"/>
      <c r="E103" s="340"/>
      <c r="F103" s="340"/>
      <c r="G103" s="340"/>
      <c r="H103" s="340"/>
      <c r="I103" s="340"/>
      <c r="J103" s="340"/>
      <c r="K103" s="340"/>
      <c r="L103" s="340"/>
    </row>
    <row r="104" spans="1:29" ht="15.5" x14ac:dyDescent="0.7">
      <c r="A104" s="8"/>
      <c r="B104" s="340" t="str">
        <f>$B$2</f>
        <v>Attachment 2</v>
      </c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</row>
    <row r="105" spans="1:29" x14ac:dyDescent="0.6">
      <c r="A105" s="8"/>
    </row>
    <row r="106" spans="1:29" x14ac:dyDescent="0.6">
      <c r="A106" s="8"/>
    </row>
    <row r="107" spans="1:29" x14ac:dyDescent="0.6">
      <c r="A107" s="6" t="s">
        <v>105</v>
      </c>
      <c r="B107" s="4" t="s">
        <v>106</v>
      </c>
    </row>
    <row r="108" spans="1:29" x14ac:dyDescent="0.6">
      <c r="A108" s="8"/>
      <c r="B108" s="5" t="s">
        <v>107</v>
      </c>
      <c r="S108" s="158"/>
    </row>
    <row r="109" spans="1:29" x14ac:dyDescent="0.6">
      <c r="A109" s="8"/>
      <c r="B109" s="5" t="s">
        <v>81</v>
      </c>
      <c r="S109" s="160"/>
      <c r="AC109" s="161"/>
    </row>
    <row r="110" spans="1:29" x14ac:dyDescent="0.6">
      <c r="A110" s="8"/>
      <c r="B110" s="4"/>
      <c r="C110" s="11"/>
      <c r="D110" s="11"/>
      <c r="E110" s="11" t="str">
        <f>+E$13</f>
        <v>RT{1}</v>
      </c>
      <c r="F110" s="11" t="str">
        <f>+F$13</f>
        <v>RS{2}</v>
      </c>
      <c r="G110" s="11" t="str">
        <f>+G$13</f>
        <v>GS{3}</v>
      </c>
      <c r="H110" s="11" t="str">
        <f>+H$58</f>
        <v>GST {4}</v>
      </c>
      <c r="I110" s="11" t="str">
        <f>+I$13</f>
        <v>OL/SL</v>
      </c>
      <c r="J110" s="11"/>
      <c r="K110" s="11"/>
      <c r="L110" s="11"/>
      <c r="M110" s="11"/>
      <c r="N110" s="96"/>
      <c r="P110" s="127"/>
      <c r="W110" s="61"/>
      <c r="AC110" s="95"/>
    </row>
    <row r="111" spans="1:29" x14ac:dyDescent="0.6">
      <c r="A111" s="8"/>
      <c r="R111" s="126"/>
      <c r="S111" s="21"/>
      <c r="W111" s="11"/>
      <c r="X111" s="96"/>
      <c r="Z111" s="127"/>
    </row>
    <row r="112" spans="1:29" x14ac:dyDescent="0.6">
      <c r="A112" s="8"/>
      <c r="B112" s="99" t="s">
        <v>108</v>
      </c>
      <c r="C112" s="66"/>
      <c r="D112" s="66"/>
      <c r="E112" s="162">
        <f>(SUMPRODUCT(E20:E23,E65:E68,$D84:$D87,$H84:$H87)*E95+SUMPRODUCT(Q20:Q23,E65:E68,$F84:$F87,$I84:$I87)*E95)/SUM(E65:E68)</f>
        <v>66.336249231155634</v>
      </c>
      <c r="F112" s="162">
        <f>(SUMPRODUCT(F20:F23,F65:F68,$D84:$D87,$H84:$H87)*F95+SUMPRODUCT(R20:R23,F65:F68,$F84:$F87,$I84:$I87)*F95)/SUM(F65:F68)</f>
        <v>66.655810629225257</v>
      </c>
      <c r="G112" s="162">
        <f>(SUMPRODUCT(G20:G23,G65:G68,$D84:$D87,$H84:$H87)*G95+SUMPRODUCT(S20:S23,G65:G68,$F84:$F87,$I84:$I87)*G95)/SUM(G65:G68)</f>
        <v>69.755046534232179</v>
      </c>
      <c r="H112" s="162">
        <f>(SUMPRODUCT(H20:H23,H65:H68,$D84:$D87,$H84:$H87)*H95+SUMPRODUCT(T20:T23,H65:H68,$F84:$F87,$I84:$I87)*H95)/SUM(H65:H68)</f>
        <v>68.325592687881425</v>
      </c>
      <c r="I112" s="162">
        <f>(SUMPRODUCT(I20:I23,I65:I68,$D84:$D87,$H84:$H87)*I95+SUMPRODUCT(U20:U23,I65:I68,$F84:$F87,$I84:$I87)*I95)/SUM(I65:I68)</f>
        <v>52.656706202460747</v>
      </c>
      <c r="J112" s="163"/>
      <c r="K112" s="66"/>
      <c r="L112" s="66"/>
      <c r="M112" s="61"/>
      <c r="AB112" s="126"/>
      <c r="AC112" s="21"/>
    </row>
    <row r="113" spans="1:29" x14ac:dyDescent="0.6">
      <c r="A113" s="8"/>
      <c r="B113" s="164" t="s">
        <v>109</v>
      </c>
      <c r="C113" s="66"/>
      <c r="D113" s="66"/>
      <c r="E113" s="162">
        <f>(SUMPRODUCT(E20:E23,E65:E68,$D84:$D87,$H84:$H87)*E95)/SUMPRODUCT(E20:E23,E65:E68)</f>
        <v>95.42541980871087</v>
      </c>
      <c r="F113" s="162">
        <f>(SUMPRODUCT(F20:F23,F65:F68,$D84:$D87,$H84:$H87)*F95)/SUMPRODUCT(F20:F23,F65:F68)</f>
        <v>95.592167921344583</v>
      </c>
      <c r="G113" s="162">
        <f>(SUMPRODUCT(G20:G23,G65:G68,$D84:$D87,$H84:$H87)*G95)/SUMPRODUCT(G20:G23,G65:G68)</f>
        <v>94.755004382094526</v>
      </c>
      <c r="H113" s="162">
        <f>(SUMPRODUCT(H20:H23,H65:H68,$D84:$D87,$H84:$H87)*H95)/SUMPRODUCT(H20:H23,H65:H68)</f>
        <v>94.881248393905679</v>
      </c>
      <c r="I113" s="162">
        <f>(SUMPRODUCT(I20:I23,I65:I68,$D84:$D87,$H84:$H87)*I95)/SUMPRODUCT(I20:I23,I65:I68)</f>
        <v>94.148728442010437</v>
      </c>
      <c r="J113" s="163"/>
      <c r="K113" s="66"/>
      <c r="L113" s="66"/>
      <c r="M113" s="61"/>
      <c r="S113" s="95"/>
    </row>
    <row r="114" spans="1:29" x14ac:dyDescent="0.6">
      <c r="A114" s="8"/>
      <c r="B114" s="164" t="s">
        <v>110</v>
      </c>
      <c r="C114" s="66"/>
      <c r="D114" s="66"/>
      <c r="E114" s="162">
        <f>(SUMPRODUCT(Q20:Q23,E65:E68,$F84:$F87,$I84:$I87)*E95)/SUMPRODUCT(Q20:Q23,E65:E68)</f>
        <v>34.60885598271522</v>
      </c>
      <c r="F114" s="162">
        <f>(SUMPRODUCT(R20:R23,F65:F68,$F84:$F87,$I84:$I87)*F95)/SUMPRODUCT(R20:R23,F65:F68)</f>
        <v>34.710915457268598</v>
      </c>
      <c r="G114" s="162">
        <f>(SUMPRODUCT(S20:S23,G65:G68,$F84:$F87,$I84:$I87)*G95)/SUMPRODUCT(S20:S23,G65:G68)</f>
        <v>34.572651318117906</v>
      </c>
      <c r="H114" s="162">
        <f>(SUMPRODUCT(T20:T23,H65:H68,$F84:$F87,$I84:$I87)*H95)/SUMPRODUCT(T20:T23,H65:H68)</f>
        <v>34.601563417126165</v>
      </c>
      <c r="I114" s="162">
        <f>(SUMPRODUCT(U20:U23,I65:I68,$F84:$F87,$I84:$I87)*I95)/SUMPRODUCT(U20:U23,I65:I68)</f>
        <v>34.47157185036999</v>
      </c>
      <c r="J114" s="163"/>
      <c r="K114" s="66"/>
      <c r="L114" s="66"/>
      <c r="M114" s="11"/>
      <c r="N114" s="96"/>
      <c r="P114" s="127"/>
      <c r="W114" s="61"/>
      <c r="AC114" s="95"/>
    </row>
    <row r="115" spans="1:29" x14ac:dyDescent="0.6">
      <c r="A115" s="8"/>
      <c r="C115" s="49"/>
      <c r="D115" s="49"/>
      <c r="E115" s="165"/>
      <c r="F115" s="165"/>
      <c r="G115" s="165"/>
      <c r="H115" s="165"/>
      <c r="I115" s="165"/>
      <c r="J115" s="163"/>
      <c r="K115" s="49"/>
      <c r="L115" s="49"/>
      <c r="R115" s="126"/>
      <c r="S115" s="21"/>
      <c r="W115" s="11"/>
      <c r="X115" s="96"/>
      <c r="Z115" s="127"/>
    </row>
    <row r="116" spans="1:29" x14ac:dyDescent="0.6">
      <c r="A116" s="8"/>
      <c r="B116" s="99" t="s">
        <v>111</v>
      </c>
      <c r="C116" s="66"/>
      <c r="D116" s="66"/>
      <c r="E116" s="162">
        <f>(SUMPRODUCT(E15:E19,E60:E64,$D79:$D83,$H79:$H83)*E95+SUMPRODUCT(Q15:Q19,E60:E64,$F79:$F83,$I79:$I83)*E95+SUMPRODUCT(E24:E26,E69:E71,$D88:$D90,$H88:$H90)*E95+SUMPRODUCT(Q24:Q26,E69:E71,$F88:$F90,$I88:$I90)*E95)/SUM(E60:E64,E69:E71)</f>
        <v>64.987709588045291</v>
      </c>
      <c r="F116" s="162">
        <f>(SUMPRODUCT(F15:F19,F60:F64,$D79:$D83,$H79:$H83)*F95+SUMPRODUCT(R15:R19,F60:F64,$F79:$F83,$I79:$I83)*F95+SUMPRODUCT(F24:F26,F69:F71,$D88:$D90,$H88:$H90)*F95+SUMPRODUCT(R24:R26,F69:F71,$F88:$F90,$I88:$I90)*F95)/SUM(F60:F64,F69:F71)</f>
        <v>64.666670342107665</v>
      </c>
      <c r="G116" s="162">
        <f>(SUMPRODUCT(G15:G19,G60:G64,$D79:$D83,$H79:$H83)*G95+SUMPRODUCT(S15:S19,G60:G64,$F79:$F83,$I79:$I83)*G95+SUMPRODUCT(G24:G26,G69:G71,$D88:$D90,$H88:$H90)*G95+SUMPRODUCT(S24:S26,G69:G71,$F88:$F90,$I88:$I90)*G95)/SUM(G60:G64,G69:G71)</f>
        <v>67.206665676884057</v>
      </c>
      <c r="H116" s="162">
        <f>(SUMPRODUCT(H15:H19,H60:H64,$D79:$D83,$H79:$H83)*H95+SUMPRODUCT(T15:T19,H60:H64,$F79:$F83,$I79:$I83)*H95+SUMPRODUCT(H24:H26,H69:H71,$D88:$D90,$H88:$H90)*H95+SUMPRODUCT(T24:T26,H69:H71,$F88:$F90,$I88:$I90)*H95)/SUM(H60:H64,H69:H71)</f>
        <v>66.365218169930117</v>
      </c>
      <c r="I116" s="162">
        <f>(SUMPRODUCT(I15:I19,I60:I64,$D79:$D83,$H79:$H83)*I95+SUMPRODUCT(U15:U19,I60:I64,$F79:$F83,$I79:$I83)*I95+SUMPRODUCT(I24:I26,I69:I71,$D88:$D90,$H88:$H90)*I95+SUMPRODUCT(U24:U26,I69:I71,$F88:$F90,$I88:$I90)*I95)/SUM(I60:I64,I69:I71)</f>
        <v>54.038491222359063</v>
      </c>
      <c r="J116" s="163"/>
      <c r="K116" s="66"/>
      <c r="L116" s="66"/>
      <c r="M116" s="166"/>
      <c r="AB116" s="126"/>
      <c r="AC116" s="21"/>
    </row>
    <row r="117" spans="1:29" x14ac:dyDescent="0.6">
      <c r="A117" s="8"/>
      <c r="B117" s="164" t="s">
        <v>109</v>
      </c>
      <c r="C117" s="66"/>
      <c r="D117" s="66"/>
      <c r="E117" s="162">
        <f>(SUMPRODUCT(E15:E19,E60:E64,$D79:$D83,$H79:$H83)*E95+SUMPRODUCT(E24:E26,E69:E71,$D88:$D90,$H88:$H90)*E95)/(SUMPRODUCT(E15:E19,E60:E64)+SUMPRODUCT(E24:E26,E69:E71))</f>
        <v>93.359671318018229</v>
      </c>
      <c r="F117" s="162">
        <f>(SUMPRODUCT(F15:F19,F60:F64,$D79:$D83,$H79:$H83)*F95+SUMPRODUCT(F24:F26,F69:F71,$D88:$D90,$H88:$H90)*F95)/(SUMPRODUCT(F15:F19,F60:F64)+SUMPRODUCT(F24:F26,F69:F71))</f>
        <v>90.689964058439415</v>
      </c>
      <c r="G117" s="162">
        <f>(SUMPRODUCT(G15:G19,G60:G64,$D79:$D83,$H79:$H83)*G95+SUMPRODUCT(G24:G26,G69:G71,$D88:$D90,$H88:$H90)*G95)/(SUMPRODUCT(G15:G19,G60:G64)+SUMPRODUCT(G24:G26,G69:G71))</f>
        <v>88.613818401696975</v>
      </c>
      <c r="H117" s="162">
        <f>(SUMPRODUCT(H15:H19,H60:H64,$D79:$D83,$H79:$H83)*H95+SUMPRODUCT(H24:H26,H69:H71,$D88:$D90,$H88:$H90)*H95)/(SUMPRODUCT(H15:H19,H60:H64)+SUMPRODUCT(H24:H26,H69:H71))</f>
        <v>89.962344885873932</v>
      </c>
      <c r="I117" s="162">
        <f>(SUMPRODUCT(I15:I19,I60:I64,$D79:$D83,$H79:$H83)*I95+SUMPRODUCT(I24:I26,I69:I71,$D88:$D90,$H88:$H90)*I95)/(SUMPRODUCT(I15:I19,I60:I64)+SUMPRODUCT(I24:I26,I69:I71))</f>
        <v>88.075187849709636</v>
      </c>
      <c r="J117" s="163"/>
      <c r="K117" s="66"/>
      <c r="L117" s="66"/>
      <c r="M117" s="61"/>
      <c r="S117" s="95"/>
    </row>
    <row r="118" spans="1:29" x14ac:dyDescent="0.6">
      <c r="A118" s="8"/>
      <c r="B118" s="164" t="s">
        <v>110</v>
      </c>
      <c r="C118" s="66"/>
      <c r="D118" s="66"/>
      <c r="E118" s="162">
        <f>(SUMPRODUCT(Q15:Q19,E60:E64,$F79:$F83,$I79:$I83)*E95+SUMPRODUCT(Q24:Q26,E69:E71,$F88:$F90,$I88:$I90)*E95)/(SUMPRODUCT(Q15:Q19,E60:E64)+SUMPRODUCT(Q24:Q26,E69:E71))</f>
        <v>39.419070396458373</v>
      </c>
      <c r="F118" s="162">
        <f>(SUMPRODUCT(R15:R19,F60:F64,$F79:$F83,$I79:$I83)*F95+SUMPRODUCT(R24:R26,F69:F71,$F88:$F90,$I88:$I90)*F95)/(SUMPRODUCT(R15:R19,F60:F64)+SUMPRODUCT(R24:R26,F69:F71))</f>
        <v>38.792646326605549</v>
      </c>
      <c r="G118" s="162">
        <f>(SUMPRODUCT(S15:S19,G60:G64,$F79:$F83,$I79:$I83)*G95+SUMPRODUCT(S24:S26,G69:G71,$F88:$F90,$I88:$I90)*G95)/(SUMPRODUCT(S15:S19,G60:G64)+SUMPRODUCT(S24:S26,G69:G71))</f>
        <v>38.509348319522736</v>
      </c>
      <c r="H118" s="162">
        <f>(SUMPRODUCT(T15:T19,H60:H64,$F79:$F83,$I79:$I83)*H95+SUMPRODUCT(T24:T26,H69:H71,$F88:$F90,$I88:$I90)*H95)/(SUMPRODUCT(T15:T19,H60:H64)+SUMPRODUCT(T24:T26,H69:H71))</f>
        <v>38.725329815138814</v>
      </c>
      <c r="I118" s="162">
        <f>(SUMPRODUCT(U15:U19,I60:I64,$F79:$F83,$I79:$I83)*I95+SUMPRODUCT(U24:U26,I69:I71,$F88:$F90,$I88:$I90)*I95)/(SUMPRODUCT(U15:U19,I60:I64)+SUMPRODUCT(U24:U26,I69:I71))</f>
        <v>38.069873911927381</v>
      </c>
      <c r="J118" s="163"/>
      <c r="K118" s="66"/>
      <c r="L118" s="66"/>
      <c r="M118" s="11"/>
      <c r="N118" s="96"/>
      <c r="P118" s="127"/>
      <c r="W118" s="61"/>
      <c r="AC118" s="95"/>
    </row>
    <row r="119" spans="1:29" x14ac:dyDescent="0.6">
      <c r="A119" s="8"/>
      <c r="C119" s="49"/>
      <c r="D119" s="49"/>
      <c r="E119" s="165"/>
      <c r="F119" s="165"/>
      <c r="G119" s="165"/>
      <c r="H119" s="165"/>
      <c r="I119" s="165"/>
      <c r="J119" s="163"/>
      <c r="K119" s="49"/>
      <c r="L119" s="49"/>
      <c r="R119" s="126"/>
      <c r="S119" s="21"/>
      <c r="W119" s="11"/>
      <c r="X119" s="96"/>
      <c r="Z119" s="127"/>
    </row>
    <row r="120" spans="1:29" x14ac:dyDescent="0.6">
      <c r="A120" s="8"/>
      <c r="B120" t="s">
        <v>112</v>
      </c>
      <c r="C120" s="66"/>
      <c r="D120" s="49"/>
      <c r="E120" s="165">
        <f>(E112*SUM(E65:E68)+E116*SUM(E60:E64,E69:E71))/E72</f>
        <v>65.432729810887551</v>
      </c>
      <c r="F120" s="165">
        <f>(F112*SUM(F65:F68)+F116*SUM(F60:F64,F69:F71))/F72</f>
        <v>65.494047304917672</v>
      </c>
      <c r="G120" s="165">
        <f>(G112*SUM(G65:G68)+G116*SUM(G60:G64,G69:G71))/G72</f>
        <v>68.140342037402618</v>
      </c>
      <c r="H120" s="165">
        <f>(H112*SUM(H65:H68)+H116*SUM(H60:H64,H69:H71))/H72</f>
        <v>67.015976419450041</v>
      </c>
      <c r="I120" s="165">
        <f>(I112*SUM(I65:I68)+I116*SUM(I60:I64,I69:I71))/I72</f>
        <v>53.577888345603412</v>
      </c>
      <c r="J120" s="163"/>
      <c r="K120" s="49"/>
      <c r="L120" s="49"/>
      <c r="M120" s="61"/>
      <c r="AB120" s="126"/>
      <c r="AC120" s="21"/>
    </row>
    <row r="121" spans="1:29" x14ac:dyDescent="0.6">
      <c r="A121" s="8"/>
      <c r="C121" s="66"/>
      <c r="D121" s="49"/>
      <c r="E121" s="49"/>
      <c r="F121" s="49"/>
      <c r="G121" s="49"/>
      <c r="H121" s="49"/>
      <c r="I121" s="49"/>
      <c r="J121" s="49"/>
      <c r="K121" s="49"/>
      <c r="L121" s="49"/>
      <c r="M121" s="61"/>
      <c r="S121" s="95"/>
    </row>
    <row r="122" spans="1:29" x14ac:dyDescent="0.6">
      <c r="A122" s="8"/>
      <c r="B122" t="s">
        <v>113</v>
      </c>
      <c r="C122" s="66">
        <f>SUMPRODUCT(C120:I120,C72:I72)/SUM(C72:I72)</f>
        <v>66.364869220077537</v>
      </c>
      <c r="D122" s="49"/>
      <c r="E122" s="49"/>
      <c r="F122" s="49"/>
      <c r="G122" s="49"/>
      <c r="H122" s="49"/>
      <c r="I122" s="49"/>
      <c r="J122" s="49"/>
      <c r="K122" s="49"/>
      <c r="L122" s="49"/>
      <c r="M122" s="11"/>
      <c r="N122" s="96"/>
      <c r="P122" s="127"/>
      <c r="W122" s="61"/>
      <c r="AC122" s="95"/>
    </row>
    <row r="123" spans="1:29" x14ac:dyDescent="0.6">
      <c r="A123" s="8"/>
      <c r="C123" s="66"/>
      <c r="D123" s="49"/>
      <c r="E123" s="49"/>
      <c r="F123" s="49"/>
      <c r="G123" s="49"/>
      <c r="H123" s="49"/>
      <c r="I123" s="49"/>
      <c r="J123" s="49"/>
      <c r="K123" s="49"/>
      <c r="L123" s="49"/>
      <c r="R123" s="126"/>
      <c r="S123" s="21"/>
      <c r="W123" s="11"/>
      <c r="X123" s="96"/>
      <c r="Z123" s="127"/>
    </row>
    <row r="124" spans="1:29" x14ac:dyDescent="0.6">
      <c r="A124" s="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61"/>
      <c r="AB124" s="126"/>
      <c r="AC124" s="21"/>
    </row>
    <row r="125" spans="1:29" x14ac:dyDescent="0.6">
      <c r="A125" s="6" t="s">
        <v>114</v>
      </c>
      <c r="B125" s="4" t="s">
        <v>115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61"/>
      <c r="S125" s="95"/>
    </row>
    <row r="126" spans="1:29" x14ac:dyDescent="0.6">
      <c r="A126" s="8"/>
      <c r="B126" s="5" t="s">
        <v>116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11"/>
      <c r="N126" s="96"/>
      <c r="P126" s="127"/>
      <c r="W126" s="61"/>
      <c r="AC126" s="95"/>
    </row>
    <row r="127" spans="1:29" x14ac:dyDescent="0.6">
      <c r="A127" s="8"/>
      <c r="B127" s="5" t="s">
        <v>117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R127" s="126"/>
      <c r="S127" s="21"/>
      <c r="W127" s="11"/>
      <c r="X127" s="96"/>
      <c r="Z127" s="127"/>
    </row>
    <row r="128" spans="1:29" x14ac:dyDescent="0.6">
      <c r="A128" s="8"/>
      <c r="B128" s="4"/>
      <c r="C128" s="11"/>
      <c r="D128" s="11"/>
      <c r="E128" s="11" t="str">
        <f>+E$13</f>
        <v>RT{1}</v>
      </c>
      <c r="F128" s="11" t="str">
        <f>+F$13</f>
        <v>RS{2}</v>
      </c>
      <c r="G128" s="11" t="str">
        <f>+G$13</f>
        <v>GS{3}</v>
      </c>
      <c r="H128" s="11" t="str">
        <f>+H$58</f>
        <v>GST {4}</v>
      </c>
      <c r="I128" s="11" t="str">
        <f>+I$13</f>
        <v>OL/SL</v>
      </c>
      <c r="J128" s="11" t="s">
        <v>44</v>
      </c>
      <c r="K128" s="11"/>
      <c r="L128" s="11"/>
      <c r="M128" s="11"/>
      <c r="AB128" s="126"/>
      <c r="AC128" s="21"/>
    </row>
    <row r="129" spans="1:29" x14ac:dyDescent="0.6">
      <c r="A129" s="8"/>
      <c r="C129" s="148"/>
      <c r="M129" s="61"/>
      <c r="S129" s="95"/>
    </row>
    <row r="130" spans="1:29" x14ac:dyDescent="0.6">
      <c r="A130" s="8"/>
      <c r="B130" s="99" t="s">
        <v>108</v>
      </c>
      <c r="C130" s="163"/>
      <c r="D130" s="163"/>
      <c r="E130" s="163">
        <f>SUM(E65:E68)*E112/1000</f>
        <v>4275.1722542002872</v>
      </c>
      <c r="F130" s="163">
        <f>SUM(F65:F68)*F112/1000</f>
        <v>262377.60065887251</v>
      </c>
      <c r="G130" s="163">
        <f>SUM(G65:G68)*G112/1000</f>
        <v>141352.95164285225</v>
      </c>
      <c r="H130" s="163">
        <f>SUM(H65:H68)*H112/1000</f>
        <v>3474.8346673275855</v>
      </c>
      <c r="I130" s="163">
        <f>SUM(I65:I68)*I112/1000</f>
        <v>2054.5067059014109</v>
      </c>
      <c r="J130" s="163">
        <f>SUM(E130:I130)</f>
        <v>413535.06592915399</v>
      </c>
      <c r="K130" s="163"/>
      <c r="L130" s="163"/>
      <c r="M130" s="11"/>
      <c r="N130" s="96"/>
      <c r="P130" s="127"/>
      <c r="W130" s="61"/>
      <c r="AC130" s="95"/>
    </row>
    <row r="131" spans="1:29" x14ac:dyDescent="0.6">
      <c r="A131" s="8"/>
      <c r="B131" s="164" t="s">
        <v>109</v>
      </c>
      <c r="C131" s="163"/>
      <c r="D131" s="163"/>
      <c r="E131" s="163">
        <f>SUMPRODUCT(E65:E68,E20:E23)*E113/1000</f>
        <v>3208.3319631254099</v>
      </c>
      <c r="F131" s="163">
        <f>SUMPRODUCT(F65:F68,F20:F23)*F113/1000</f>
        <v>197437.18117366184</v>
      </c>
      <c r="G131" s="163">
        <f>SUMPRODUCT(G65:G68,G20:G23)*G113/1000</f>
        <v>112250.33442214764</v>
      </c>
      <c r="H131" s="163">
        <f>SUMPRODUCT(H65:H68,H20:H23)*H113/1000</f>
        <v>2699.6011958446034</v>
      </c>
      <c r="I131" s="163">
        <f>SUMPRODUCT(I65:I68,I20:I23)*I113/1000</f>
        <v>1119.3778892124408</v>
      </c>
      <c r="J131" s="163">
        <f>SUM(E131:I131)</f>
        <v>316714.82664399192</v>
      </c>
      <c r="K131" s="163"/>
      <c r="L131" s="163"/>
      <c r="R131" s="126"/>
      <c r="S131" s="21"/>
      <c r="W131" s="11"/>
      <c r="X131" s="96"/>
      <c r="Z131" s="127"/>
    </row>
    <row r="132" spans="1:29" x14ac:dyDescent="0.6">
      <c r="A132" s="8"/>
      <c r="B132" s="164" t="s">
        <v>110</v>
      </c>
      <c r="C132" s="163"/>
      <c r="D132" s="163"/>
      <c r="E132" s="163">
        <f>SUMPRODUCT(E65:E68,Q20:Q23)*E114/1000</f>
        <v>1066.8402910748775</v>
      </c>
      <c r="F132" s="163">
        <f>SUMPRODUCT(F65:F68,R20:R23)*F114/1000</f>
        <v>64940.419485210681</v>
      </c>
      <c r="G132" s="163">
        <f>SUMPRODUCT(G65:G68,S20:S23)*G114/1000</f>
        <v>29102.617220704607</v>
      </c>
      <c r="H132" s="163">
        <f>SUMPRODUCT(H65:H68,T20:T23)*H114/1000</f>
        <v>775.23347148298228</v>
      </c>
      <c r="I132" s="163">
        <f>SUMPRODUCT(I65:I68,U20:U23)*I114/1000</f>
        <v>935.12881668897012</v>
      </c>
      <c r="J132" s="163">
        <f>SUM(E132:I132)</f>
        <v>96820.239285162112</v>
      </c>
      <c r="K132" s="163"/>
      <c r="L132" s="163"/>
      <c r="M132" s="167"/>
      <c r="AB132" s="126"/>
      <c r="AC132" s="21"/>
    </row>
    <row r="133" spans="1:29" x14ac:dyDescent="0.6">
      <c r="A133" s="8"/>
      <c r="C133" s="23"/>
      <c r="D133" s="23"/>
      <c r="E133" s="23"/>
      <c r="F133" s="23"/>
      <c r="G133" s="23"/>
      <c r="H133" s="23"/>
      <c r="I133" s="23"/>
      <c r="J133" s="163"/>
      <c r="K133" s="23"/>
      <c r="L133" s="23"/>
      <c r="M133" s="61"/>
      <c r="S133" s="95"/>
    </row>
    <row r="134" spans="1:29" x14ac:dyDescent="0.6">
      <c r="A134" s="8"/>
      <c r="B134" s="99" t="s">
        <v>111</v>
      </c>
      <c r="C134" s="23"/>
      <c r="D134" s="23"/>
      <c r="E134" s="23">
        <f>SUM(E60:E64,E69:E71)*E116/1000</f>
        <v>8503.3818487573753</v>
      </c>
      <c r="F134" s="23">
        <f>SUM(F60:F64,F69:F71)*F116/1000</f>
        <v>357423.80964812794</v>
      </c>
      <c r="G134" s="23">
        <f>SUM(G60:G64,G69:G71)*G116/1000</f>
        <v>235525.69265797452</v>
      </c>
      <c r="H134" s="23">
        <f>SUM(H60:H64,H69:H71)*H116/1000</f>
        <v>6792.2809840378377</v>
      </c>
      <c r="I134" s="23">
        <f>SUM(I60:I64,I69:I71)*I116/1000</f>
        <v>4216.7315470631229</v>
      </c>
      <c r="J134" s="163">
        <f>SUM(E134:I134)</f>
        <v>612461.8966859607</v>
      </c>
      <c r="K134" s="23"/>
      <c r="L134" s="23"/>
      <c r="M134" s="11"/>
      <c r="N134" s="96"/>
      <c r="P134" s="127"/>
    </row>
    <row r="135" spans="1:29" x14ac:dyDescent="0.6">
      <c r="A135" s="8"/>
      <c r="B135" s="164" t="s">
        <v>109</v>
      </c>
      <c r="C135" s="163"/>
      <c r="D135" s="163"/>
      <c r="E135" s="163">
        <f>(SUMPRODUCT(E60:E64,E15:E19)+SUMPRODUCT(E69:E71,E24:E26))*E117/1000</f>
        <v>5790.4404430041559</v>
      </c>
      <c r="F135" s="163">
        <f>(SUMPRODUCT(F60:F64,F15:F19)+SUMPRODUCT(F69:F71,F24:F26))*F117/1000</f>
        <v>249908.64167328141</v>
      </c>
      <c r="G135" s="163">
        <f>(SUMPRODUCT(G60:G64,G15:G19)+SUMPRODUCT(G69:G71,G24:G26))*G117/1000</f>
        <v>177865.70516640702</v>
      </c>
      <c r="H135" s="163">
        <f>(SUMPRODUCT(H60:H64,H15:H19)+SUMPRODUCT(H69:H71,H24:H26))*H117/1000</f>
        <v>4966.9335230764418</v>
      </c>
      <c r="I135" s="163">
        <f>(SUMPRODUCT(I60:I64,I15:I19)+SUMPRODUCT(I69:I71,I24:I26))*I117/1000</f>
        <v>2194.7116618495174</v>
      </c>
      <c r="J135" s="163">
        <f>SUM(E135:I135)</f>
        <v>440726.43246761861</v>
      </c>
      <c r="K135" s="163"/>
      <c r="L135" s="163"/>
      <c r="R135" s="126"/>
      <c r="S135" s="21"/>
    </row>
    <row r="136" spans="1:29" x14ac:dyDescent="0.6">
      <c r="A136" s="8"/>
      <c r="B136" s="164" t="s">
        <v>110</v>
      </c>
      <c r="C136" s="163"/>
      <c r="D136" s="163"/>
      <c r="E136" s="163">
        <f>+(SUMPRODUCT(E60:E64,Q15:Q19)+SUMPRODUCT(E69:E71,Q24:Q26))*E118/1000</f>
        <v>2712.9414057532185</v>
      </c>
      <c r="F136" s="163">
        <f>+(SUMPRODUCT(F60:F64,R15:R19)+SUMPRODUCT(F69:F71,R24:R26))*F118/1000</f>
        <v>107515.16797484652</v>
      </c>
      <c r="G136" s="163">
        <f>+(SUMPRODUCT(G60:G64,S15:S19)+SUMPRODUCT(G69:G71,S24:S26))*G118/1000</f>
        <v>57659.987491567474</v>
      </c>
      <c r="H136" s="163">
        <f>+(SUMPRODUCT(H60:H64,T15:T19)+SUMPRODUCT(H69:H71,T24:T26))*H118/1000</f>
        <v>1825.3474609613961</v>
      </c>
      <c r="I136" s="163">
        <f>+(SUMPRODUCT(I60:I64,U15:U19)+SUMPRODUCT(I69:I71,U24:U26))*I118/1000</f>
        <v>2022.0198852136048</v>
      </c>
      <c r="J136" s="163">
        <f>SUM(E136:I136)</f>
        <v>171735.46421834221</v>
      </c>
      <c r="K136" s="163"/>
      <c r="L136" s="163"/>
      <c r="M136" s="167"/>
    </row>
    <row r="137" spans="1:29" x14ac:dyDescent="0.6">
      <c r="A137" s="8"/>
      <c r="C137" s="49"/>
      <c r="D137" s="49"/>
      <c r="E137" s="49"/>
      <c r="F137" s="49"/>
      <c r="G137" s="49"/>
      <c r="H137" s="49"/>
      <c r="I137" s="49"/>
      <c r="J137" s="163"/>
      <c r="K137" s="49"/>
      <c r="L137" s="49"/>
      <c r="M137" s="61"/>
      <c r="S137" s="95"/>
    </row>
    <row r="138" spans="1:29" x14ac:dyDescent="0.6">
      <c r="A138" s="8"/>
      <c r="B138" t="s">
        <v>112</v>
      </c>
      <c r="C138" s="23"/>
      <c r="D138" s="23"/>
      <c r="E138" s="23">
        <f>+E130+E134</f>
        <v>12778.554102957663</v>
      </c>
      <c r="F138" s="23">
        <f>+F130+F134</f>
        <v>619801.41030700039</v>
      </c>
      <c r="G138" s="23">
        <f>+G130+G134</f>
        <v>376878.64430082677</v>
      </c>
      <c r="H138" s="23">
        <f>+H130+H134</f>
        <v>10267.115651365424</v>
      </c>
      <c r="I138" s="23">
        <f>+I130+I134</f>
        <v>6271.2382529645338</v>
      </c>
      <c r="J138" s="163">
        <f>SUM(E138:I138)</f>
        <v>1025996.9626151149</v>
      </c>
      <c r="K138" s="23"/>
      <c r="L138" s="23"/>
      <c r="M138" s="11"/>
      <c r="N138" s="96"/>
      <c r="P138" s="127"/>
    </row>
    <row r="139" spans="1:29" x14ac:dyDescent="0.6">
      <c r="A139" s="8"/>
      <c r="R139" s="126"/>
      <c r="S139" s="21"/>
    </row>
    <row r="140" spans="1:29" x14ac:dyDescent="0.6">
      <c r="A140" s="8"/>
      <c r="B140" t="s">
        <v>113</v>
      </c>
      <c r="C140" s="163">
        <f>SUM(C138:I138)</f>
        <v>1025996.9626151149</v>
      </c>
      <c r="E140" s="168"/>
      <c r="F140" s="66"/>
    </row>
    <row r="141" spans="1:29" x14ac:dyDescent="0.6">
      <c r="A141" s="8"/>
    </row>
    <row r="142" spans="1:29" x14ac:dyDescent="0.6">
      <c r="A142" s="8"/>
    </row>
    <row r="143" spans="1:29" ht="15.5" x14ac:dyDescent="0.7">
      <c r="A143" s="8"/>
      <c r="B143" s="340" t="str">
        <f>$B$1</f>
        <v xml:space="preserve">Jersey Central Power &amp; Light </v>
      </c>
      <c r="C143" s="340"/>
      <c r="D143" s="340"/>
      <c r="E143" s="340"/>
      <c r="F143" s="340"/>
      <c r="G143" s="340"/>
      <c r="H143" s="340"/>
      <c r="I143" s="340"/>
      <c r="J143" s="340"/>
      <c r="K143" s="340"/>
      <c r="L143" s="340"/>
    </row>
    <row r="144" spans="1:29" ht="15.5" x14ac:dyDescent="0.7">
      <c r="A144" s="8"/>
      <c r="B144" s="340" t="str">
        <f>$B$2</f>
        <v>Attachment 2</v>
      </c>
      <c r="C144" s="340"/>
      <c r="D144" s="340"/>
      <c r="E144" s="340"/>
      <c r="F144" s="340"/>
      <c r="G144" s="340"/>
      <c r="H144" s="340"/>
      <c r="I144" s="340"/>
      <c r="J144" s="340"/>
      <c r="K144" s="340"/>
      <c r="L144" s="340"/>
    </row>
    <row r="145" spans="1:51" x14ac:dyDescent="0.6">
      <c r="A145" s="8"/>
    </row>
    <row r="146" spans="1:51" x14ac:dyDescent="0.6">
      <c r="A146" s="6" t="s">
        <v>118</v>
      </c>
      <c r="B146" s="4" t="s">
        <v>119</v>
      </c>
      <c r="C146" s="49"/>
      <c r="Q146" t="s">
        <v>121</v>
      </c>
      <c r="T146" t="s">
        <v>122</v>
      </c>
      <c r="W146" t="s">
        <v>123</v>
      </c>
      <c r="Z146" t="s">
        <v>124</v>
      </c>
    </row>
    <row r="147" spans="1:51" x14ac:dyDescent="0.6">
      <c r="A147" s="8"/>
      <c r="B147" s="5" t="s">
        <v>120</v>
      </c>
      <c r="C147" s="49"/>
      <c r="W147" t="s">
        <v>125</v>
      </c>
      <c r="Z147" t="s">
        <v>126</v>
      </c>
      <c r="AC147" t="s">
        <v>127</v>
      </c>
    </row>
    <row r="148" spans="1:51" x14ac:dyDescent="0.6">
      <c r="A148" s="8"/>
      <c r="B148" s="5" t="s">
        <v>81</v>
      </c>
      <c r="C148" s="49"/>
    </row>
    <row r="149" spans="1:51" x14ac:dyDescent="0.6">
      <c r="A149" s="8"/>
      <c r="B149" s="4"/>
      <c r="C149" s="11"/>
      <c r="D149" s="11"/>
      <c r="E149" s="11" t="str">
        <f>+E$13</f>
        <v>RT{1}</v>
      </c>
      <c r="F149" s="11" t="str">
        <f>+F$13</f>
        <v>RS{2}</v>
      </c>
      <c r="G149" s="11" t="str">
        <f>+G$13</f>
        <v>GS{3}</v>
      </c>
      <c r="H149" s="11" t="str">
        <f>+H$58</f>
        <v>GST {4}</v>
      </c>
      <c r="I149" s="11" t="str">
        <f>+I$13</f>
        <v>OL/SL</v>
      </c>
      <c r="J149" s="11"/>
      <c r="K149" s="11"/>
      <c r="L149" s="11"/>
      <c r="M149" s="11"/>
      <c r="Q149" s="11" t="str">
        <f>+$H149</f>
        <v>GST {4}</v>
      </c>
      <c r="R149" s="11"/>
      <c r="S149" s="11"/>
      <c r="T149" s="11" t="str">
        <f>+$H149</f>
        <v>GST {4}</v>
      </c>
      <c r="U149" s="11"/>
      <c r="V149" s="11"/>
      <c r="W149" s="11" t="str">
        <f>+$H149</f>
        <v>GST {4}</v>
      </c>
      <c r="X149" s="11"/>
      <c r="Z149" s="11" t="str">
        <f>+$H149</f>
        <v>GST {4}</v>
      </c>
      <c r="AA149" s="11"/>
      <c r="AC149" s="11" t="str">
        <f>+$H149</f>
        <v>GST {4}</v>
      </c>
      <c r="AD149" s="11"/>
      <c r="AU149" s="11"/>
      <c r="AV149" s="11"/>
      <c r="AW149" s="11"/>
      <c r="AX149" s="11"/>
      <c r="AY149" s="11"/>
    </row>
    <row r="150" spans="1:51" x14ac:dyDescent="0.6">
      <c r="A150" s="8"/>
      <c r="C150" s="148"/>
    </row>
    <row r="151" spans="1:51" x14ac:dyDescent="0.6">
      <c r="A151" s="8"/>
      <c r="B151" s="99" t="s">
        <v>108</v>
      </c>
      <c r="C151" s="66"/>
      <c r="D151" s="66"/>
      <c r="E151" s="162">
        <f>+E130/SUM(E65:E68)*1000</f>
        <v>66.336249231155634</v>
      </c>
      <c r="F151" s="162">
        <f>+F130/SUM(F65:F68)*1000</f>
        <v>66.655810629225257</v>
      </c>
      <c r="G151" s="162">
        <f>+G130/SUM(G65:G68)*1000</f>
        <v>69.755046534232193</v>
      </c>
      <c r="H151" s="162">
        <f>+H130/SUM(H65:H68)*1000</f>
        <v>68.325592687881425</v>
      </c>
      <c r="I151" s="162">
        <f>+I130/SUM(I65:I68)*1000</f>
        <v>52.656706202460747</v>
      </c>
      <c r="J151" s="66"/>
      <c r="K151" s="66"/>
      <c r="L151" s="66"/>
      <c r="M151" s="66"/>
      <c r="P151" s="19" t="s">
        <v>91</v>
      </c>
      <c r="AU151" s="122"/>
      <c r="AV151" s="122"/>
      <c r="AW151" s="122"/>
      <c r="AX151" s="122"/>
      <c r="AY151" s="122"/>
    </row>
    <row r="152" spans="1:51" x14ac:dyDescent="0.6">
      <c r="A152" s="8"/>
      <c r="B152" s="164" t="s">
        <v>128</v>
      </c>
      <c r="C152" s="163"/>
      <c r="D152" s="163"/>
      <c r="E152" s="162">
        <f>+(E131*1000-X163*AVERAGE(E$113,E$114))/R163</f>
        <v>103.0117582604606</v>
      </c>
      <c r="F152" s="162"/>
      <c r="G152" s="162"/>
      <c r="H152" s="162">
        <f>+(H131*1000-W152*AVERAGE(H$113,H$114))/Q152</f>
        <v>102.20457061152121</v>
      </c>
      <c r="I152" s="162"/>
      <c r="J152" s="163"/>
      <c r="K152" s="163"/>
      <c r="L152" s="66"/>
      <c r="M152" s="66"/>
      <c r="P152" t="s">
        <v>85</v>
      </c>
      <c r="Q152" s="122">
        <f>T65</f>
        <v>22890.5242</v>
      </c>
      <c r="R152" s="122"/>
      <c r="T152" s="122">
        <f>T76</f>
        <v>28452.420699999995</v>
      </c>
      <c r="U152" s="122"/>
      <c r="W152" s="122">
        <f>+T152-Q152</f>
        <v>5561.8964999999953</v>
      </c>
      <c r="X152" s="122"/>
      <c r="Z152" s="23">
        <f>+H152*Q152/1000</f>
        <v>2339.516196933635</v>
      </c>
      <c r="AA152" s="23"/>
      <c r="AX152" s="122"/>
    </row>
    <row r="153" spans="1:51" ht="15.25" x14ac:dyDescent="1.05">
      <c r="A153" s="8"/>
      <c r="B153" s="164" t="s">
        <v>129</v>
      </c>
      <c r="C153" s="163"/>
      <c r="D153" s="163"/>
      <c r="E153" s="162">
        <f>+(E132*1000-X164*AVERAGE(E$113,E$114))/R164</f>
        <v>40.037570563747224</v>
      </c>
      <c r="F153" s="162"/>
      <c r="G153" s="162"/>
      <c r="H153" s="162">
        <f>+(H132*1000-W153*AVERAGE(H$113,H$114))/Q153</f>
        <v>40.595693161808768</v>
      </c>
      <c r="I153" s="162"/>
      <c r="J153" s="163"/>
      <c r="K153" s="163"/>
      <c r="L153" s="66"/>
      <c r="M153" s="66"/>
      <c r="P153" t="s">
        <v>86</v>
      </c>
      <c r="Q153" s="122">
        <f>T66</f>
        <v>27966.4758</v>
      </c>
      <c r="R153" s="122"/>
      <c r="T153" s="122">
        <f>T77</f>
        <v>22404.579300000005</v>
      </c>
      <c r="U153" s="122"/>
      <c r="W153" s="122">
        <f>+T153-Q153</f>
        <v>-5561.8964999999953</v>
      </c>
      <c r="X153" s="122"/>
      <c r="Z153" s="22">
        <f>+H153*Q153/1000</f>
        <v>1135.3184703939503</v>
      </c>
      <c r="AA153" s="22"/>
      <c r="AX153" s="122"/>
    </row>
    <row r="154" spans="1:51" x14ac:dyDescent="0.6">
      <c r="A154" s="8"/>
      <c r="C154" s="23"/>
      <c r="D154" s="23"/>
      <c r="E154" s="165"/>
      <c r="F154" s="165"/>
      <c r="G154" s="165"/>
      <c r="H154" s="165"/>
      <c r="I154" s="165"/>
      <c r="J154" s="23"/>
      <c r="K154" s="23"/>
      <c r="L154" s="23"/>
      <c r="M154" s="23"/>
      <c r="Q154" s="122"/>
      <c r="R154" s="122"/>
      <c r="T154" s="122"/>
      <c r="U154" s="122"/>
      <c r="W154" s="122"/>
      <c r="X154" s="122"/>
      <c r="Z154" s="23">
        <f>+Z153+Z152</f>
        <v>3474.8346673275855</v>
      </c>
      <c r="AA154" s="23"/>
      <c r="AC154" s="148">
        <f>+H130</f>
        <v>3474.8346673275855</v>
      </c>
      <c r="AD154" s="148"/>
    </row>
    <row r="155" spans="1:51" x14ac:dyDescent="0.6">
      <c r="A155" s="8"/>
      <c r="B155" s="99" t="s">
        <v>111</v>
      </c>
      <c r="C155" s="49"/>
      <c r="D155" s="49"/>
      <c r="E155" s="165">
        <f>+E134/SUM(E60:E64,E69:E71)*1000</f>
        <v>64.987709588045291</v>
      </c>
      <c r="F155" s="165">
        <f>+F134/SUM(F60:F64,F69:F71)*1000</f>
        <v>64.666670342107665</v>
      </c>
      <c r="G155" s="165">
        <f>+G134/SUM(G60:G64,G69:G71)*1000</f>
        <v>67.206665676884057</v>
      </c>
      <c r="H155" s="165">
        <f>+H134/SUM(H60:H64,H69:H71)*1000</f>
        <v>66.365218169930117</v>
      </c>
      <c r="I155" s="165">
        <f>+I134/SUM(I60:I64,I69:I71)*1000</f>
        <v>54.03849122235907</v>
      </c>
      <c r="J155" s="49"/>
      <c r="K155" s="49"/>
      <c r="L155" s="49"/>
      <c r="M155" s="49"/>
      <c r="P155" s="19" t="s">
        <v>88</v>
      </c>
      <c r="Q155" s="122"/>
      <c r="R155" s="122"/>
      <c r="T155" s="122"/>
      <c r="U155" s="122"/>
      <c r="W155" s="122"/>
      <c r="X155" s="122"/>
      <c r="Z155" s="23"/>
      <c r="AA155" s="23"/>
      <c r="AC155" s="148"/>
      <c r="AU155" s="122"/>
      <c r="AV155" s="122"/>
      <c r="AW155" s="122"/>
      <c r="AX155" s="122"/>
      <c r="AY155" s="122"/>
    </row>
    <row r="156" spans="1:51" x14ac:dyDescent="0.6">
      <c r="A156" s="8"/>
      <c r="B156" s="164" t="s">
        <v>128</v>
      </c>
      <c r="C156" s="163"/>
      <c r="D156" s="163"/>
      <c r="E156" s="162">
        <f>+(E135*1000-X168*AVERAGE(E$113,E$114))/R168</f>
        <v>102.2938874707897</v>
      </c>
      <c r="F156" s="162"/>
      <c r="G156" s="162"/>
      <c r="H156" s="162">
        <f>+(H135*1000-W156*AVERAGE(H$117,H$118))/Q156</f>
        <v>96.70915247128751</v>
      </c>
      <c r="I156" s="162"/>
      <c r="J156" s="163"/>
      <c r="K156" s="163"/>
      <c r="L156" s="66"/>
      <c r="M156" s="66"/>
      <c r="P156" t="s">
        <v>85</v>
      </c>
      <c r="Q156" s="122">
        <f>T61</f>
        <v>43702.025500000003</v>
      </c>
      <c r="R156" s="122"/>
      <c r="T156" s="122">
        <f>T72</f>
        <v>55211.250100000005</v>
      </c>
      <c r="U156" s="122"/>
      <c r="W156" s="122">
        <f>+T156-Q156</f>
        <v>11509.224600000001</v>
      </c>
      <c r="X156" s="122"/>
      <c r="Z156" s="23">
        <f>+H156*Q156/1000</f>
        <v>4226.3858473835953</v>
      </c>
      <c r="AA156" s="23"/>
      <c r="AC156" s="148"/>
      <c r="AX156" s="122"/>
    </row>
    <row r="157" spans="1:51" ht="15.25" x14ac:dyDescent="1.05">
      <c r="A157" s="8"/>
      <c r="B157" s="164" t="s">
        <v>129</v>
      </c>
      <c r="C157" s="163"/>
      <c r="D157" s="163"/>
      <c r="E157" s="162">
        <f>+(E136*1000-X169*AVERAGE(E$113,E$114))/R169</f>
        <v>43.974223371908813</v>
      </c>
      <c r="F157" s="162"/>
      <c r="G157" s="162"/>
      <c r="H157" s="162">
        <f>+(H136*1000-W157*AVERAGE(H$117,H$118))/Q157</f>
        <v>43.753026726173154</v>
      </c>
      <c r="I157" s="162"/>
      <c r="J157" s="163"/>
      <c r="K157" s="163"/>
      <c r="L157" s="66"/>
      <c r="M157" s="66"/>
      <c r="P157" t="s">
        <v>86</v>
      </c>
      <c r="Q157" s="122">
        <f>T62</f>
        <v>58644.974499999997</v>
      </c>
      <c r="R157" s="122"/>
      <c r="T157" s="122">
        <f>T73</f>
        <v>47135.749899999995</v>
      </c>
      <c r="U157" s="122"/>
      <c r="W157" s="122">
        <f>+T157-Q157</f>
        <v>-11509.224600000001</v>
      </c>
      <c r="X157" s="122"/>
      <c r="Z157" s="22">
        <f>+H157*Q157/1000</f>
        <v>2565.8951366542428</v>
      </c>
      <c r="AA157" s="22"/>
      <c r="AC157" s="148"/>
      <c r="AX157" s="122"/>
    </row>
    <row r="158" spans="1:51" x14ac:dyDescent="0.6">
      <c r="A158" s="8"/>
      <c r="C158" s="49"/>
      <c r="D158" s="49"/>
      <c r="E158" s="165"/>
      <c r="F158" s="165"/>
      <c r="G158" s="165"/>
      <c r="H158" s="165"/>
      <c r="I158" s="165"/>
      <c r="J158" s="49"/>
      <c r="K158" s="49"/>
      <c r="L158" s="49"/>
      <c r="M158" s="49"/>
      <c r="Z158" s="23">
        <f>+Z157+Z156</f>
        <v>6792.2809840378377</v>
      </c>
      <c r="AA158" s="23"/>
      <c r="AC158" s="148">
        <f>+H134</f>
        <v>6792.2809840378377</v>
      </c>
      <c r="AD158" s="148"/>
    </row>
    <row r="159" spans="1:51" x14ac:dyDescent="0.6">
      <c r="A159" s="8"/>
      <c r="B159" t="s">
        <v>130</v>
      </c>
      <c r="C159" s="66"/>
      <c r="D159" s="66"/>
      <c r="E159" s="162">
        <f>(E151*SUM(E65:E68)+E155*SUM(E60:E64,E69:E71))/E72</f>
        <v>65.432729810887551</v>
      </c>
      <c r="F159" s="162">
        <f>(F151*SUM(F65:F68)+F155*SUM(F60:F64,F69:F71))/F72</f>
        <v>65.494047304917672</v>
      </c>
      <c r="G159" s="162">
        <f>(G151*SUM(G65:G68)+G155*SUM(G60:G64,G69:G71))/G72</f>
        <v>68.140342037402618</v>
      </c>
      <c r="H159" s="162">
        <f>(H151*SUM(H65:H68)+H155*SUM(H60:H64,H69:H71))/H72</f>
        <v>67.015976419450041</v>
      </c>
      <c r="I159" s="162">
        <f>(I151*SUM(I65:I68)+I155*SUM(I60:I64,I69:I71))/I72</f>
        <v>53.577888345603412</v>
      </c>
      <c r="J159" s="66"/>
      <c r="K159" s="66"/>
      <c r="L159" s="66"/>
      <c r="M159" s="66"/>
      <c r="AU159" s="122"/>
      <c r="AV159" s="122"/>
      <c r="AW159" s="122"/>
      <c r="AX159" s="122"/>
      <c r="AY159" s="122"/>
    </row>
    <row r="160" spans="1:51" x14ac:dyDescent="0.6">
      <c r="A160" s="8"/>
      <c r="B160" t="s">
        <v>131</v>
      </c>
      <c r="C160" s="66">
        <f>+C140/SUM(C72:I72)*1000</f>
        <v>66.364869220077551</v>
      </c>
    </row>
    <row r="161" spans="1:51" x14ac:dyDescent="0.6">
      <c r="A161" s="8"/>
      <c r="Q161" s="11" t="str">
        <f>+$E149</f>
        <v>RT{1}</v>
      </c>
      <c r="R161" s="11"/>
      <c r="S161" s="11"/>
      <c r="T161" s="11" t="str">
        <f>+$E149</f>
        <v>RT{1}</v>
      </c>
      <c r="U161" s="11"/>
      <c r="V161" s="11"/>
      <c r="W161" s="11" t="str">
        <f>+$E149</f>
        <v>RT{1}</v>
      </c>
      <c r="X161" s="11"/>
      <c r="Z161" s="11" t="str">
        <f>+$E149</f>
        <v>RT{1}</v>
      </c>
      <c r="AA161" s="11"/>
      <c r="AC161" s="11" t="str">
        <f>+$E149</f>
        <v>RT{1}</v>
      </c>
    </row>
    <row r="162" spans="1:51" x14ac:dyDescent="0.6">
      <c r="A162" s="6" t="s">
        <v>132</v>
      </c>
      <c r="B162" s="4" t="s">
        <v>133</v>
      </c>
      <c r="P162" s="19" t="s">
        <v>91</v>
      </c>
      <c r="Q162" s="20" t="s">
        <v>137</v>
      </c>
      <c r="R162" s="20" t="s">
        <v>138</v>
      </c>
      <c r="T162" s="20" t="s">
        <v>137</v>
      </c>
      <c r="U162" s="20" t="s">
        <v>138</v>
      </c>
      <c r="W162" s="20" t="s">
        <v>137</v>
      </c>
      <c r="X162" s="20" t="s">
        <v>138</v>
      </c>
      <c r="Z162" s="20" t="s">
        <v>139</v>
      </c>
      <c r="AC162" s="20" t="s">
        <v>139</v>
      </c>
    </row>
    <row r="163" spans="1:51" x14ac:dyDescent="0.6">
      <c r="A163" s="8"/>
      <c r="B163" s="5" t="str">
        <f>'BGS PTY22 Cost Alloc'!$B$161</f>
        <v>obligations - annual average forecasted for 2023; costs are market estimates</v>
      </c>
      <c r="J163" s="11" t="s">
        <v>134</v>
      </c>
      <c r="P163" t="s">
        <v>85</v>
      </c>
      <c r="Q163" s="122">
        <f>SUMPRODUCT(E38:E41,M65:M68)</f>
        <v>26016.642399999997</v>
      </c>
      <c r="R163" s="122">
        <f>SUMPRODUCT(E38:E41,E65:E68)</f>
        <v>26912.775699999998</v>
      </c>
      <c r="T163" s="122">
        <f>Q76</f>
        <v>33621.355499999998</v>
      </c>
      <c r="U163" s="122">
        <f>T163-($Q$165*$Q163/($Q$163+$Q$164))</f>
        <v>32722.560757992807</v>
      </c>
      <c r="W163" s="122">
        <f>+T163-Q163</f>
        <v>7604.7131000000008</v>
      </c>
      <c r="X163" s="122">
        <f>-Q163+U163</f>
        <v>6705.9183579928103</v>
      </c>
      <c r="Z163" s="23">
        <f>+E152*Q163/1000</f>
        <v>2680.0200776576494</v>
      </c>
      <c r="AA163" s="23"/>
      <c r="AU163" s="23"/>
      <c r="AV163" s="23"/>
      <c r="AW163" s="23"/>
      <c r="AX163" s="23"/>
      <c r="AY163" s="23"/>
    </row>
    <row r="164" spans="1:51" ht="15.25" x14ac:dyDescent="1.05">
      <c r="A164" s="8"/>
      <c r="B164" s="5" t="s">
        <v>135</v>
      </c>
      <c r="C164" s="11"/>
      <c r="D164" s="11"/>
      <c r="E164" s="11" t="str">
        <f>+E$13</f>
        <v>RT{1}</v>
      </c>
      <c r="F164" s="11" t="str">
        <f>+F$13</f>
        <v>RS{2}</v>
      </c>
      <c r="G164" s="11" t="str">
        <f>+G$13</f>
        <v>GS{3}</v>
      </c>
      <c r="H164" s="11" t="str">
        <f>+H$58</f>
        <v>GST {4}</v>
      </c>
      <c r="I164" s="11" t="str">
        <f>+I$13</f>
        <v>OL/SL</v>
      </c>
      <c r="J164" s="11" t="s">
        <v>136</v>
      </c>
      <c r="K164" s="11"/>
      <c r="L164" s="11"/>
      <c r="M164" s="11"/>
      <c r="P164" t="s">
        <v>86</v>
      </c>
      <c r="Q164" s="122">
        <f>SUMPRODUCT(Q38:Q41,M65:M68)</f>
        <v>36277.357600000003</v>
      </c>
      <c r="R164" s="122">
        <f>SUMPRODUCT(Q38:Q41,E65:E68)</f>
        <v>37534.224300000002</v>
      </c>
      <c r="T164" s="122">
        <f>Q77</f>
        <v>30825.644500000002</v>
      </c>
      <c r="U164" s="122">
        <f>T164-($Q$165*$Q164/($Q$163+$Q$164))</f>
        <v>29572.373698814892</v>
      </c>
      <c r="W164" s="122">
        <f>+T164-Q164</f>
        <v>-5451.7131000000008</v>
      </c>
      <c r="X164" s="122">
        <f>-Q164+U164</f>
        <v>-6704.9839011851109</v>
      </c>
      <c r="Z164" s="23">
        <f>+E153*Q164/1000</f>
        <v>1452.4572647762918</v>
      </c>
      <c r="AA164" s="22"/>
      <c r="AU164" s="23"/>
      <c r="AV164" s="23"/>
      <c r="AW164" s="23"/>
      <c r="AX164" s="23"/>
      <c r="AY164" s="23"/>
    </row>
    <row r="165" spans="1:51" ht="3" customHeight="1" x14ac:dyDescent="1.05">
      <c r="A165" s="8"/>
      <c r="P165" t="s">
        <v>141</v>
      </c>
      <c r="Q165" s="122">
        <f>SUM(W65:W68)/1000</f>
        <v>2152.0655431923001</v>
      </c>
      <c r="R165" s="122"/>
      <c r="T165" s="122">
        <v>0</v>
      </c>
      <c r="U165" s="122">
        <v>0</v>
      </c>
      <c r="W165" s="122">
        <f>+T165-Q165</f>
        <v>-2152.0655431923001</v>
      </c>
      <c r="X165" s="122"/>
      <c r="Z165" s="22">
        <f>+E151*Q165/1000</f>
        <v>142.75995623498676</v>
      </c>
      <c r="AU165" s="23"/>
      <c r="AV165" s="23"/>
      <c r="AW165" s="23"/>
      <c r="AX165" s="23"/>
      <c r="AY165" s="23"/>
    </row>
    <row r="166" spans="1:51" x14ac:dyDescent="0.6">
      <c r="A166" s="8"/>
      <c r="B166" t="s">
        <v>140</v>
      </c>
      <c r="C166" s="169"/>
      <c r="D166" s="169"/>
      <c r="E166" s="169">
        <f>'BGS PTY22 Cost Alloc'!E164</f>
        <v>48.418413300000005</v>
      </c>
      <c r="F166" s="169">
        <f>'BGS PTY22 Cost Alloc'!F164</f>
        <v>3346.708828672</v>
      </c>
      <c r="G166" s="169">
        <f>'BGS PTY22 Cost Alloc'!G164</f>
        <v>1302.9674843560001</v>
      </c>
      <c r="H166" s="169">
        <f>'BGS PTY22 Cost Alloc'!H164</f>
        <v>24.217017399999996</v>
      </c>
      <c r="I166" s="169">
        <f>'BGS PTY22 Cost Alloc'!I164</f>
        <v>5.0061351999999996E-2</v>
      </c>
      <c r="J166" s="169">
        <f>SUM(E166:I166)</f>
        <v>4722.3618050799996</v>
      </c>
      <c r="K166" s="169"/>
      <c r="L166" s="169"/>
      <c r="M166" s="169"/>
      <c r="Z166" s="23">
        <f>SUM(Z163:Z165)</f>
        <v>4275.2372986689279</v>
      </c>
      <c r="AA166" s="23"/>
      <c r="AC166" s="148">
        <f>+E130</f>
        <v>4275.1722542002872</v>
      </c>
      <c r="AU166" s="23"/>
      <c r="AV166" s="23"/>
      <c r="AW166" s="23"/>
      <c r="AX166" s="23"/>
      <c r="AY166" s="23"/>
    </row>
    <row r="167" spans="1:51" x14ac:dyDescent="0.6">
      <c r="A167" s="8"/>
      <c r="P167" s="19" t="s">
        <v>88</v>
      </c>
      <c r="Q167" s="122"/>
      <c r="R167" s="122"/>
      <c r="T167" s="122"/>
      <c r="U167" s="122"/>
      <c r="W167" s="122"/>
      <c r="X167" s="122"/>
      <c r="AU167" s="23"/>
      <c r="AV167" s="23"/>
      <c r="AW167" s="23"/>
      <c r="AX167" s="23"/>
      <c r="AY167" s="23"/>
    </row>
    <row r="168" spans="1:51" x14ac:dyDescent="0.6">
      <c r="A168" s="8"/>
      <c r="B168" t="s">
        <v>142</v>
      </c>
      <c r="C168" s="169" t="s">
        <v>143</v>
      </c>
      <c r="D168" s="169"/>
      <c r="E168" s="141"/>
      <c r="F168" s="141"/>
      <c r="G168" s="141"/>
      <c r="H168" s="141"/>
      <c r="I168" s="141"/>
      <c r="J168" s="169"/>
      <c r="K168" s="169"/>
      <c r="L168" s="169"/>
      <c r="M168" s="169"/>
      <c r="P168" t="s">
        <v>85</v>
      </c>
      <c r="Q168" s="122">
        <f>SUMPRODUCT(E33:E37,M60:M64)+SUMPRODUCT(E42:E44,M69:M71)</f>
        <v>45239.026299999998</v>
      </c>
      <c r="R168" s="122">
        <f>SUMPRODUCT(E33:E37,E60:E64)+SUMPRODUCT(E42:E44,E69:E71)</f>
        <v>47145.863499999999</v>
      </c>
      <c r="T168" s="122">
        <f>Q72</f>
        <v>62022.930899999992</v>
      </c>
      <c r="U168" s="122">
        <f>T168-($Q$170*$Q168/($Q$168+$Q$169))</f>
        <v>60122.898748740183</v>
      </c>
      <c r="W168" s="122">
        <f>+T168-Q168</f>
        <v>16783.904599999994</v>
      </c>
      <c r="X168" s="122">
        <f>-Q168+U168</f>
        <v>14883.872448740185</v>
      </c>
      <c r="Z168" s="23">
        <f>+E156*Q168/1000</f>
        <v>4627.6758656202956</v>
      </c>
      <c r="AA168" s="23"/>
      <c r="AC168" s="148"/>
      <c r="AU168" s="23"/>
      <c r="AV168" s="23"/>
      <c r="AW168" s="23"/>
      <c r="AX168" s="23"/>
      <c r="AY168" s="23"/>
    </row>
    <row r="169" spans="1:51" ht="2.5" customHeight="1" x14ac:dyDescent="1.05">
      <c r="A169" s="8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P169" t="s">
        <v>86</v>
      </c>
      <c r="Q169" s="122">
        <f>SUMPRODUCT(Q33:Q37,M60:M64)+SUMPRODUCT(Q42:Q44,M69:M71)</f>
        <v>80332.973700000002</v>
      </c>
      <c r="R169" s="122">
        <f>SUMPRODUCT(Q33:Q37,E60:E64)+SUMPRODUCT(Q42:Q44,E69:E71)</f>
        <v>83700.136499999993</v>
      </c>
      <c r="T169" s="122">
        <f>Q73</f>
        <v>68823.069100000008</v>
      </c>
      <c r="U169" s="122">
        <f>T169-($Q$170*$Q169/($Q$168+$Q$169))</f>
        <v>65449.096551958915</v>
      </c>
      <c r="W169" s="122">
        <f>+T169-Q169</f>
        <v>-11509.904599999994</v>
      </c>
      <c r="X169" s="122">
        <f>-Q169+U169</f>
        <v>-14883.877148041087</v>
      </c>
      <c r="Z169" s="23">
        <f>+E157*Q169/1000</f>
        <v>3532.5801296134764</v>
      </c>
      <c r="AA169" s="22"/>
      <c r="AC169" s="148"/>
      <c r="AU169" s="23"/>
      <c r="AV169" s="23"/>
      <c r="AW169" s="23"/>
      <c r="AX169" s="23"/>
      <c r="AY169" s="23"/>
    </row>
    <row r="170" spans="1:51" ht="15.25" x14ac:dyDescent="1.05">
      <c r="A170" s="8"/>
      <c r="B170" t="s">
        <v>144</v>
      </c>
      <c r="I170" s="169"/>
      <c r="J170" s="169"/>
      <c r="K170" s="169"/>
      <c r="L170" s="169"/>
      <c r="M170" s="169"/>
      <c r="P170" t="s">
        <v>141</v>
      </c>
      <c r="Q170" s="122">
        <f>SUM(W60:W64,W69:W71)/1000</f>
        <v>5274.0046993009</v>
      </c>
      <c r="T170">
        <v>0</v>
      </c>
      <c r="U170" s="122">
        <v>0</v>
      </c>
      <c r="W170" s="122">
        <f>+T170-Q170</f>
        <v>-5274.0046993009</v>
      </c>
      <c r="X170" s="122"/>
      <c r="Z170" s="22">
        <f>+E155*Q170/1000</f>
        <v>342.74548576415299</v>
      </c>
      <c r="AU170" s="23"/>
      <c r="AV170" s="23"/>
      <c r="AW170" s="23"/>
      <c r="AX170" s="23"/>
      <c r="AY170" s="23"/>
    </row>
    <row r="171" spans="1:51" x14ac:dyDescent="0.6">
      <c r="A171" s="8"/>
      <c r="D171" s="126" t="s">
        <v>145</v>
      </c>
      <c r="E171">
        <v>122</v>
      </c>
      <c r="G171" s="126" t="s">
        <v>146</v>
      </c>
      <c r="H171">
        <v>4</v>
      </c>
      <c r="I171" s="169"/>
      <c r="J171" s="169"/>
      <c r="K171" s="169"/>
      <c r="L171" s="169"/>
      <c r="M171" s="169"/>
      <c r="Q171" s="11"/>
      <c r="R171" s="11"/>
      <c r="S171" s="11"/>
      <c r="T171" s="11"/>
      <c r="U171" s="11"/>
      <c r="V171" s="11"/>
      <c r="W171" s="11"/>
      <c r="X171" s="11"/>
      <c r="Z171" s="23">
        <f>SUM(Z168:Z170)</f>
        <v>8503.0014809979257</v>
      </c>
      <c r="AA171" s="23"/>
      <c r="AC171" s="148">
        <f>+E134</f>
        <v>8503.3818487573753</v>
      </c>
      <c r="AU171" s="148"/>
      <c r="AV171" s="148"/>
      <c r="AW171" s="148"/>
      <c r="AX171" s="148"/>
      <c r="AY171" s="148"/>
    </row>
    <row r="172" spans="1:51" ht="15.25" x14ac:dyDescent="1.05">
      <c r="A172" s="8"/>
      <c r="D172" s="170" t="s">
        <v>147</v>
      </c>
      <c r="E172">
        <v>243</v>
      </c>
      <c r="G172" s="170" t="s">
        <v>148</v>
      </c>
      <c r="H172">
        <v>8</v>
      </c>
      <c r="I172" s="169"/>
      <c r="J172" s="169"/>
      <c r="K172" s="169"/>
      <c r="L172" s="169"/>
      <c r="M172" s="169"/>
      <c r="Q172" s="122"/>
      <c r="R172" s="122"/>
      <c r="T172" s="122"/>
      <c r="U172" s="122"/>
      <c r="W172" s="122"/>
      <c r="X172" s="122"/>
      <c r="Z172" s="22"/>
      <c r="AA172" s="22"/>
      <c r="AX172" s="148"/>
    </row>
    <row r="173" spans="1:51" x14ac:dyDescent="0.6">
      <c r="A173" s="8"/>
      <c r="G173" s="126" t="s">
        <v>149</v>
      </c>
      <c r="H173">
        <f>+H171+H172</f>
        <v>12</v>
      </c>
      <c r="I173" s="169"/>
      <c r="J173" s="169"/>
      <c r="K173" s="169"/>
      <c r="L173" s="169"/>
      <c r="M173" s="169"/>
      <c r="Q173" s="122"/>
      <c r="R173" s="122"/>
      <c r="T173" s="122"/>
      <c r="U173" s="122"/>
      <c r="W173" s="122"/>
      <c r="X173" s="122"/>
      <c r="Z173" s="23"/>
      <c r="AA173" s="23"/>
      <c r="AC173" s="148">
        <f>SUM(AC166:AC171)</f>
        <v>12778.554102957663</v>
      </c>
    </row>
    <row r="174" spans="1:51" x14ac:dyDescent="0.6">
      <c r="A174" s="8"/>
      <c r="B174" t="s">
        <v>150</v>
      </c>
      <c r="C174" s="23"/>
      <c r="D174" s="171"/>
      <c r="K174" s="172"/>
      <c r="Q174" s="122"/>
      <c r="R174" s="122"/>
      <c r="T174" s="122"/>
      <c r="U174" s="122"/>
      <c r="W174" s="122"/>
      <c r="X174" s="122"/>
      <c r="Z174" s="23"/>
      <c r="AA174" s="23"/>
      <c r="AC174" s="148"/>
    </row>
    <row r="175" spans="1:51" ht="7" customHeight="1" x14ac:dyDescent="0.6">
      <c r="A175" s="8"/>
      <c r="C175" s="23"/>
      <c r="D175" s="171"/>
      <c r="K175" s="172"/>
      <c r="Q175" s="122"/>
      <c r="R175" s="122"/>
      <c r="T175" s="122"/>
      <c r="U175" s="122"/>
      <c r="W175" s="122"/>
      <c r="X175" s="122"/>
      <c r="Z175" s="23"/>
      <c r="AA175" s="23"/>
      <c r="AC175" s="148"/>
    </row>
    <row r="176" spans="1:51" x14ac:dyDescent="0.6">
      <c r="A176" s="8"/>
      <c r="D176" s="20" t="s">
        <v>83</v>
      </c>
      <c r="E176" s="20" t="s">
        <v>84</v>
      </c>
      <c r="Q176" s="122"/>
      <c r="R176" s="122"/>
      <c r="T176" s="122"/>
      <c r="U176" s="122"/>
      <c r="W176" s="122"/>
      <c r="X176" s="122"/>
      <c r="Z176" s="23"/>
      <c r="AA176" s="23"/>
      <c r="AC176" s="148"/>
    </row>
    <row r="177" spans="1:50" ht="15.25" x14ac:dyDescent="1.05">
      <c r="A177" s="8"/>
      <c r="B177" t="s">
        <v>151</v>
      </c>
      <c r="C177" t="s">
        <v>91</v>
      </c>
      <c r="D177" s="49">
        <v>50.96</v>
      </c>
      <c r="E177" s="141">
        <f>ROUND(D177*$H$304,3)</f>
        <v>71.593000000000004</v>
      </c>
      <c r="F177" s="171" t="s">
        <v>152</v>
      </c>
      <c r="G177" s="126" t="s">
        <v>153</v>
      </c>
      <c r="H177" s="148">
        <f>ROUND(E177*E171*J$166,0)</f>
        <v>41246742</v>
      </c>
      <c r="I177" s="126"/>
      <c r="J177" s="126"/>
      <c r="K177" s="49"/>
      <c r="Q177" s="122"/>
      <c r="R177" s="122"/>
      <c r="T177" s="122"/>
      <c r="U177" s="122"/>
      <c r="W177" s="122"/>
      <c r="X177" s="122"/>
      <c r="Z177" s="22"/>
      <c r="AA177" s="22"/>
      <c r="AC177" s="148"/>
    </row>
    <row r="178" spans="1:50" ht="15.25" x14ac:dyDescent="1.05">
      <c r="A178" s="8"/>
      <c r="C178" t="s">
        <v>88</v>
      </c>
      <c r="D178" s="49">
        <v>50.96</v>
      </c>
      <c r="E178" s="141">
        <f>ROUND(D178*$H$304,3)</f>
        <v>71.593000000000004</v>
      </c>
      <c r="F178" s="171" t="s">
        <v>152</v>
      </c>
      <c r="G178" s="24" t="s">
        <v>154</v>
      </c>
      <c r="H178" s="25">
        <f>ROUND(E178*E172*J$166,0)</f>
        <v>82155396</v>
      </c>
      <c r="I178" s="126"/>
      <c r="J178" s="126"/>
      <c r="K178" s="49"/>
      <c r="Z178" s="23"/>
      <c r="AA178" s="23"/>
      <c r="AC178" s="148"/>
    </row>
    <row r="179" spans="1:50" ht="2" customHeight="1" x14ac:dyDescent="0.6">
      <c r="A179" s="8"/>
      <c r="D179" s="49"/>
      <c r="E179" s="171"/>
      <c r="G179" s="126" t="s">
        <v>155</v>
      </c>
      <c r="H179" s="148">
        <f>SUM(H177:H178)</f>
        <v>123402138</v>
      </c>
      <c r="I179" s="126"/>
      <c r="J179" s="26">
        <f>H179/(C288*1000)</f>
        <v>7.6703848214382211E-2</v>
      </c>
      <c r="K179" s="49"/>
    </row>
    <row r="180" spans="1:50" x14ac:dyDescent="0.6">
      <c r="A180" s="8"/>
      <c r="B180" t="s">
        <v>156</v>
      </c>
      <c r="I180" s="126"/>
      <c r="J180" s="126"/>
      <c r="K180" s="49"/>
    </row>
    <row r="181" spans="1:50" x14ac:dyDescent="0.6">
      <c r="A181" s="8"/>
      <c r="B181" s="5" t="s">
        <v>157</v>
      </c>
      <c r="I181" s="126"/>
      <c r="J181" s="126"/>
      <c r="K181" s="49"/>
    </row>
    <row r="182" spans="1:50" x14ac:dyDescent="0.6">
      <c r="A182" s="8"/>
      <c r="B182" s="5"/>
      <c r="C182" s="27" t="str">
        <f>" ---------- Rate "&amp;C30&amp;" ----------"</f>
        <v xml:space="preserve"> ---------- Rate  ----------</v>
      </c>
      <c r="D182" s="173"/>
      <c r="E182" s="173"/>
      <c r="I182" s="126"/>
      <c r="J182" s="126"/>
      <c r="K182" s="49"/>
    </row>
    <row r="183" spans="1:50" x14ac:dyDescent="0.6">
      <c r="A183" s="8"/>
      <c r="C183" s="20" t="s">
        <v>158</v>
      </c>
      <c r="E183" s="20" t="s">
        <v>159</v>
      </c>
      <c r="I183" s="126"/>
      <c r="J183" s="126"/>
      <c r="K183" s="49"/>
    </row>
    <row r="184" spans="1:50" x14ac:dyDescent="0.6">
      <c r="A184" s="8"/>
      <c r="B184" s="126" t="s">
        <v>160</v>
      </c>
      <c r="C184" s="174"/>
      <c r="E184" s="160">
        <f>SUM(R65/(R65+R66))</f>
        <v>0.52871114202853675</v>
      </c>
      <c r="F184" s="4"/>
      <c r="I184" s="126"/>
      <c r="J184" s="126"/>
      <c r="K184" s="49"/>
      <c r="AX184" s="160"/>
    </row>
    <row r="185" spans="1:50" x14ac:dyDescent="0.6">
      <c r="A185" s="8"/>
      <c r="B185" s="126" t="s">
        <v>161</v>
      </c>
      <c r="C185" s="19"/>
      <c r="E185" s="160">
        <f>1-E184</f>
        <v>0.47128885797146325</v>
      </c>
      <c r="G185" s="122"/>
      <c r="I185" s="126"/>
      <c r="J185" s="126"/>
      <c r="K185" s="49"/>
    </row>
    <row r="186" spans="1:50" x14ac:dyDescent="0.6">
      <c r="A186" s="8"/>
      <c r="B186" s="126" t="s">
        <v>162</v>
      </c>
      <c r="C186" s="174">
        <v>0.86519999999999997</v>
      </c>
      <c r="D186" t="s">
        <v>163</v>
      </c>
      <c r="J186" s="126"/>
      <c r="K186" s="49"/>
    </row>
    <row r="187" spans="1:50" x14ac:dyDescent="0.6">
      <c r="A187"/>
      <c r="J187" s="126"/>
      <c r="K187" s="49"/>
    </row>
    <row r="188" spans="1:50" x14ac:dyDescent="0.6">
      <c r="A188" s="6" t="s">
        <v>164</v>
      </c>
      <c r="B188" s="4" t="s">
        <v>165</v>
      </c>
      <c r="D188" s="20" t="s">
        <v>83</v>
      </c>
      <c r="E188" s="20" t="s">
        <v>84</v>
      </c>
    </row>
    <row r="189" spans="1:50" x14ac:dyDescent="0.6">
      <c r="A189" s="6"/>
      <c r="B189" s="5" t="s">
        <v>166</v>
      </c>
      <c r="D189" s="175">
        <v>2</v>
      </c>
      <c r="F189" t="s">
        <v>169</v>
      </c>
    </row>
    <row r="190" spans="1:50" x14ac:dyDescent="0.6">
      <c r="A190" s="6"/>
      <c r="B190" s="5" t="s">
        <v>167</v>
      </c>
      <c r="D190" s="176">
        <v>16.919999999999998</v>
      </c>
      <c r="F190" t="s">
        <v>169</v>
      </c>
    </row>
    <row r="191" spans="1:50" x14ac:dyDescent="0.6">
      <c r="A191" s="8"/>
      <c r="B191" s="5" t="s">
        <v>168</v>
      </c>
      <c r="D191" s="177">
        <f>D189+D190</f>
        <v>18.919999999999998</v>
      </c>
      <c r="E191" s="178">
        <f>ROUND(D191*$H$304,3)</f>
        <v>26.58</v>
      </c>
      <c r="F191" t="s">
        <v>169</v>
      </c>
    </row>
    <row r="192" spans="1:50" x14ac:dyDescent="0.6">
      <c r="A192" s="8"/>
      <c r="B192" s="5"/>
      <c r="F192" s="171"/>
    </row>
    <row r="193" spans="1:18" x14ac:dyDescent="0.6">
      <c r="A193" s="6" t="s">
        <v>170</v>
      </c>
      <c r="B193" s="4" t="s">
        <v>171</v>
      </c>
    </row>
    <row r="194" spans="1:18" x14ac:dyDescent="0.6">
      <c r="A194" s="6"/>
      <c r="B194" s="4"/>
    </row>
    <row r="195" spans="1:18" x14ac:dyDescent="0.6">
      <c r="A195" s="6"/>
      <c r="B195" s="4"/>
      <c r="C195" s="11"/>
      <c r="D195" s="11"/>
      <c r="E195" s="11" t="str">
        <f>+E$13</f>
        <v>RT{1}</v>
      </c>
      <c r="F195" s="11" t="str">
        <f>+F$13</f>
        <v>RS{2}</v>
      </c>
      <c r="G195" s="11" t="str">
        <f>+G$13</f>
        <v>GS{3}</v>
      </c>
      <c r="H195" s="28" t="str">
        <f>+H$58</f>
        <v>GST {4}</v>
      </c>
      <c r="I195" s="11" t="str">
        <f>+I$13</f>
        <v>OL/SL</v>
      </c>
      <c r="J195" s="11"/>
    </row>
    <row r="196" spans="1:18" ht="8" customHeight="1" x14ac:dyDescent="0.6">
      <c r="A196" s="6"/>
      <c r="B196" s="4"/>
    </row>
    <row r="197" spans="1:18" x14ac:dyDescent="0.6">
      <c r="A197" s="8"/>
      <c r="B197" s="126" t="s">
        <v>172</v>
      </c>
      <c r="C197" s="66"/>
      <c r="D197" s="66"/>
      <c r="E197" s="162">
        <v>0</v>
      </c>
      <c r="F197" s="162">
        <v>0</v>
      </c>
      <c r="G197" s="162">
        <v>0</v>
      </c>
      <c r="H197" s="162">
        <v>0</v>
      </c>
      <c r="I197" s="162">
        <v>0</v>
      </c>
      <c r="J197" s="66"/>
      <c r="K197" s="66" t="s">
        <v>3</v>
      </c>
      <c r="L197" s="66"/>
      <c r="M197" s="163"/>
    </row>
    <row r="198" spans="1:18" x14ac:dyDescent="0.6">
      <c r="A198" s="8"/>
      <c r="B198" s="12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148"/>
    </row>
    <row r="199" spans="1:18" x14ac:dyDescent="0.6">
      <c r="A199" s="8"/>
      <c r="B199" s="126" t="s">
        <v>173</v>
      </c>
      <c r="C199" s="66"/>
      <c r="D199" s="66"/>
      <c r="E199" s="162">
        <f>$H$179*(E$166/$J$166)/E$72</f>
        <v>6.4786915373132024</v>
      </c>
      <c r="F199" s="162">
        <f>$H$179*(F$166/$J$166)/F$72</f>
        <v>9.2412479941240679</v>
      </c>
      <c r="G199" s="162">
        <f>$H$179*(G$166/$J$166)/G$72</f>
        <v>6.1560166350437404</v>
      </c>
      <c r="H199" s="162">
        <f>$H$179*(H$166/$J$166)/H$72</f>
        <v>4.1306079435435876</v>
      </c>
      <c r="I199" s="162">
        <f>$H$179*(I$166/$J$166)/I$72</f>
        <v>1.1176306237136795E-2</v>
      </c>
      <c r="J199" s="66"/>
      <c r="K199" s="66"/>
      <c r="L199" s="66"/>
      <c r="M199" s="66"/>
    </row>
    <row r="200" spans="1:18" x14ac:dyDescent="0.6">
      <c r="A200" s="8"/>
      <c r="B200" s="126" t="s">
        <v>174</v>
      </c>
      <c r="C200" s="66"/>
      <c r="D200" s="66"/>
      <c r="E200" s="162">
        <f>$H$177*(E$166/$J$166)/SUM(E65:E68)</f>
        <v>6.5620304299680816</v>
      </c>
      <c r="F200" s="162">
        <f>$H$177*(F$166/$J$166)/SUM(F65:F68)</f>
        <v>7.4260792574372081</v>
      </c>
      <c r="G200" s="162">
        <f>$H$177*(G$166/$J$166)/SUM(G65:G68)</f>
        <v>5.6160985713764466</v>
      </c>
      <c r="H200" s="162"/>
      <c r="I200" s="162">
        <f>$H$177*(I$166/$J$166)/SUM(I65:I68)</f>
        <v>1.1206734761838675E-2</v>
      </c>
      <c r="J200" s="66"/>
      <c r="K200" s="66"/>
      <c r="L200" s="66"/>
      <c r="M200" s="66"/>
    </row>
    <row r="201" spans="1:18" x14ac:dyDescent="0.6">
      <c r="A201" s="8"/>
      <c r="B201" s="126" t="s">
        <v>175</v>
      </c>
      <c r="C201" s="66"/>
      <c r="D201" s="66"/>
      <c r="E201" s="162">
        <f>$H$177*(E$166/$J$166)/R163</f>
        <v>15.713844600583245</v>
      </c>
      <c r="F201" s="162"/>
      <c r="G201" s="162"/>
      <c r="H201" s="162">
        <f>$H$177*(H$166/$J$166)/Q152</f>
        <v>9.2404965262084566</v>
      </c>
      <c r="I201" s="162"/>
      <c r="J201" s="66"/>
      <c r="K201" s="66"/>
      <c r="L201" s="66"/>
      <c r="M201" s="66"/>
    </row>
    <row r="202" spans="1:18" x14ac:dyDescent="0.6">
      <c r="A202" s="8"/>
      <c r="B202" s="126" t="s">
        <v>176</v>
      </c>
      <c r="C202" s="66"/>
      <c r="D202" s="66"/>
      <c r="E202" s="162">
        <f>$H$178*(E$166/$J$166)/(E72-SUM(E65:E68))</f>
        <v>6.4376437283245513</v>
      </c>
      <c r="F202" s="162">
        <f>$H$178*(F$166/$J$166)/(F72-SUM(F65:F68))</f>
        <v>10.533962925749892</v>
      </c>
      <c r="G202" s="162">
        <f>$H$178*(G$166/$J$166)/(G72-SUM(G65:G68))</f>
        <v>6.4682153894615944</v>
      </c>
      <c r="H202" s="162"/>
      <c r="I202" s="162">
        <f>$H$178*(I$166/$J$166)/(I72-SUM(I65:I68))</f>
        <v>1.1161091584836545E-2</v>
      </c>
      <c r="J202" s="66"/>
      <c r="K202" s="66"/>
      <c r="L202" s="66"/>
      <c r="M202" s="66"/>
    </row>
    <row r="203" spans="1:18" x14ac:dyDescent="0.6">
      <c r="A203" s="8"/>
      <c r="B203" s="126" t="s">
        <v>177</v>
      </c>
      <c r="C203" s="66"/>
      <c r="D203" s="66"/>
      <c r="E203" s="162">
        <f>$H$178*(E$166/$J$166)/R168</f>
        <v>17.866677344373048</v>
      </c>
      <c r="F203" s="179"/>
      <c r="G203" s="179"/>
      <c r="H203" s="162">
        <f>$H$178*(H$166/$J$166)/Q156</f>
        <v>9.6404192988597561</v>
      </c>
      <c r="I203" s="162"/>
      <c r="J203" s="66"/>
      <c r="K203" s="66"/>
      <c r="L203" s="66"/>
      <c r="M203" s="66"/>
    </row>
    <row r="204" spans="1:18" x14ac:dyDescent="0.6">
      <c r="A204" s="8"/>
      <c r="B204" s="126"/>
      <c r="C204" s="66"/>
      <c r="D204" s="66"/>
      <c r="E204" s="162"/>
      <c r="F204" s="162"/>
      <c r="G204" s="162"/>
      <c r="H204" s="162"/>
      <c r="I204" s="162"/>
      <c r="J204" s="66"/>
      <c r="K204" s="66"/>
      <c r="L204" s="66"/>
      <c r="M204" s="66"/>
    </row>
    <row r="205" spans="1:18" ht="15.5" x14ac:dyDescent="0.7">
      <c r="A205" s="8"/>
      <c r="B205" s="340" t="str">
        <f>$B$1</f>
        <v xml:space="preserve">Jersey Central Power &amp; Light </v>
      </c>
      <c r="C205" s="340"/>
      <c r="D205" s="340"/>
      <c r="E205" s="340"/>
      <c r="F205" s="340"/>
      <c r="G205" s="340"/>
      <c r="H205" s="340"/>
      <c r="I205" s="340"/>
      <c r="J205" s="340"/>
      <c r="K205" s="340"/>
      <c r="L205" s="340"/>
      <c r="M205" s="66"/>
    </row>
    <row r="206" spans="1:18" ht="15.5" x14ac:dyDescent="0.7">
      <c r="A206" s="8"/>
      <c r="B206" s="340" t="str">
        <f>$B$2</f>
        <v>Attachment 2</v>
      </c>
      <c r="C206" s="340"/>
      <c r="D206" s="340"/>
      <c r="E206" s="340"/>
      <c r="F206" s="340"/>
      <c r="G206" s="340"/>
      <c r="H206" s="340"/>
      <c r="I206" s="340"/>
      <c r="J206" s="340"/>
      <c r="K206" s="340"/>
      <c r="L206" s="340"/>
      <c r="M206" s="66"/>
      <c r="N206" s="66"/>
      <c r="O206" s="66"/>
      <c r="P206" s="66"/>
      <c r="Q206" s="66"/>
      <c r="R206" s="66"/>
    </row>
    <row r="207" spans="1:18" x14ac:dyDescent="0.6">
      <c r="A207" s="8"/>
      <c r="E207" s="66"/>
      <c r="F207" s="66"/>
      <c r="G207" s="66"/>
      <c r="H207" s="66"/>
      <c r="K207" s="66"/>
      <c r="L207" s="66"/>
      <c r="M207" s="66"/>
      <c r="N207" s="66"/>
      <c r="O207" s="66"/>
      <c r="P207" s="66"/>
      <c r="Q207" s="66"/>
      <c r="R207" s="66"/>
    </row>
    <row r="208" spans="1:18" x14ac:dyDescent="0.6">
      <c r="A208" s="8"/>
      <c r="M208" s="66"/>
      <c r="N208" s="66"/>
      <c r="O208" s="66"/>
      <c r="P208" s="66"/>
      <c r="Q208" s="66"/>
      <c r="R208" s="66"/>
    </row>
    <row r="209" spans="1:18" x14ac:dyDescent="0.6">
      <c r="A209" s="6" t="s">
        <v>178</v>
      </c>
      <c r="B209" s="4" t="s">
        <v>179</v>
      </c>
      <c r="M209" s="66"/>
      <c r="N209" s="66"/>
      <c r="O209" s="66"/>
      <c r="P209" s="66"/>
      <c r="Q209" s="66"/>
      <c r="R209" s="66"/>
    </row>
    <row r="210" spans="1:18" x14ac:dyDescent="0.6">
      <c r="A210" s="8"/>
      <c r="B210" s="4"/>
      <c r="M210" s="66"/>
      <c r="N210" s="66"/>
      <c r="O210" s="66"/>
      <c r="P210" s="66"/>
      <c r="Q210" s="66"/>
      <c r="R210" s="66"/>
    </row>
    <row r="211" spans="1:18" x14ac:dyDescent="0.6">
      <c r="A211" s="8"/>
      <c r="B211" s="4" t="s">
        <v>180</v>
      </c>
      <c r="M211" s="66"/>
      <c r="N211" s="66"/>
      <c r="O211" s="66"/>
      <c r="P211" s="66"/>
      <c r="Q211" s="66"/>
      <c r="R211" s="66"/>
    </row>
    <row r="212" spans="1:18" x14ac:dyDescent="0.6">
      <c r="A212" s="8"/>
      <c r="B212" s="5" t="s">
        <v>242</v>
      </c>
      <c r="M212" s="66"/>
      <c r="N212" s="66"/>
      <c r="O212" s="66"/>
      <c r="P212" s="66"/>
      <c r="Q212" s="66"/>
      <c r="R212" s="66"/>
    </row>
    <row r="213" spans="1:18" x14ac:dyDescent="0.6">
      <c r="A213" s="8"/>
      <c r="B213" s="5" t="s">
        <v>81</v>
      </c>
      <c r="M213" s="66"/>
      <c r="N213" s="66"/>
      <c r="O213" s="66"/>
      <c r="P213" s="66"/>
      <c r="Q213" s="66"/>
      <c r="R213" s="66"/>
    </row>
    <row r="214" spans="1:18" x14ac:dyDescent="0.6">
      <c r="A214" s="8"/>
      <c r="C214" s="11"/>
      <c r="D214" s="11"/>
      <c r="E214" s="11" t="str">
        <f>+E$13</f>
        <v>RT{1}</v>
      </c>
      <c r="F214" s="11" t="str">
        <f>+F$13</f>
        <v>RS{2}</v>
      </c>
      <c r="G214" s="11" t="str">
        <f>+G$13</f>
        <v>GS{3}</v>
      </c>
      <c r="H214" s="28" t="str">
        <f>+H$58</f>
        <v>GST {4}</v>
      </c>
      <c r="I214" s="11" t="str">
        <f>+I$13</f>
        <v>OL/SL</v>
      </c>
      <c r="J214" s="11"/>
      <c r="M214" s="66"/>
      <c r="N214" s="66"/>
      <c r="O214" s="66"/>
      <c r="P214" s="66"/>
      <c r="Q214" s="66"/>
      <c r="R214" s="66"/>
    </row>
    <row r="215" spans="1:18" x14ac:dyDescent="0.6">
      <c r="A215" s="8"/>
      <c r="C215" s="11"/>
      <c r="D215" s="11"/>
      <c r="E215" s="66"/>
      <c r="F215" s="11"/>
      <c r="G215" s="11"/>
      <c r="M215" s="66"/>
      <c r="N215" s="66"/>
      <c r="O215" s="66"/>
      <c r="P215" s="66"/>
      <c r="Q215" s="66"/>
      <c r="R215" s="66"/>
    </row>
    <row r="216" spans="1:18" x14ac:dyDescent="0.6">
      <c r="A216" s="8"/>
      <c r="B216" s="99" t="s">
        <v>108</v>
      </c>
      <c r="C216" s="66"/>
      <c r="D216" s="66"/>
      <c r="E216" s="66">
        <f>+E151+(E$95*$E$191)+E$197+E200</f>
        <v>102.61469915679426</v>
      </c>
      <c r="F216" s="66">
        <f>+F151+(F$95*$E$191)+F$197+F200</f>
        <v>103.79830938233302</v>
      </c>
      <c r="G216" s="66">
        <f>+G151+(G$95*$E$191)+G$197+G200</f>
        <v>105.08756460127918</v>
      </c>
      <c r="H216" s="66"/>
      <c r="I216" s="66">
        <f>+I151+(I$95*$E$191)+I$197+I200</f>
        <v>82.384332432893132</v>
      </c>
      <c r="J216" s="66"/>
      <c r="K216" s="66"/>
      <c r="M216" s="66"/>
      <c r="N216" s="66"/>
      <c r="O216" s="66"/>
      <c r="P216" s="66"/>
      <c r="Q216" s="66"/>
      <c r="R216" s="66"/>
    </row>
    <row r="217" spans="1:18" x14ac:dyDescent="0.6">
      <c r="A217" s="8"/>
      <c r="B217" s="164" t="s">
        <v>128</v>
      </c>
      <c r="C217" s="66"/>
      <c r="D217" s="66"/>
      <c r="E217" s="66">
        <f>+E152+(E$95*$E$191)+E$197+E$201</f>
        <v>148.4420223567144</v>
      </c>
      <c r="F217" s="66"/>
      <c r="G217" s="66"/>
      <c r="H217" s="66">
        <f>+H152+(H$95*$E$191)+H$197+H$201</f>
        <v>141.16148663340022</v>
      </c>
      <c r="I217" s="66"/>
      <c r="J217" s="66"/>
      <c r="M217" s="66"/>
      <c r="N217" s="66"/>
      <c r="O217" s="66"/>
      <c r="P217" s="66"/>
      <c r="Q217" s="66"/>
      <c r="R217" s="66"/>
    </row>
    <row r="218" spans="1:18" x14ac:dyDescent="0.6">
      <c r="A218" s="8"/>
      <c r="B218" s="164" t="s">
        <v>129</v>
      </c>
      <c r="C218" s="66"/>
      <c r="D218" s="66"/>
      <c r="E218" s="66">
        <f>+E153+(E$95*$E$191)+E$197</f>
        <v>69.753990059417774</v>
      </c>
      <c r="F218" s="66"/>
      <c r="G218" s="66"/>
      <c r="H218" s="66">
        <f>+H153+(H$95*$E$191)+H$197</f>
        <v>70.312112657479318</v>
      </c>
      <c r="I218" s="66"/>
      <c r="J218" s="66"/>
      <c r="M218" s="66"/>
      <c r="N218" s="66"/>
      <c r="O218" s="66"/>
      <c r="P218" s="66"/>
      <c r="Q218" s="66"/>
      <c r="R218" s="66"/>
    </row>
    <row r="219" spans="1:18" x14ac:dyDescent="0.6">
      <c r="A219" s="8"/>
      <c r="B219" s="126" t="s">
        <v>160</v>
      </c>
      <c r="C219" s="66"/>
      <c r="D219" s="66"/>
      <c r="E219" s="66"/>
      <c r="F219" s="66">
        <f>(F216*SUM(F65:F68)-C186*10*E185*SUM(F65:F68))/SUM(F65:F68)</f>
        <v>99.72071818316391</v>
      </c>
      <c r="G219" s="66"/>
      <c r="H219" s="66"/>
      <c r="I219" s="66"/>
      <c r="J219" s="66"/>
      <c r="M219" s="66"/>
      <c r="N219" s="66"/>
      <c r="O219" s="66"/>
      <c r="P219" s="66"/>
      <c r="Q219" s="66"/>
      <c r="R219" s="66"/>
    </row>
    <row r="220" spans="1:18" x14ac:dyDescent="0.6">
      <c r="A220" s="8"/>
      <c r="B220" s="126" t="s">
        <v>161</v>
      </c>
      <c r="C220" s="66"/>
      <c r="D220" s="66"/>
      <c r="E220" s="66"/>
      <c r="F220" s="66">
        <f>+F219+C186*10</f>
        <v>108.37271818316391</v>
      </c>
      <c r="G220" s="180"/>
      <c r="H220" s="66"/>
      <c r="I220" s="66"/>
      <c r="J220" s="66"/>
      <c r="M220" s="66"/>
      <c r="N220" s="66"/>
      <c r="O220" s="66"/>
      <c r="P220" s="66"/>
      <c r="Q220" s="66"/>
      <c r="R220" s="66"/>
    </row>
    <row r="221" spans="1:18" x14ac:dyDescent="0.6">
      <c r="A221" s="8"/>
      <c r="C221" s="66"/>
      <c r="D221" s="66"/>
      <c r="E221" s="66"/>
      <c r="F221" s="66"/>
      <c r="G221" s="66"/>
      <c r="H221" s="66"/>
      <c r="I221" s="66"/>
      <c r="J221" s="66"/>
      <c r="M221" s="66"/>
      <c r="N221" s="66"/>
      <c r="O221" s="66"/>
      <c r="P221" s="66"/>
      <c r="Q221" s="66"/>
      <c r="R221" s="66"/>
    </row>
    <row r="222" spans="1:18" x14ac:dyDescent="0.6">
      <c r="A222" s="8"/>
      <c r="B222" s="99" t="s">
        <v>111</v>
      </c>
      <c r="C222" s="66"/>
      <c r="D222" s="66"/>
      <c r="E222" s="66">
        <f>+E155+(E$95*$E$191)+E$197+E202</f>
        <v>101.14177281204039</v>
      </c>
      <c r="F222" s="66">
        <f>+F155+(F$95*$E$191)+F$197+F202</f>
        <v>104.9170527635281</v>
      </c>
      <c r="G222" s="66">
        <f>+G155+(G$95*$E$191)+G$197+G202</f>
        <v>103.3913005620162</v>
      </c>
      <c r="H222" s="66"/>
      <c r="I222" s="66">
        <f>+I155+(I$95*$E$191)+I$197+I202</f>
        <v>83.766071809614459</v>
      </c>
      <c r="J222" s="66"/>
      <c r="K222" s="66"/>
      <c r="M222" s="66"/>
      <c r="N222" s="66"/>
      <c r="O222" s="66"/>
      <c r="P222" s="66"/>
      <c r="Q222" s="66"/>
      <c r="R222" s="66"/>
    </row>
    <row r="223" spans="1:18" x14ac:dyDescent="0.6">
      <c r="A223" s="8"/>
      <c r="B223" s="164" t="s">
        <v>128</v>
      </c>
      <c r="C223" s="66"/>
      <c r="D223" s="66"/>
      <c r="E223" s="66">
        <f>+E156+(E$95*$E$191)+E$197+E$203</f>
        <v>149.87698431083328</v>
      </c>
      <c r="F223" s="66"/>
      <c r="G223" s="66"/>
      <c r="H223" s="66">
        <f>+H156+(H$95*$E$191)+H$197+H$203</f>
        <v>136.06599126581781</v>
      </c>
      <c r="I223" s="66"/>
      <c r="J223" s="66"/>
      <c r="M223" s="66"/>
      <c r="N223" s="66"/>
      <c r="O223" s="66"/>
      <c r="P223" s="66"/>
      <c r="Q223" s="66"/>
      <c r="R223" s="66"/>
    </row>
    <row r="224" spans="1:18" x14ac:dyDescent="0.6">
      <c r="A224" s="8"/>
      <c r="B224" s="164" t="s">
        <v>129</v>
      </c>
      <c r="C224" s="66"/>
      <c r="D224" s="66"/>
      <c r="E224" s="66">
        <f>+E157+(E$95*$E$191)+E$197</f>
        <v>73.690642867579356</v>
      </c>
      <c r="F224" s="66"/>
      <c r="G224" s="66"/>
      <c r="H224" s="66">
        <f>+H157+(H$95*$E$191)+H$197</f>
        <v>73.469446221843697</v>
      </c>
      <c r="I224" s="66"/>
      <c r="J224" s="66"/>
      <c r="M224" s="66"/>
      <c r="N224" s="66"/>
      <c r="O224" s="66"/>
      <c r="P224" s="66"/>
      <c r="Q224" s="66"/>
      <c r="R224" s="66"/>
    </row>
    <row r="225" spans="1:18" x14ac:dyDescent="0.6">
      <c r="A225" s="8"/>
      <c r="C225" s="66"/>
      <c r="D225" s="66"/>
      <c r="E225" s="66"/>
      <c r="F225" s="66"/>
      <c r="G225" s="66"/>
      <c r="H225" s="66"/>
      <c r="I225" s="66"/>
      <c r="J225" s="66"/>
      <c r="M225" s="66"/>
      <c r="N225" s="66"/>
      <c r="O225" s="66"/>
      <c r="P225" s="66"/>
      <c r="Q225" s="66"/>
      <c r="R225" s="66"/>
    </row>
    <row r="226" spans="1:18" x14ac:dyDescent="0.6">
      <c r="A226" s="8"/>
      <c r="B226" t="s">
        <v>182</v>
      </c>
      <c r="C226" s="66"/>
      <c r="D226" s="66"/>
      <c r="E226" s="66">
        <f>+E159+(E$95*$E$191)+E$197+E199</f>
        <v>101.6278408438713</v>
      </c>
      <c r="F226" s="66">
        <f>+F159+(F$95*$E$191)+F$197+F199</f>
        <v>104.45171479471229</v>
      </c>
      <c r="G226" s="66">
        <f>+G159+(G$95*$E$191)+G$197+G199</f>
        <v>104.01277816811691</v>
      </c>
      <c r="H226" s="66">
        <f>((H217*SUMPRODUCT(H38:H41,H65:H68)+H218*SUMPRODUCT(T38:T41,H65:H68))+(H223*(SUMPRODUCT(H33:H37,H60:H64)+SUMPRODUCT(H42:H44,H69:H71))+H224*(SUMPRODUCT(T33:T37,H60:H64)+SUMPRODUCT(T42:T44,H69:H71))))/H72</f>
        <v>100.86300385866419</v>
      </c>
      <c r="I226" s="66">
        <f>+I159+(I$95*$E$191)+I$197+I199</f>
        <v>83.305484147511095</v>
      </c>
      <c r="J226" s="66"/>
      <c r="K226" s="66"/>
      <c r="M226" s="66"/>
      <c r="N226" s="66"/>
      <c r="O226" s="66"/>
      <c r="P226" s="66"/>
      <c r="Q226" s="66"/>
      <c r="R226" s="66"/>
    </row>
    <row r="227" spans="1:18" x14ac:dyDescent="0.6">
      <c r="A227" s="8"/>
      <c r="C227" s="66"/>
      <c r="D227" s="66"/>
      <c r="E227" s="66"/>
      <c r="F227" s="66"/>
      <c r="G227" s="66"/>
      <c r="H227" s="66"/>
      <c r="I227" s="66"/>
      <c r="J227" s="66"/>
      <c r="K227" s="66"/>
      <c r="M227" s="66"/>
      <c r="N227" s="66"/>
      <c r="O227" s="66"/>
      <c r="P227" s="66"/>
      <c r="Q227" s="66"/>
      <c r="R227" s="66"/>
    </row>
    <row r="228" spans="1:18" x14ac:dyDescent="0.6">
      <c r="A228" s="8"/>
      <c r="B228" s="4" t="s">
        <v>183</v>
      </c>
      <c r="M228" s="66"/>
      <c r="N228" s="66"/>
      <c r="O228" s="66"/>
      <c r="P228" s="66"/>
      <c r="Q228" s="66"/>
      <c r="R228" s="66"/>
    </row>
    <row r="229" spans="1:18" x14ac:dyDescent="0.6">
      <c r="A229" s="8"/>
      <c r="B229" s="5" t="s">
        <v>184</v>
      </c>
      <c r="M229" s="66"/>
      <c r="N229" s="66"/>
      <c r="O229" s="66"/>
      <c r="P229" s="66"/>
      <c r="Q229" s="66"/>
      <c r="R229" s="66"/>
    </row>
    <row r="230" spans="1:18" x14ac:dyDescent="0.6">
      <c r="A230" s="8"/>
      <c r="B230" s="5" t="s">
        <v>81</v>
      </c>
      <c r="M230" s="66"/>
      <c r="N230" s="66"/>
      <c r="O230" s="66"/>
      <c r="P230" s="66"/>
      <c r="Q230" s="66"/>
      <c r="R230" s="66"/>
    </row>
    <row r="231" spans="1:18" x14ac:dyDescent="0.6">
      <c r="A231" s="8"/>
      <c r="B231" s="164"/>
      <c r="C231" s="66"/>
      <c r="D231" s="66"/>
      <c r="I231" s="126"/>
      <c r="J231" s="66"/>
      <c r="K231" s="171"/>
      <c r="M231" s="66"/>
    </row>
    <row r="232" spans="1:18" x14ac:dyDescent="0.6">
      <c r="A232" s="8"/>
      <c r="C232" s="66"/>
      <c r="D232" s="66"/>
    </row>
    <row r="233" spans="1:18" x14ac:dyDescent="0.6">
      <c r="A233" s="8"/>
      <c r="B233" s="14" t="s">
        <v>185</v>
      </c>
      <c r="C233" s="66"/>
      <c r="D233" s="66"/>
      <c r="I233" s="29"/>
      <c r="K233" s="171"/>
    </row>
    <row r="234" spans="1:18" x14ac:dyDescent="0.6">
      <c r="A234" s="8"/>
      <c r="B234" s="164"/>
      <c r="C234" s="66"/>
      <c r="D234" s="66"/>
      <c r="I234" s="126"/>
      <c r="J234" s="49"/>
      <c r="K234" s="171"/>
    </row>
    <row r="235" spans="1:18" ht="15.5" x14ac:dyDescent="0.7">
      <c r="A235" s="8"/>
      <c r="B235" s="340" t="str">
        <f>$B$1</f>
        <v xml:space="preserve">Jersey Central Power &amp; Light </v>
      </c>
      <c r="C235" s="340"/>
      <c r="D235" s="340"/>
      <c r="E235" s="340"/>
      <c r="F235" s="340"/>
      <c r="G235" s="340"/>
      <c r="H235" s="340"/>
      <c r="I235" s="340"/>
      <c r="J235" s="340"/>
      <c r="K235" s="340"/>
      <c r="L235" s="340"/>
    </row>
    <row r="236" spans="1:18" ht="15.5" x14ac:dyDescent="0.7">
      <c r="A236" s="8"/>
      <c r="B236" s="340" t="str">
        <f>$B$2</f>
        <v>Attachment 2</v>
      </c>
      <c r="C236" s="340"/>
      <c r="D236" s="340"/>
      <c r="E236" s="340"/>
      <c r="F236" s="340"/>
      <c r="G236" s="340"/>
      <c r="H236" s="340"/>
      <c r="I236" s="340"/>
      <c r="J236" s="340"/>
      <c r="K236" s="340"/>
      <c r="L236" s="340"/>
    </row>
    <row r="237" spans="1:18" ht="15.5" x14ac:dyDescent="0.7">
      <c r="A237" s="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8" ht="15.5" x14ac:dyDescent="0.7">
      <c r="A238" s="6" t="s">
        <v>186</v>
      </c>
      <c r="B238" s="4" t="s">
        <v>187</v>
      </c>
      <c r="C238" s="98"/>
      <c r="E238" s="30"/>
      <c r="F238" s="20"/>
      <c r="K238" s="1"/>
      <c r="L238" s="1"/>
    </row>
    <row r="239" spans="1:18" ht="15.5" x14ac:dyDescent="0.7">
      <c r="B239" t="s">
        <v>188</v>
      </c>
      <c r="K239" s="1"/>
      <c r="L239" s="1"/>
    </row>
    <row r="240" spans="1:18" ht="15.5" x14ac:dyDescent="0.7">
      <c r="E240" s="11" t="s">
        <v>13</v>
      </c>
      <c r="F240" s="11" t="s">
        <v>14</v>
      </c>
      <c r="G240" s="11" t="s">
        <v>15</v>
      </c>
      <c r="H240" s="11" t="s">
        <v>46</v>
      </c>
      <c r="I240" s="11" t="s">
        <v>17</v>
      </c>
      <c r="K240" s="1"/>
      <c r="L240" s="1"/>
    </row>
    <row r="241" spans="1:12" ht="15.5" x14ac:dyDescent="0.7">
      <c r="K241" s="1"/>
      <c r="L241" s="1"/>
    </row>
    <row r="242" spans="1:12" ht="15.5" x14ac:dyDescent="0.7">
      <c r="B242" s="99" t="s">
        <v>108</v>
      </c>
      <c r="E242" s="122">
        <f>'Composite Cost Allocation'!E110</f>
        <v>2152065.5431923</v>
      </c>
      <c r="G242" s="122">
        <f>'Composite Cost Allocation'!G110</f>
        <v>2026419000</v>
      </c>
      <c r="I242" s="122">
        <f>'Composite Cost Allocation'!I110</f>
        <v>39017000</v>
      </c>
      <c r="K242" s="1"/>
      <c r="L242" s="1"/>
    </row>
    <row r="243" spans="1:12" ht="15.5" x14ac:dyDescent="0.7">
      <c r="B243" s="164" t="s">
        <v>128</v>
      </c>
      <c r="E243" s="122">
        <f>'Composite Cost Allocation'!E111</f>
        <v>26015580</v>
      </c>
      <c r="H243" s="122">
        <f>'Composite Cost Allocation'!H111</f>
        <v>22890524.199999999</v>
      </c>
      <c r="K243" s="1"/>
      <c r="L243" s="1"/>
    </row>
    <row r="244" spans="1:12" ht="15.5" x14ac:dyDescent="0.7">
      <c r="B244" s="164" t="s">
        <v>129</v>
      </c>
      <c r="E244" s="122">
        <f>'Composite Cost Allocation'!E112</f>
        <v>36279354.456807703</v>
      </c>
      <c r="H244" s="122">
        <f>'Composite Cost Allocation'!H112</f>
        <v>27966475.800000001</v>
      </c>
      <c r="K244" s="1"/>
      <c r="L244" s="1"/>
    </row>
    <row r="245" spans="1:12" ht="15.5" x14ac:dyDescent="0.7">
      <c r="B245" s="126" t="s">
        <v>160</v>
      </c>
      <c r="F245" s="122">
        <f>'Composite Cost Allocation'!F113</f>
        <v>2081168000</v>
      </c>
      <c r="K245" s="1"/>
      <c r="L245" s="1"/>
    </row>
    <row r="246" spans="1:12" ht="15.5" x14ac:dyDescent="0.7">
      <c r="B246" s="126" t="s">
        <v>161</v>
      </c>
      <c r="F246" s="122">
        <f>'Composite Cost Allocation'!F114</f>
        <v>1855137000</v>
      </c>
      <c r="K246" s="1"/>
      <c r="L246" s="1"/>
    </row>
    <row r="247" spans="1:12" ht="15.5" x14ac:dyDescent="0.7">
      <c r="K247" s="1"/>
      <c r="L247" s="1"/>
    </row>
    <row r="248" spans="1:12" ht="15.5" x14ac:dyDescent="0.7">
      <c r="B248" s="99" t="s">
        <v>111</v>
      </c>
      <c r="E248" s="122">
        <f>'Composite Cost Allocation'!E116</f>
        <v>5274004.6993009001</v>
      </c>
      <c r="F248" s="122">
        <f>'Composite Cost Allocation'!F116</f>
        <v>5527172000</v>
      </c>
      <c r="G248" s="122">
        <f>'Composite Cost Allocation'!G116</f>
        <v>3504499000</v>
      </c>
      <c r="I248" s="122">
        <f>'Composite Cost Allocation'!I116</f>
        <v>78032000</v>
      </c>
      <c r="K248" s="1"/>
      <c r="L248" s="1"/>
    </row>
    <row r="249" spans="1:12" ht="15.5" x14ac:dyDescent="0.7">
      <c r="B249" s="164" t="s">
        <v>128</v>
      </c>
      <c r="E249" s="122">
        <f>'Composite Cost Allocation'!E117</f>
        <v>45240474.137929991</v>
      </c>
      <c r="H249" s="122">
        <f>'Composite Cost Allocation'!H117</f>
        <v>43702025.5</v>
      </c>
      <c r="K249" s="1"/>
      <c r="L249" s="1"/>
    </row>
    <row r="250" spans="1:12" ht="15.5" x14ac:dyDescent="0.7">
      <c r="B250" s="164" t="s">
        <v>129</v>
      </c>
      <c r="E250" s="122">
        <f>'Composite Cost Allocation'!E118</f>
        <v>80331521.162769109</v>
      </c>
      <c r="H250" s="122">
        <f>'Composite Cost Allocation'!H118</f>
        <v>58644974.5</v>
      </c>
      <c r="K250" s="1"/>
      <c r="L250" s="1"/>
    </row>
    <row r="251" spans="1:12" ht="15.5" x14ac:dyDescent="0.7">
      <c r="J251" s="11" t="s">
        <v>44</v>
      </c>
      <c r="K251" s="1"/>
      <c r="L251" s="1"/>
    </row>
    <row r="252" spans="1:12" ht="15.5" x14ac:dyDescent="0.7">
      <c r="B252" s="126" t="s">
        <v>153</v>
      </c>
      <c r="E252" s="122">
        <f>SUM(E242:E246)</f>
        <v>64447000</v>
      </c>
      <c r="F252" s="122">
        <f>SUM(F242:F246)</f>
        <v>3936305000</v>
      </c>
      <c r="G252" s="122">
        <f>SUM(G242:G246)</f>
        <v>2026419000</v>
      </c>
      <c r="H252" s="122">
        <f>SUM(H242:H246)</f>
        <v>50857000</v>
      </c>
      <c r="I252" s="122">
        <f>SUM(I242:I246)</f>
        <v>39017000</v>
      </c>
      <c r="J252" s="122">
        <f>SUM(E252:I252)</f>
        <v>6117045000</v>
      </c>
      <c r="K252" s="1"/>
      <c r="L252" s="1"/>
    </row>
    <row r="253" spans="1:12" ht="15.5" x14ac:dyDescent="0.7">
      <c r="B253" s="126" t="s">
        <v>154</v>
      </c>
      <c r="E253" s="31">
        <f>SUM(E248:E250)</f>
        <v>130846000</v>
      </c>
      <c r="F253" s="31">
        <f>SUM(F248:F250)</f>
        <v>5527172000</v>
      </c>
      <c r="G253" s="35">
        <f>SUM(G248:G250)</f>
        <v>3504499000</v>
      </c>
      <c r="H253" s="19">
        <f>SUM(H248:H250)</f>
        <v>102347000</v>
      </c>
      <c r="I253" s="19">
        <f>SUM(I248:I250)</f>
        <v>78032000</v>
      </c>
      <c r="J253" s="31">
        <f>SUM(E253:I253)</f>
        <v>9342896000</v>
      </c>
      <c r="K253" s="1"/>
      <c r="L253" s="1"/>
    </row>
    <row r="254" spans="1:12" ht="15.5" x14ac:dyDescent="0.7">
      <c r="B254" s="126" t="s">
        <v>155</v>
      </c>
      <c r="E254" s="122">
        <f>SUM(E252:E253)</f>
        <v>195293000</v>
      </c>
      <c r="F254" s="122">
        <f>SUM(F252:F253)</f>
        <v>9463477000</v>
      </c>
      <c r="G254" s="122">
        <f>SUM(G252:G253)</f>
        <v>5530918000</v>
      </c>
      <c r="H254" s="122">
        <f>SUM(H252:H253)</f>
        <v>153204000</v>
      </c>
      <c r="I254" s="122">
        <f>SUM(I252:I253)</f>
        <v>117049000</v>
      </c>
      <c r="J254" s="122">
        <f>SUM(E254:I254)</f>
        <v>15459941000</v>
      </c>
      <c r="K254" s="1"/>
      <c r="L254" s="1"/>
    </row>
    <row r="255" spans="1:12" ht="15.5" x14ac:dyDescent="0.7">
      <c r="A255" s="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5" x14ac:dyDescent="0.7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8" spans="1:15" x14ac:dyDescent="0.6">
      <c r="A258" s="6" t="s">
        <v>189</v>
      </c>
      <c r="B258" s="4" t="s">
        <v>190</v>
      </c>
    </row>
    <row r="259" spans="1:15" x14ac:dyDescent="0.6">
      <c r="A259" s="8"/>
      <c r="B259" s="4"/>
    </row>
    <row r="260" spans="1:15" x14ac:dyDescent="0.6">
      <c r="A260" s="8"/>
      <c r="C260" s="11"/>
      <c r="D260" s="11"/>
      <c r="E260" s="11" t="str">
        <f>+E$13</f>
        <v>RT{1}</v>
      </c>
      <c r="F260" s="11" t="str">
        <f>+F$13</f>
        <v>RS{2}</v>
      </c>
      <c r="G260" s="11" t="str">
        <f>+G$13</f>
        <v>GS{3}</v>
      </c>
      <c r="H260" s="28" t="str">
        <f>+H$58</f>
        <v>GST {4}</v>
      </c>
      <c r="I260" s="11" t="str">
        <f>+I$13</f>
        <v>OL/SL</v>
      </c>
      <c r="J260" s="11" t="s">
        <v>44</v>
      </c>
      <c r="K260" s="11"/>
      <c r="L260" s="11"/>
    </row>
    <row r="261" spans="1:15" x14ac:dyDescent="0.6">
      <c r="A261" s="8"/>
      <c r="B261" t="s">
        <v>191</v>
      </c>
    </row>
    <row r="262" spans="1:15" x14ac:dyDescent="0.6">
      <c r="A262" s="8"/>
      <c r="B262" s="99" t="s">
        <v>108</v>
      </c>
      <c r="C262" s="181"/>
      <c r="D262" s="181"/>
      <c r="E262" s="181">
        <f>+E216*E242/1000000</f>
        <v>220.83355828038088</v>
      </c>
      <c r="F262" s="181"/>
      <c r="G262" s="181">
        <f>+G216*G242/1000000</f>
        <v>212951.43757175954</v>
      </c>
      <c r="H262" s="23"/>
      <c r="I262" s="181">
        <f>+I216*I242/1000000</f>
        <v>3214.3894985341913</v>
      </c>
      <c r="J262" s="181"/>
      <c r="K262" s="181"/>
      <c r="L262" s="181"/>
    </row>
    <row r="263" spans="1:15" x14ac:dyDescent="0.6">
      <c r="A263" s="8"/>
      <c r="B263" s="164" t="s">
        <v>128</v>
      </c>
      <c r="C263" s="181"/>
      <c r="D263" s="181"/>
      <c r="E263" s="181">
        <f>+E217*E243/1000000</f>
        <v>3861.8053079828919</v>
      </c>
      <c r="F263" s="181"/>
      <c r="G263" s="181"/>
      <c r="H263" s="181">
        <f>+H217*H243/1000000</f>
        <v>3231.2604258898241</v>
      </c>
      <c r="I263" s="181"/>
      <c r="J263" s="181"/>
      <c r="K263" s="181"/>
      <c r="L263" s="181"/>
    </row>
    <row r="264" spans="1:15" x14ac:dyDescent="0.6">
      <c r="A264" s="8"/>
      <c r="B264" s="164" t="s">
        <v>129</v>
      </c>
      <c r="C264" s="181"/>
      <c r="D264" s="181"/>
      <c r="E264" s="181">
        <f>+E218*E244/1000000</f>
        <v>2530.6297301422587</v>
      </c>
      <c r="F264" s="181"/>
      <c r="G264" s="181"/>
      <c r="H264" s="181">
        <f>+H218*H244/1000000</f>
        <v>1966.3819970822692</v>
      </c>
      <c r="I264" s="181"/>
      <c r="J264" s="181"/>
      <c r="K264" s="148"/>
      <c r="L264" s="148"/>
      <c r="N264" s="148"/>
      <c r="O264" s="148"/>
    </row>
    <row r="265" spans="1:15" x14ac:dyDescent="0.6">
      <c r="A265" s="8"/>
      <c r="B265" s="126" t="s">
        <v>160</v>
      </c>
      <c r="C265" s="181"/>
      <c r="D265" s="181"/>
      <c r="E265" s="181"/>
      <c r="F265" s="181">
        <f>+F219*F245/1000000</f>
        <v>207535.56761981887</v>
      </c>
      <c r="G265" s="181"/>
      <c r="H265" s="23"/>
      <c r="I265" s="181"/>
      <c r="J265" s="181"/>
      <c r="K265" s="181"/>
      <c r="L265" s="181"/>
      <c r="M265" s="148"/>
    </row>
    <row r="266" spans="1:15" x14ac:dyDescent="0.6">
      <c r="A266" s="8"/>
      <c r="B266" s="126" t="s">
        <v>161</v>
      </c>
      <c r="C266" s="181"/>
      <c r="D266" s="181"/>
      <c r="E266" s="181"/>
      <c r="F266" s="181">
        <f>+F220*F246/1000000</f>
        <v>201046.23929216014</v>
      </c>
      <c r="G266" s="181"/>
      <c r="H266" s="23"/>
      <c r="I266" s="181"/>
      <c r="J266" s="181"/>
      <c r="K266" s="181"/>
      <c r="L266" s="181"/>
    </row>
    <row r="267" spans="1:15" x14ac:dyDescent="0.6">
      <c r="A267" s="8"/>
      <c r="C267" s="181"/>
      <c r="D267" s="181"/>
      <c r="E267" s="181"/>
      <c r="F267" s="181"/>
      <c r="G267" s="181"/>
      <c r="H267" s="23"/>
      <c r="I267" s="181"/>
      <c r="J267" s="181"/>
      <c r="K267" s="181"/>
      <c r="L267" s="181"/>
    </row>
    <row r="268" spans="1:15" x14ac:dyDescent="0.6">
      <c r="A268" s="8"/>
      <c r="B268" s="99" t="s">
        <v>111</v>
      </c>
      <c r="C268" s="181"/>
      <c r="D268" s="181"/>
      <c r="E268" s="181">
        <f>+E222*E248/1000000</f>
        <v>533.42218510632506</v>
      </c>
      <c r="F268" s="181">
        <f>+F222*F248/1000000</f>
        <v>579894.59635709517</v>
      </c>
      <c r="G268" s="181">
        <f>+G222*G248/1000000</f>
        <v>362334.70942828519</v>
      </c>
      <c r="I268" s="181">
        <f>+I222*I248/1000000</f>
        <v>6536.4341154478361</v>
      </c>
      <c r="J268" s="181"/>
      <c r="K268" s="181"/>
      <c r="L268" s="181"/>
    </row>
    <row r="269" spans="1:15" x14ac:dyDescent="0.6">
      <c r="A269" s="8"/>
      <c r="B269" s="164" t="s">
        <v>128</v>
      </c>
      <c r="C269" s="181"/>
      <c r="D269" s="181"/>
      <c r="E269" s="181">
        <f>+E223*E249/1000000</f>
        <v>6780.5058325851915</v>
      </c>
      <c r="F269" s="148"/>
      <c r="G269" s="148"/>
      <c r="H269" s="181">
        <f>+H223*H249/1000000</f>
        <v>5946.359419981547</v>
      </c>
      <c r="I269" s="148"/>
      <c r="J269" s="181"/>
      <c r="K269" s="181"/>
      <c r="L269" s="181"/>
    </row>
    <row r="270" spans="1:15" x14ac:dyDescent="0.6">
      <c r="A270" s="8"/>
      <c r="B270" s="164" t="s">
        <v>129</v>
      </c>
      <c r="C270" s="148"/>
      <c r="D270" s="148"/>
      <c r="E270" s="181">
        <f>+E224*E250/1000000</f>
        <v>5919.6814370150114</v>
      </c>
      <c r="H270" s="181">
        <f>+H224*H250/1000000</f>
        <v>4308.6138002091448</v>
      </c>
      <c r="J270" s="181"/>
      <c r="K270" s="181"/>
      <c r="L270" s="181"/>
    </row>
    <row r="271" spans="1:15" x14ac:dyDescent="0.6">
      <c r="A271" s="8"/>
      <c r="B271" s="127"/>
    </row>
    <row r="272" spans="1:15" x14ac:dyDescent="0.6">
      <c r="A272" s="8"/>
      <c r="B272" t="s">
        <v>192</v>
      </c>
    </row>
    <row r="273" spans="1:12" x14ac:dyDescent="0.6">
      <c r="A273" s="8"/>
      <c r="B273" s="127" t="s">
        <v>91</v>
      </c>
      <c r="E273" s="148">
        <f>SUM(E262:E266)</f>
        <v>6613.2685964055308</v>
      </c>
      <c r="F273" s="148">
        <f>SUM(F262:F266)</f>
        <v>408581.80691197899</v>
      </c>
      <c r="G273" s="148">
        <f>SUM(G262:G266)</f>
        <v>212951.43757175954</v>
      </c>
      <c r="H273" s="148">
        <f>SUM(H262:H266)</f>
        <v>5197.6424229720933</v>
      </c>
      <c r="I273" s="148">
        <f>SUM(I262:I266)</f>
        <v>3214.3894985341913</v>
      </c>
      <c r="J273" s="182">
        <f>SUM(E273:I273)</f>
        <v>636558.54500165035</v>
      </c>
    </row>
    <row r="274" spans="1:12" x14ac:dyDescent="0.6">
      <c r="A274" s="8"/>
      <c r="B274" s="127" t="s">
        <v>88</v>
      </c>
      <c r="E274" s="148">
        <f>SUM(E268:E270)</f>
        <v>13233.609454706528</v>
      </c>
      <c r="F274" s="148">
        <f>SUM(F268:F270)</f>
        <v>579894.59635709517</v>
      </c>
      <c r="G274" s="148">
        <f>SUM(G268:G270)</f>
        <v>362334.70942828519</v>
      </c>
      <c r="H274" s="148">
        <f>SUM(H268:H270)</f>
        <v>10254.973220190692</v>
      </c>
      <c r="I274" s="148">
        <f>SUM(I268:I270)</f>
        <v>6536.4341154478361</v>
      </c>
      <c r="J274" s="182">
        <f>SUM(E274:I274)</f>
        <v>972254.32257572538</v>
      </c>
    </row>
    <row r="275" spans="1:12" x14ac:dyDescent="0.6">
      <c r="A275" s="8"/>
      <c r="B275" s="127" t="s">
        <v>44</v>
      </c>
      <c r="E275" s="148">
        <f>SUM(E273:E274)</f>
        <v>19846.878051112057</v>
      </c>
      <c r="F275" s="148">
        <f>SUM(F273:F274)</f>
        <v>988476.40326907416</v>
      </c>
      <c r="G275" s="148">
        <f>SUM(G273:G274)</f>
        <v>575286.1470000447</v>
      </c>
      <c r="H275" s="148">
        <f>SUM(H273:H274)</f>
        <v>15452.615643162786</v>
      </c>
      <c r="I275" s="148">
        <f>SUM(I273:I274)</f>
        <v>9750.8236139820274</v>
      </c>
      <c r="J275" s="148">
        <f>SUM(E275:I275)</f>
        <v>1608812.8675773756</v>
      </c>
    </row>
    <row r="276" spans="1:12" x14ac:dyDescent="0.6">
      <c r="A276" s="8"/>
    </row>
    <row r="277" spans="1:12" x14ac:dyDescent="0.6">
      <c r="A277" s="8"/>
      <c r="B277" t="s">
        <v>193</v>
      </c>
    </row>
    <row r="278" spans="1:12" x14ac:dyDescent="0.6">
      <c r="A278" s="8"/>
      <c r="B278" s="127" t="s">
        <v>91</v>
      </c>
      <c r="E278" s="183">
        <f t="shared" ref="E278:J278" si="12">+E273/E275</f>
        <v>0.33321455290722551</v>
      </c>
      <c r="F278" s="183">
        <f t="shared" si="12"/>
        <v>0.41334502832917752</v>
      </c>
      <c r="G278" s="183">
        <f t="shared" si="12"/>
        <v>0.37016611417160195</v>
      </c>
      <c r="H278" s="183">
        <f t="shared" si="12"/>
        <v>0.33636004046161977</v>
      </c>
      <c r="I278" s="183">
        <f t="shared" si="12"/>
        <v>0.32965312734454272</v>
      </c>
      <c r="J278" s="183">
        <f t="shared" si="12"/>
        <v>0.39566972506890097</v>
      </c>
    </row>
    <row r="279" spans="1:12" x14ac:dyDescent="0.6">
      <c r="A279" s="8"/>
      <c r="B279" s="127" t="s">
        <v>88</v>
      </c>
      <c r="E279" s="183">
        <f t="shared" ref="E279:J279" si="13">+E274/E275</f>
        <v>0.66678544709277454</v>
      </c>
      <c r="F279" s="183">
        <f t="shared" si="13"/>
        <v>0.58665497167082248</v>
      </c>
      <c r="G279" s="183">
        <f t="shared" si="13"/>
        <v>0.62983388582839805</v>
      </c>
      <c r="H279" s="183">
        <f t="shared" si="13"/>
        <v>0.66363995953838018</v>
      </c>
      <c r="I279" s="183">
        <f t="shared" si="13"/>
        <v>0.67034687265545734</v>
      </c>
      <c r="J279" s="183">
        <f t="shared" si="13"/>
        <v>0.60433027493109914</v>
      </c>
    </row>
    <row r="280" spans="1:12" x14ac:dyDescent="0.6">
      <c r="A280" s="8"/>
      <c r="B280" s="127"/>
      <c r="E280" s="183"/>
      <c r="F280" s="183"/>
      <c r="G280" s="183"/>
      <c r="H280" s="183"/>
      <c r="I280" s="183"/>
      <c r="J280" s="183"/>
    </row>
    <row r="281" spans="1:12" x14ac:dyDescent="0.6">
      <c r="A281" s="8"/>
      <c r="B281" s="127"/>
      <c r="E281" s="183"/>
      <c r="F281" s="183"/>
      <c r="G281" s="183"/>
      <c r="H281" s="183"/>
      <c r="I281" s="183"/>
      <c r="J281" s="183"/>
    </row>
    <row r="282" spans="1:12" ht="15.5" x14ac:dyDescent="0.7">
      <c r="A282" s="8"/>
      <c r="B282" s="340" t="str">
        <f>$B$1</f>
        <v xml:space="preserve">Jersey Central Power &amp; Light </v>
      </c>
      <c r="C282" s="340"/>
      <c r="D282" s="340"/>
      <c r="E282" s="340"/>
      <c r="F282" s="340"/>
      <c r="G282" s="340"/>
      <c r="H282" s="340"/>
      <c r="I282" s="340"/>
      <c r="J282" s="340"/>
      <c r="K282" s="340"/>
      <c r="L282" s="340"/>
    </row>
    <row r="283" spans="1:12" ht="15.5" x14ac:dyDescent="0.7">
      <c r="A283" s="8"/>
      <c r="B283" s="340" t="str">
        <f>$B$2</f>
        <v>Attachment 2</v>
      </c>
      <c r="C283" s="340"/>
      <c r="D283" s="340"/>
      <c r="E283" s="340"/>
      <c r="F283" s="340"/>
      <c r="G283" s="340"/>
      <c r="H283" s="340"/>
      <c r="I283" s="340"/>
      <c r="J283" s="340"/>
      <c r="K283" s="340"/>
      <c r="L283" s="340"/>
    </row>
    <row r="284" spans="1:12" x14ac:dyDescent="0.6">
      <c r="A284" s="8"/>
      <c r="B284" s="127"/>
      <c r="E284" s="183"/>
      <c r="F284" s="183"/>
      <c r="G284" s="183"/>
      <c r="H284" s="183"/>
      <c r="I284" s="183"/>
      <c r="J284" s="183"/>
    </row>
    <row r="285" spans="1:12" x14ac:dyDescent="0.6">
      <c r="A285" s="6" t="s">
        <v>194</v>
      </c>
      <c r="B285" s="4" t="s">
        <v>195</v>
      </c>
      <c r="G285" s="148"/>
    </row>
    <row r="286" spans="1:12" x14ac:dyDescent="0.6">
      <c r="A286" s="8"/>
      <c r="C286" s="66"/>
      <c r="D286" s="66"/>
    </row>
    <row r="287" spans="1:12" x14ac:dyDescent="0.6">
      <c r="A287" s="8"/>
      <c r="B287" s="4" t="s">
        <v>196</v>
      </c>
      <c r="C287" s="66"/>
      <c r="D287" s="66"/>
    </row>
    <row r="288" spans="1:12" x14ac:dyDescent="0.6">
      <c r="A288" s="8"/>
      <c r="B288" s="126" t="s">
        <v>197</v>
      </c>
      <c r="C288" s="23">
        <f>J275</f>
        <v>1608812.8675773756</v>
      </c>
    </row>
    <row r="289" spans="1:13" x14ac:dyDescent="0.6">
      <c r="A289" s="8"/>
      <c r="B289" s="4"/>
      <c r="C289" s="23"/>
    </row>
    <row r="290" spans="1:13" x14ac:dyDescent="0.6">
      <c r="A290" s="8"/>
      <c r="B290" s="4" t="s">
        <v>198</v>
      </c>
      <c r="C290" s="23"/>
      <c r="E290" s="11" t="str">
        <f>+E$13</f>
        <v>RT{1}</v>
      </c>
      <c r="F290" s="11" t="str">
        <f>+F$13</f>
        <v>RS{2}</v>
      </c>
      <c r="G290" s="11" t="str">
        <f>+G$13</f>
        <v>GS{3}</v>
      </c>
      <c r="H290" s="28" t="str">
        <f>+H$58</f>
        <v>GST {4}</v>
      </c>
      <c r="I290" s="11" t="str">
        <f>+I$13</f>
        <v>OL/SL</v>
      </c>
      <c r="J290" s="11" t="s">
        <v>44</v>
      </c>
    </row>
    <row r="291" spans="1:13" x14ac:dyDescent="0.6">
      <c r="A291" s="8"/>
      <c r="B291" t="s">
        <v>91</v>
      </c>
      <c r="C291" s="23"/>
      <c r="E291" s="128">
        <f>ROUND(SUM(E65:E68)*E95,0)</f>
        <v>72052</v>
      </c>
      <c r="F291" s="128">
        <f>ROUND(SUM(F65:F68)*F95,0)</f>
        <v>4400786</v>
      </c>
      <c r="G291" s="128">
        <f>ROUND(SUM(G65:G68)*G95,0)</f>
        <v>2265535</v>
      </c>
      <c r="H291" s="128">
        <f>ROUND(SUM(H65:H68)*H95,0)</f>
        <v>56858</v>
      </c>
      <c r="I291" s="128">
        <f>ROUND(SUM(I65:I68)*I95,0)</f>
        <v>43621</v>
      </c>
      <c r="J291" s="128">
        <f>SUM(E291:I291)</f>
        <v>6838852</v>
      </c>
    </row>
    <row r="292" spans="1:13" x14ac:dyDescent="0.6">
      <c r="A292" s="8"/>
      <c r="B292" s="96" t="s">
        <v>88</v>
      </c>
      <c r="C292" s="23"/>
      <c r="E292" s="128">
        <f>ROUND((E72-SUM(E65:E68))*E95,0)</f>
        <v>146286</v>
      </c>
      <c r="F292" s="128">
        <f>ROUND((F72-SUM(F65:F68))*F95,0)</f>
        <v>6179374</v>
      </c>
      <c r="G292" s="128">
        <f>ROUND((G72-SUM(G65:G68))*G95,0)</f>
        <v>3918027</v>
      </c>
      <c r="H292" s="128">
        <f>ROUND((H72-SUM(H65:H68))*H95,0)</f>
        <v>114424</v>
      </c>
      <c r="I292" s="128">
        <f>ROUND((I72-SUM(I65:I68))*I95,0)</f>
        <v>87240</v>
      </c>
      <c r="J292" s="128">
        <f>SUM(E292:I292)</f>
        <v>10445351</v>
      </c>
    </row>
    <row r="293" spans="1:13" x14ac:dyDescent="0.6">
      <c r="A293" s="8"/>
      <c r="C293" s="126"/>
      <c r="D293" s="66"/>
      <c r="J293" s="122"/>
    </row>
    <row r="294" spans="1:13" x14ac:dyDescent="0.6">
      <c r="A294" s="8"/>
      <c r="B294" s="4" t="s">
        <v>199</v>
      </c>
      <c r="C294" s="126"/>
      <c r="D294" s="184" t="s">
        <v>200</v>
      </c>
      <c r="E294" s="19" t="s">
        <v>201</v>
      </c>
    </row>
    <row r="295" spans="1:13" x14ac:dyDescent="0.6">
      <c r="A295" s="8"/>
      <c r="B295" s="36" t="s">
        <v>391</v>
      </c>
      <c r="D295" s="20" t="s">
        <v>202</v>
      </c>
      <c r="E295" s="185">
        <f>'Attachment 3 - 24-25'!D35</f>
        <v>93.08</v>
      </c>
      <c r="F295" s="20" t="s">
        <v>203</v>
      </c>
      <c r="G295" s="20" t="s">
        <v>204</v>
      </c>
    </row>
    <row r="296" spans="1:13" x14ac:dyDescent="0.6">
      <c r="A296" s="8"/>
      <c r="B296" t="s">
        <v>205</v>
      </c>
      <c r="C296" s="126"/>
      <c r="D296" s="186">
        <v>1</v>
      </c>
      <c r="E296" s="185">
        <f>ROUND($E$295*D296,3)</f>
        <v>93.08</v>
      </c>
      <c r="F296" s="122">
        <f>J291</f>
        <v>6838852</v>
      </c>
      <c r="G296" s="23">
        <f>ROUND(F296*E296/1000,0)</f>
        <v>636560</v>
      </c>
    </row>
    <row r="297" spans="1:13" ht="15.25" x14ac:dyDescent="1.05">
      <c r="A297" s="8"/>
      <c r="B297" t="s">
        <v>206</v>
      </c>
      <c r="C297" s="126"/>
      <c r="D297" s="186">
        <v>1</v>
      </c>
      <c r="E297" s="185">
        <f>ROUND($E$295*D297,3)</f>
        <v>93.08</v>
      </c>
      <c r="F297" s="122">
        <f>J292</f>
        <v>10445351</v>
      </c>
      <c r="G297" s="22">
        <f>ROUND(F297*E297/1000,0)</f>
        <v>972253</v>
      </c>
    </row>
    <row r="298" spans="1:13" x14ac:dyDescent="0.6">
      <c r="A298" s="8"/>
      <c r="B298" t="s">
        <v>207</v>
      </c>
      <c r="C298" s="126"/>
      <c r="D298" s="66"/>
      <c r="G298" s="148">
        <f>SUM(G296:G297)</f>
        <v>1608813</v>
      </c>
    </row>
    <row r="299" spans="1:13" x14ac:dyDescent="0.6">
      <c r="A299" s="8"/>
      <c r="C299" s="126"/>
      <c r="D299" s="66"/>
    </row>
    <row r="300" spans="1:13" x14ac:dyDescent="0.6">
      <c r="A300" s="6" t="s">
        <v>208</v>
      </c>
      <c r="B300" s="4" t="s">
        <v>209</v>
      </c>
      <c r="C300" s="126"/>
      <c r="D300" s="66"/>
      <c r="F300" s="127" t="s">
        <v>200</v>
      </c>
      <c r="G300" s="127" t="s">
        <v>210</v>
      </c>
      <c r="H300" s="127"/>
    </row>
    <row r="301" spans="1:13" x14ac:dyDescent="0.6">
      <c r="A301" s="8"/>
      <c r="F301" s="127" t="s">
        <v>211</v>
      </c>
      <c r="G301" s="127" t="s">
        <v>202</v>
      </c>
      <c r="H301" s="127" t="s">
        <v>210</v>
      </c>
    </row>
    <row r="302" spans="1:13" x14ac:dyDescent="0.6">
      <c r="A302" s="8"/>
      <c r="B302" t="s">
        <v>212</v>
      </c>
      <c r="F302" s="20" t="s">
        <v>204</v>
      </c>
      <c r="G302" s="20" t="s">
        <v>213</v>
      </c>
      <c r="H302" s="20" t="s">
        <v>202</v>
      </c>
      <c r="I302" s="19"/>
    </row>
    <row r="303" spans="1:13" x14ac:dyDescent="0.6">
      <c r="A303" s="8"/>
      <c r="B303" s="127" t="s">
        <v>91</v>
      </c>
      <c r="C303" s="187">
        <f>J273*1000/J291</f>
        <v>93.079736920999366</v>
      </c>
      <c r="D303" t="s">
        <v>214</v>
      </c>
      <c r="F303" s="188">
        <f>E296</f>
        <v>93.08</v>
      </c>
      <c r="G303" s="186">
        <f>E296/C303</f>
        <v>1.0000028263831564</v>
      </c>
      <c r="H303" s="189">
        <v>1.5554319999999999</v>
      </c>
      <c r="M303" s="190"/>
    </row>
    <row r="304" spans="1:13" x14ac:dyDescent="0.6">
      <c r="A304" s="8"/>
      <c r="B304" s="127" t="s">
        <v>88</v>
      </c>
      <c r="C304" s="187">
        <f>J274*1000/J292</f>
        <v>93.080100666385022</v>
      </c>
      <c r="D304" t="s">
        <v>214</v>
      </c>
      <c r="F304" s="188">
        <f>E297</f>
        <v>93.08</v>
      </c>
      <c r="G304" s="186">
        <f>E297/C304</f>
        <v>0.99999891849724809</v>
      </c>
      <c r="H304" s="189">
        <v>1.4048799999999999</v>
      </c>
      <c r="M304" s="190"/>
    </row>
    <row r="305" spans="1:15" x14ac:dyDescent="0.6">
      <c r="A305" s="8"/>
      <c r="B305" s="127"/>
      <c r="C305" s="187"/>
      <c r="H305" s="11"/>
      <c r="I305" s="32"/>
      <c r="M305" s="4"/>
      <c r="N305" s="32"/>
      <c r="O305" s="32"/>
    </row>
    <row r="306" spans="1:15" x14ac:dyDescent="0.6">
      <c r="A306" s="4" t="s">
        <v>215</v>
      </c>
      <c r="E306" s="33"/>
      <c r="F306" s="34"/>
    </row>
    <row r="307" spans="1:15" x14ac:dyDescent="0.6">
      <c r="A307" s="8"/>
      <c r="B307" s="126" t="s">
        <v>216</v>
      </c>
      <c r="C307" s="191">
        <f>E177</f>
        <v>71.593000000000004</v>
      </c>
      <c r="D307" s="171" t="s">
        <v>217</v>
      </c>
      <c r="E307" s="33"/>
      <c r="F307" s="34"/>
    </row>
    <row r="308" spans="1:15" x14ac:dyDescent="0.6">
      <c r="A308" s="8"/>
      <c r="B308" s="126"/>
      <c r="C308" s="191">
        <f>E178</f>
        <v>71.593000000000004</v>
      </c>
      <c r="D308" s="171" t="s">
        <v>218</v>
      </c>
      <c r="E308" s="33"/>
      <c r="F308" s="34"/>
    </row>
    <row r="309" spans="1:15" x14ac:dyDescent="0.6">
      <c r="A309" s="8"/>
      <c r="B309" s="126" t="s">
        <v>219</v>
      </c>
      <c r="C309" s="148" t="s">
        <v>220</v>
      </c>
      <c r="D309" s="171"/>
      <c r="E309" s="33"/>
      <c r="F309" s="34"/>
    </row>
    <row r="310" spans="1:15" x14ac:dyDescent="0.6">
      <c r="A310" s="8"/>
      <c r="B310" s="126" t="s">
        <v>221</v>
      </c>
      <c r="C310" s="44">
        <f>+H171</f>
        <v>4</v>
      </c>
      <c r="D310" t="s">
        <v>222</v>
      </c>
      <c r="E310" s="33"/>
      <c r="F310" s="34"/>
    </row>
    <row r="311" spans="1:15" x14ac:dyDescent="0.6">
      <c r="A311" s="8"/>
      <c r="B311" s="126"/>
      <c r="C311" s="44">
        <f>+H172</f>
        <v>8</v>
      </c>
      <c r="D311" t="s">
        <v>223</v>
      </c>
      <c r="E311" s="33"/>
      <c r="F311" s="34"/>
    </row>
    <row r="312" spans="1:15" x14ac:dyDescent="0.6">
      <c r="A312" s="8"/>
      <c r="B312" s="126" t="s">
        <v>224</v>
      </c>
      <c r="C312" s="191">
        <f>+E191</f>
        <v>26.58</v>
      </c>
      <c r="D312" t="s">
        <v>225</v>
      </c>
      <c r="E312" s="33"/>
      <c r="F312" s="34"/>
    </row>
    <row r="313" spans="1:15" x14ac:dyDescent="0.6">
      <c r="A313" s="8"/>
      <c r="B313" s="126" t="s">
        <v>226</v>
      </c>
      <c r="C313" t="s">
        <v>227</v>
      </c>
      <c r="E313" s="33"/>
      <c r="F313" s="34"/>
    </row>
    <row r="314" spans="1:15" x14ac:dyDescent="0.6">
      <c r="A314" s="8"/>
      <c r="B314" s="126"/>
      <c r="C314" t="s">
        <v>392</v>
      </c>
      <c r="E314" s="33"/>
      <c r="F314" s="34"/>
    </row>
    <row r="315" spans="1:15" x14ac:dyDescent="0.6">
      <c r="A315" s="8"/>
      <c r="B315" s="126" t="s">
        <v>228</v>
      </c>
      <c r="C315" s="96" t="str">
        <f>'BGS PTY22 Cost Alloc'!C$307</f>
        <v xml:space="preserve"> forecasted 2023 energy use by class based upon PJM on/off % from 201907 through 202206 class load profiles</v>
      </c>
      <c r="E315" s="33"/>
      <c r="F315" s="34"/>
    </row>
    <row r="316" spans="1:15" x14ac:dyDescent="0.6">
      <c r="A316" s="8"/>
      <c r="B316" s="126"/>
      <c r="C316" s="96" t="str">
        <f>'BGS PTY22 Cost Alloc'!C$308</f>
        <v xml:space="preserve">   JCP&amp;L billing on/off % from 2023 forecasted billing determinants</v>
      </c>
      <c r="E316" s="33"/>
      <c r="F316" s="34"/>
    </row>
    <row r="317" spans="1:15" x14ac:dyDescent="0.6">
      <c r="A317" s="8"/>
      <c r="B317" s="126" t="s">
        <v>229</v>
      </c>
      <c r="C317" s="96" t="str">
        <f>'BGS PTY22 Cost Alloc'!C$309</f>
        <v xml:space="preserve"> class totals for 2023 excluding accounts required to take service under BGS-CIEP as of June 1, 2024</v>
      </c>
      <c r="E317" s="33"/>
      <c r="F317" s="34"/>
    </row>
    <row r="318" spans="1:15" x14ac:dyDescent="0.6">
      <c r="A318" s="8"/>
      <c r="B318" s="126" t="s">
        <v>230</v>
      </c>
      <c r="C318" t="s">
        <v>231</v>
      </c>
      <c r="E318" s="33"/>
      <c r="F318" s="34"/>
    </row>
    <row r="319" spans="1:15" x14ac:dyDescent="0.6">
      <c r="A319" s="8"/>
      <c r="B319" s="126" t="s">
        <v>232</v>
      </c>
      <c r="C319" t="s">
        <v>233</v>
      </c>
      <c r="E319" s="192"/>
      <c r="F319" s="34"/>
    </row>
    <row r="320" spans="1:15" x14ac:dyDescent="0.6">
      <c r="C320" t="s">
        <v>234</v>
      </c>
      <c r="E320" s="33"/>
      <c r="F320" s="34"/>
    </row>
    <row r="321" spans="1:12" x14ac:dyDescent="0.6">
      <c r="B321" s="126" t="s">
        <v>235</v>
      </c>
      <c r="C321" s="193" t="s">
        <v>236</v>
      </c>
      <c r="E321" s="33"/>
      <c r="F321" s="34"/>
    </row>
    <row r="322" spans="1:12" x14ac:dyDescent="0.6">
      <c r="A322" s="8"/>
      <c r="C322" s="193" t="s">
        <v>237</v>
      </c>
      <c r="E322" s="194"/>
    </row>
    <row r="323" spans="1:12" x14ac:dyDescent="0.6">
      <c r="C323" s="193" t="s">
        <v>238</v>
      </c>
    </row>
    <row r="324" spans="1:12" x14ac:dyDescent="0.6">
      <c r="A324" s="8"/>
      <c r="B324" s="126" t="s">
        <v>239</v>
      </c>
      <c r="C324" s="195" t="s">
        <v>240</v>
      </c>
      <c r="E324" s="196"/>
      <c r="F324" s="122"/>
    </row>
    <row r="325" spans="1:12" x14ac:dyDescent="0.6">
      <c r="A325" s="8"/>
      <c r="B325" t="str">
        <f>'BGS PTY22 Cost Alloc'!B318</f>
        <v xml:space="preserve"> </v>
      </c>
      <c r="C325" s="197"/>
      <c r="E325" s="196"/>
      <c r="F325" s="196"/>
    </row>
    <row r="330" spans="1:12" x14ac:dyDescent="0.6">
      <c r="L330" s="23"/>
    </row>
    <row r="339" spans="12:12" x14ac:dyDescent="0.6">
      <c r="L339" s="23"/>
    </row>
    <row r="340" spans="12:12" x14ac:dyDescent="0.6">
      <c r="L340" s="23"/>
    </row>
    <row r="341" spans="12:12" x14ac:dyDescent="0.6">
      <c r="L341" s="23"/>
    </row>
    <row r="342" spans="12:12" x14ac:dyDescent="0.6">
      <c r="L342" s="40"/>
    </row>
    <row r="343" spans="12:12" x14ac:dyDescent="0.6">
      <c r="L343" s="40"/>
    </row>
    <row r="344" spans="12:12" x14ac:dyDescent="0.6">
      <c r="L344" s="40"/>
    </row>
  </sheetData>
  <mergeCells count="16">
    <mergeCell ref="B53:L53"/>
    <mergeCell ref="B1:L1"/>
    <mergeCell ref="B2:L2"/>
    <mergeCell ref="B3:L3"/>
    <mergeCell ref="B5:L5"/>
    <mergeCell ref="B52:L52"/>
    <mergeCell ref="B235:L235"/>
    <mergeCell ref="B236:L236"/>
    <mergeCell ref="B282:L282"/>
    <mergeCell ref="B283:L283"/>
    <mergeCell ref="B103:L103"/>
    <mergeCell ref="B104:L104"/>
    <mergeCell ref="B143:L143"/>
    <mergeCell ref="B144:L144"/>
    <mergeCell ref="B205:L205"/>
    <mergeCell ref="B206:L206"/>
  </mergeCells>
  <pageMargins left="0.97" right="0.79" top="0.69" bottom="0.69" header="0.33" footer="0.5"/>
  <pageSetup scale="65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4" max="9" man="1"/>
    <brk id="234" max="9" man="1"/>
    <brk id="281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A647-6C9E-4325-B4AD-481EBD9292FF}">
  <dimension ref="A1:AY318"/>
  <sheetViews>
    <sheetView view="pageBreakPreview" zoomScale="80" zoomScaleNormal="84" zoomScaleSheetLayoutView="80" workbookViewId="0"/>
  </sheetViews>
  <sheetFormatPr defaultColWidth="9.08984375" defaultRowHeight="13" x14ac:dyDescent="0.6"/>
  <cols>
    <col min="1" max="1" width="16.08984375" style="96" customWidth="1"/>
    <col min="2" max="2" width="27.90625" customWidth="1"/>
    <col min="3" max="3" width="14.54296875" customWidth="1"/>
    <col min="4" max="4" width="16.08984375" customWidth="1"/>
    <col min="5" max="5" width="14.453125" customWidth="1"/>
    <col min="6" max="7" width="16.08984375" customWidth="1"/>
    <col min="8" max="8" width="15.08984375" customWidth="1"/>
    <col min="9" max="9" width="14.54296875" customWidth="1"/>
    <col min="10" max="10" width="15.453125" customWidth="1"/>
    <col min="11" max="11" width="4.90625" customWidth="1"/>
    <col min="12" max="12" width="6.54296875" hidden="1" customWidth="1"/>
    <col min="13" max="13" width="15.90625" hidden="1" customWidth="1"/>
    <col min="14" max="14" width="18" hidden="1" customWidth="1"/>
    <col min="15" max="16" width="12.453125" hidden="1" customWidth="1"/>
    <col min="17" max="17" width="15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2.90625" hidden="1" customWidth="1"/>
    <col min="26" max="26" width="11.54296875" hidden="1" customWidth="1"/>
    <col min="27" max="27" width="12.54296875" hidden="1" customWidth="1"/>
    <col min="28" max="28" width="13.81640625" hidden="1" customWidth="1"/>
    <col min="29" max="29" width="15.6328125" hidden="1" customWidth="1"/>
    <col min="30" max="30" width="14.08984375" hidden="1" customWidth="1"/>
    <col min="31" max="31" width="2.6328125" hidden="1" customWidth="1"/>
    <col min="32" max="32" width="12.6328125" hidden="1" customWidth="1"/>
    <col min="33" max="33" width="12" hidden="1" customWidth="1"/>
    <col min="34" max="34" width="13.453125" hidden="1" customWidth="1"/>
    <col min="35" max="35" width="2" hidden="1" customWidth="1"/>
    <col min="36" max="36" width="11" hidden="1" customWidth="1"/>
    <col min="37" max="37" width="14.54296875" hidden="1" customWidth="1"/>
    <col min="38" max="38" width="12.453125" hidden="1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26" ht="15.5" x14ac:dyDescent="0.7">
      <c r="B2" s="340" t="s">
        <v>1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26" ht="15.5" x14ac:dyDescent="0.7">
      <c r="B3" s="340" t="s">
        <v>243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</row>
    <row r="4" spans="1:26" ht="15.5" x14ac:dyDescent="0.7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6" ht="15.5" x14ac:dyDescent="0.7">
      <c r="B5" s="340" t="s">
        <v>244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</row>
    <row r="8" spans="1:26" ht="15.5" x14ac:dyDescent="0.7">
      <c r="B8" s="2" t="s">
        <v>4</v>
      </c>
    </row>
    <row r="9" spans="1:26" x14ac:dyDescent="0.6">
      <c r="A9" s="3"/>
      <c r="B9" s="4" t="s">
        <v>5</v>
      </c>
    </row>
    <row r="10" spans="1:26" x14ac:dyDescent="0.6">
      <c r="E10" s="5" t="s">
        <v>395</v>
      </c>
    </row>
    <row r="11" spans="1:26" x14ac:dyDescent="0.6">
      <c r="A11" s="6" t="s">
        <v>6</v>
      </c>
      <c r="B11" s="7" t="s">
        <v>7</v>
      </c>
      <c r="C11" s="98"/>
      <c r="E11" s="5" t="s">
        <v>8</v>
      </c>
      <c r="N11" s="7"/>
      <c r="Q11" s="7" t="s">
        <v>9</v>
      </c>
    </row>
    <row r="12" spans="1:26" ht="26" x14ac:dyDescent="0.6">
      <c r="A12" s="8"/>
      <c r="C12" s="9"/>
      <c r="D12" s="9"/>
      <c r="E12" s="9" t="s">
        <v>10</v>
      </c>
      <c r="F12" s="9" t="s">
        <v>10</v>
      </c>
      <c r="G12" s="9" t="s">
        <v>10</v>
      </c>
      <c r="H12" s="9" t="s">
        <v>10</v>
      </c>
      <c r="I12" s="9" t="s">
        <v>11</v>
      </c>
      <c r="L12" s="9"/>
      <c r="M12" s="9"/>
      <c r="N12" s="5"/>
      <c r="O12" s="9"/>
      <c r="P12" s="9"/>
      <c r="Q12" s="9" t="s">
        <v>10</v>
      </c>
      <c r="R12" s="9" t="s">
        <v>10</v>
      </c>
      <c r="S12" s="9" t="s">
        <v>10</v>
      </c>
      <c r="T12" s="9" t="s">
        <v>10</v>
      </c>
      <c r="U12" s="9" t="s">
        <v>11</v>
      </c>
      <c r="W12" s="9"/>
      <c r="X12" s="9"/>
      <c r="Y12" s="9"/>
      <c r="Z12" s="9"/>
    </row>
    <row r="13" spans="1:26" x14ac:dyDescent="0.6">
      <c r="A13" s="8"/>
      <c r="B13" s="10" t="s">
        <v>12</v>
      </c>
      <c r="C13" s="11"/>
      <c r="D13" s="11"/>
      <c r="E13" s="11" t="s">
        <v>13</v>
      </c>
      <c r="F13" s="11" t="s">
        <v>14</v>
      </c>
      <c r="G13" s="11" t="s">
        <v>15</v>
      </c>
      <c r="H13" s="11" t="s">
        <v>16</v>
      </c>
      <c r="I13" s="11" t="s">
        <v>17</v>
      </c>
      <c r="J13" s="11"/>
      <c r="K13" s="11"/>
      <c r="L13" s="11"/>
      <c r="M13" s="11"/>
      <c r="N13" s="12"/>
      <c r="O13" s="11"/>
      <c r="P13" s="11"/>
      <c r="Q13" s="11" t="str">
        <f>+E13</f>
        <v>RT{1}</v>
      </c>
      <c r="R13" s="11" t="str">
        <f>+F13</f>
        <v>RS{2}</v>
      </c>
      <c r="S13" s="11" t="str">
        <f>+G13</f>
        <v>GS{3}</v>
      </c>
      <c r="T13" s="11" t="str">
        <f>+H13</f>
        <v>GST</v>
      </c>
      <c r="U13" s="11" t="str">
        <f>+I13</f>
        <v>OL/SL</v>
      </c>
      <c r="V13" s="11"/>
      <c r="W13" s="11"/>
      <c r="X13" s="11"/>
      <c r="Y13" s="11"/>
      <c r="Z13" s="11"/>
    </row>
    <row r="14" spans="1:26" x14ac:dyDescent="0.6">
      <c r="A14" s="8"/>
    </row>
    <row r="15" spans="1:26" x14ac:dyDescent="0.6">
      <c r="A15" s="8"/>
      <c r="B15" s="99" t="s">
        <v>18</v>
      </c>
      <c r="C15" s="40"/>
      <c r="D15" s="40"/>
      <c r="E15" s="52">
        <v>0.46079999999999999</v>
      </c>
      <c r="F15" s="52">
        <v>0.48230000000000001</v>
      </c>
      <c r="G15" s="52">
        <v>0.54600000000000004</v>
      </c>
      <c r="H15" s="52">
        <v>0.5212</v>
      </c>
      <c r="I15" s="52">
        <v>0.32529999999999998</v>
      </c>
      <c r="J15" s="40"/>
      <c r="K15" s="40"/>
      <c r="L15" s="100"/>
      <c r="M15" s="100"/>
      <c r="N15" s="101"/>
      <c r="O15" s="101"/>
      <c r="P15" s="101"/>
      <c r="Q15" s="101">
        <f t="shared" ref="Q15:U26" si="0">1-E15</f>
        <v>0.53920000000000001</v>
      </c>
      <c r="R15" s="101">
        <f t="shared" si="0"/>
        <v>0.51770000000000005</v>
      </c>
      <c r="S15" s="101">
        <f t="shared" si="0"/>
        <v>0.45399999999999996</v>
      </c>
      <c r="T15" s="101">
        <f t="shared" si="0"/>
        <v>0.4788</v>
      </c>
      <c r="U15" s="101">
        <f t="shared" si="0"/>
        <v>0.67470000000000008</v>
      </c>
      <c r="V15" s="101"/>
      <c r="W15" s="101"/>
      <c r="X15" s="101"/>
      <c r="Y15" s="101"/>
      <c r="Z15" s="101"/>
    </row>
    <row r="16" spans="1:26" x14ac:dyDescent="0.6">
      <c r="A16" s="8"/>
      <c r="B16" s="99" t="s">
        <v>19</v>
      </c>
      <c r="C16" s="40"/>
      <c r="D16" s="40"/>
      <c r="E16" s="52">
        <v>0.46920000000000001</v>
      </c>
      <c r="F16" s="52">
        <v>0.49780000000000002</v>
      </c>
      <c r="G16" s="52">
        <v>0.56100000000000005</v>
      </c>
      <c r="H16" s="52">
        <v>0.53710000000000002</v>
      </c>
      <c r="I16" s="52">
        <v>0.30880000000000002</v>
      </c>
      <c r="J16" s="40"/>
      <c r="K16" s="40"/>
      <c r="L16" s="100"/>
      <c r="M16" s="100"/>
      <c r="N16" s="101"/>
      <c r="O16" s="101"/>
      <c r="P16" s="101"/>
      <c r="Q16" s="101">
        <f t="shared" si="0"/>
        <v>0.53079999999999994</v>
      </c>
      <c r="R16" s="101">
        <f t="shared" si="0"/>
        <v>0.50219999999999998</v>
      </c>
      <c r="S16" s="101">
        <f t="shared" si="0"/>
        <v>0.43899999999999995</v>
      </c>
      <c r="T16" s="101">
        <f t="shared" si="0"/>
        <v>0.46289999999999998</v>
      </c>
      <c r="U16" s="101">
        <f t="shared" si="0"/>
        <v>0.69120000000000004</v>
      </c>
      <c r="V16" s="101"/>
      <c r="W16" s="101"/>
      <c r="X16" s="101"/>
      <c r="Y16" s="101"/>
      <c r="Z16" s="101"/>
    </row>
    <row r="17" spans="1:26" x14ac:dyDescent="0.6">
      <c r="A17" s="8"/>
      <c r="B17" s="99" t="s">
        <v>20</v>
      </c>
      <c r="C17" s="40"/>
      <c r="D17" s="40"/>
      <c r="E17" s="52">
        <v>0.49280000000000002</v>
      </c>
      <c r="F17" s="52">
        <v>0.52270000000000005</v>
      </c>
      <c r="G17" s="52">
        <v>0.60070000000000001</v>
      </c>
      <c r="H17" s="52">
        <v>0.55249999999999999</v>
      </c>
      <c r="I17" s="52">
        <v>0.31859999999999999</v>
      </c>
      <c r="J17" s="40"/>
      <c r="K17" s="40"/>
      <c r="L17" s="100"/>
      <c r="M17" s="100"/>
      <c r="N17" s="101"/>
      <c r="O17" s="101"/>
      <c r="P17" s="101"/>
      <c r="Q17" s="101">
        <f t="shared" si="0"/>
        <v>0.50719999999999998</v>
      </c>
      <c r="R17" s="101">
        <f t="shared" si="0"/>
        <v>0.47729999999999995</v>
      </c>
      <c r="S17" s="101">
        <f t="shared" si="0"/>
        <v>0.39929999999999999</v>
      </c>
      <c r="T17" s="101">
        <f t="shared" si="0"/>
        <v>0.44750000000000001</v>
      </c>
      <c r="U17" s="101">
        <f t="shared" si="0"/>
        <v>0.68140000000000001</v>
      </c>
      <c r="V17" s="101"/>
      <c r="W17" s="101"/>
      <c r="X17" s="101"/>
      <c r="Y17" s="101"/>
      <c r="Z17" s="101"/>
    </row>
    <row r="18" spans="1:26" x14ac:dyDescent="0.6">
      <c r="A18" s="8"/>
      <c r="B18" s="99" t="s">
        <v>21</v>
      </c>
      <c r="C18" s="40"/>
      <c r="D18" s="40"/>
      <c r="E18" s="52">
        <v>0.49680000000000002</v>
      </c>
      <c r="F18" s="52">
        <v>0.52239999999999998</v>
      </c>
      <c r="G18" s="52">
        <v>0.59540000000000004</v>
      </c>
      <c r="H18" s="52">
        <v>0.5474</v>
      </c>
      <c r="I18" s="52">
        <v>0.31840000000000002</v>
      </c>
      <c r="J18" s="40"/>
      <c r="K18" s="40"/>
      <c r="L18" s="100"/>
      <c r="M18" s="100"/>
      <c r="N18" s="101"/>
      <c r="O18" s="101"/>
      <c r="P18" s="101"/>
      <c r="Q18" s="101">
        <f t="shared" si="0"/>
        <v>0.50319999999999998</v>
      </c>
      <c r="R18" s="101">
        <f t="shared" si="0"/>
        <v>0.47760000000000002</v>
      </c>
      <c r="S18" s="101">
        <f t="shared" si="0"/>
        <v>0.40459999999999996</v>
      </c>
      <c r="T18" s="101">
        <f t="shared" si="0"/>
        <v>0.4526</v>
      </c>
      <c r="U18" s="101">
        <f t="shared" si="0"/>
        <v>0.68159999999999998</v>
      </c>
      <c r="V18" s="101"/>
      <c r="W18" s="101"/>
      <c r="X18" s="101"/>
      <c r="Y18" s="101"/>
      <c r="Z18" s="101"/>
    </row>
    <row r="19" spans="1:26" x14ac:dyDescent="0.6">
      <c r="A19" s="8"/>
      <c r="B19" s="99" t="s">
        <v>22</v>
      </c>
      <c r="C19" s="40"/>
      <c r="D19" s="40"/>
      <c r="E19" s="52">
        <v>0.44340000000000002</v>
      </c>
      <c r="F19" s="52">
        <v>0.4572</v>
      </c>
      <c r="G19" s="52">
        <v>0.55259999999999998</v>
      </c>
      <c r="H19" s="52">
        <v>0.51890000000000003</v>
      </c>
      <c r="I19" s="52">
        <v>0.28349999999999997</v>
      </c>
      <c r="J19" s="40"/>
      <c r="K19" s="40"/>
      <c r="L19" s="100"/>
      <c r="M19" s="100"/>
      <c r="N19" s="101"/>
      <c r="O19" s="101"/>
      <c r="P19" s="101"/>
      <c r="Q19" s="101">
        <f t="shared" si="0"/>
        <v>0.55659999999999998</v>
      </c>
      <c r="R19" s="101">
        <f t="shared" si="0"/>
        <v>0.54279999999999995</v>
      </c>
      <c r="S19" s="101">
        <f t="shared" si="0"/>
        <v>0.44740000000000002</v>
      </c>
      <c r="T19" s="101">
        <f t="shared" si="0"/>
        <v>0.48109999999999997</v>
      </c>
      <c r="U19" s="101">
        <f t="shared" si="0"/>
        <v>0.71650000000000003</v>
      </c>
      <c r="V19" s="101"/>
      <c r="W19" s="101"/>
      <c r="X19" s="101"/>
      <c r="Y19" s="101"/>
      <c r="Z19" s="101"/>
    </row>
    <row r="20" spans="1:26" x14ac:dyDescent="0.6">
      <c r="A20" s="8"/>
      <c r="B20" s="102" t="s">
        <v>23</v>
      </c>
      <c r="C20" s="103"/>
      <c r="D20" s="103"/>
      <c r="E20" s="104">
        <v>0.54610000000000003</v>
      </c>
      <c r="F20" s="104">
        <v>0.55520000000000003</v>
      </c>
      <c r="G20" s="104">
        <v>0.59860000000000002</v>
      </c>
      <c r="H20" s="104">
        <v>0.57689999999999997</v>
      </c>
      <c r="I20" s="105">
        <v>0.30940000000000001</v>
      </c>
      <c r="J20" s="40"/>
      <c r="K20" s="40"/>
      <c r="L20" s="100"/>
      <c r="M20" s="100"/>
      <c r="N20" s="101"/>
      <c r="O20" s="101"/>
      <c r="P20" s="101"/>
      <c r="Q20" s="101">
        <f t="shared" si="0"/>
        <v>0.45389999999999997</v>
      </c>
      <c r="R20" s="101">
        <f t="shared" si="0"/>
        <v>0.44479999999999997</v>
      </c>
      <c r="S20" s="101">
        <f t="shared" si="0"/>
        <v>0.40139999999999998</v>
      </c>
      <c r="T20" s="101">
        <f t="shared" si="0"/>
        <v>0.42310000000000003</v>
      </c>
      <c r="U20" s="101">
        <f t="shared" si="0"/>
        <v>0.69059999999999999</v>
      </c>
      <c r="V20" s="101"/>
      <c r="W20" s="101"/>
      <c r="X20" s="101"/>
      <c r="Y20" s="101"/>
      <c r="Z20" s="101"/>
    </row>
    <row r="21" spans="1:26" x14ac:dyDescent="0.6">
      <c r="A21" s="8"/>
      <c r="B21" s="106" t="s">
        <v>24</v>
      </c>
      <c r="C21" s="56"/>
      <c r="D21" s="56"/>
      <c r="E21" s="60">
        <v>0.53010000000000002</v>
      </c>
      <c r="F21" s="60">
        <v>0.52810000000000001</v>
      </c>
      <c r="G21" s="60">
        <v>0.58140000000000003</v>
      </c>
      <c r="H21" s="60">
        <v>0.5575</v>
      </c>
      <c r="I21" s="107">
        <v>0.29630000000000001</v>
      </c>
      <c r="J21" s="40"/>
      <c r="K21" s="40"/>
      <c r="L21" s="100"/>
      <c r="M21" s="100"/>
      <c r="N21" s="101"/>
      <c r="O21" s="101"/>
      <c r="P21" s="101"/>
      <c r="Q21" s="101">
        <f t="shared" si="0"/>
        <v>0.46989999999999998</v>
      </c>
      <c r="R21" s="101">
        <f t="shared" si="0"/>
        <v>0.47189999999999999</v>
      </c>
      <c r="S21" s="101">
        <f t="shared" si="0"/>
        <v>0.41859999999999997</v>
      </c>
      <c r="T21" s="101">
        <f t="shared" si="0"/>
        <v>0.4425</v>
      </c>
      <c r="U21" s="101">
        <f t="shared" si="0"/>
        <v>0.70369999999999999</v>
      </c>
      <c r="V21" s="101"/>
      <c r="W21" s="101"/>
      <c r="X21" s="101"/>
      <c r="Y21" s="101"/>
      <c r="Z21" s="101"/>
    </row>
    <row r="22" spans="1:26" x14ac:dyDescent="0.6">
      <c r="A22" s="8"/>
      <c r="B22" s="106" t="s">
        <v>25</v>
      </c>
      <c r="C22" s="56"/>
      <c r="D22" s="56"/>
      <c r="E22" s="60">
        <v>0.53069999999999995</v>
      </c>
      <c r="F22" s="60">
        <v>0.53090000000000004</v>
      </c>
      <c r="G22" s="60">
        <v>0.57820000000000005</v>
      </c>
      <c r="H22" s="60">
        <v>0.55389999999999995</v>
      </c>
      <c r="I22" s="107">
        <v>0.30009999999999998</v>
      </c>
      <c r="J22" s="40"/>
      <c r="K22" s="40"/>
      <c r="L22" s="100"/>
      <c r="M22" s="100"/>
      <c r="N22" s="101"/>
      <c r="O22" s="101"/>
      <c r="P22" s="101"/>
      <c r="Q22" s="101">
        <f t="shared" si="0"/>
        <v>0.46930000000000005</v>
      </c>
      <c r="R22" s="101">
        <f t="shared" si="0"/>
        <v>0.46909999999999996</v>
      </c>
      <c r="S22" s="101">
        <f t="shared" si="0"/>
        <v>0.42179999999999995</v>
      </c>
      <c r="T22" s="101">
        <f t="shared" si="0"/>
        <v>0.44610000000000005</v>
      </c>
      <c r="U22" s="101">
        <f t="shared" si="0"/>
        <v>0.69989999999999997</v>
      </c>
      <c r="V22" s="101"/>
      <c r="W22" s="101"/>
      <c r="X22" s="101"/>
      <c r="Y22" s="101"/>
      <c r="Z22" s="101"/>
    </row>
    <row r="23" spans="1:26" x14ac:dyDescent="0.6">
      <c r="A23" s="8"/>
      <c r="B23" s="108" t="s">
        <v>26</v>
      </c>
      <c r="C23" s="109"/>
      <c r="D23" s="109"/>
      <c r="E23" s="110">
        <v>0.4824</v>
      </c>
      <c r="F23" s="110">
        <v>0.49249999999999999</v>
      </c>
      <c r="G23" s="110">
        <v>0.58209999999999995</v>
      </c>
      <c r="H23" s="110">
        <v>0.55189999999999995</v>
      </c>
      <c r="I23" s="111">
        <v>0.31309999999999999</v>
      </c>
      <c r="J23" s="40"/>
      <c r="K23" s="40"/>
      <c r="L23" s="100"/>
      <c r="M23" s="100"/>
      <c r="N23" s="101"/>
      <c r="O23" s="101"/>
      <c r="P23" s="101"/>
      <c r="Q23" s="101">
        <f t="shared" si="0"/>
        <v>0.51760000000000006</v>
      </c>
      <c r="R23" s="101">
        <f t="shared" si="0"/>
        <v>0.50750000000000006</v>
      </c>
      <c r="S23" s="101">
        <f t="shared" si="0"/>
        <v>0.41790000000000005</v>
      </c>
      <c r="T23" s="101">
        <f t="shared" si="0"/>
        <v>0.44810000000000005</v>
      </c>
      <c r="U23" s="101">
        <f t="shared" si="0"/>
        <v>0.68690000000000007</v>
      </c>
      <c r="V23" s="101"/>
      <c r="W23" s="101"/>
      <c r="X23" s="101"/>
      <c r="Y23" s="101"/>
      <c r="Z23" s="101"/>
    </row>
    <row r="24" spans="1:26" x14ac:dyDescent="0.6">
      <c r="A24" s="8"/>
      <c r="B24" s="99" t="s">
        <v>27</v>
      </c>
      <c r="C24" s="40"/>
      <c r="D24" s="40"/>
      <c r="E24" s="52">
        <v>0.48709999999999998</v>
      </c>
      <c r="F24" s="52">
        <v>0.51280000000000003</v>
      </c>
      <c r="G24" s="52">
        <v>0.58860000000000001</v>
      </c>
      <c r="H24" s="52">
        <v>0.56169999999999998</v>
      </c>
      <c r="I24" s="52">
        <v>0.33639999999999998</v>
      </c>
      <c r="J24" s="40"/>
      <c r="K24" s="40"/>
      <c r="L24" s="100"/>
      <c r="M24" s="100"/>
      <c r="N24" s="101"/>
      <c r="O24" s="101"/>
      <c r="P24" s="101"/>
      <c r="Q24" s="101">
        <f t="shared" si="0"/>
        <v>0.51290000000000002</v>
      </c>
      <c r="R24" s="101">
        <f t="shared" si="0"/>
        <v>0.48719999999999997</v>
      </c>
      <c r="S24" s="101">
        <f t="shared" si="0"/>
        <v>0.41139999999999999</v>
      </c>
      <c r="T24" s="101">
        <f t="shared" si="0"/>
        <v>0.43830000000000002</v>
      </c>
      <c r="U24" s="101">
        <f t="shared" si="0"/>
        <v>0.66359999999999997</v>
      </c>
      <c r="V24" s="101"/>
      <c r="W24" s="101"/>
      <c r="X24" s="101"/>
      <c r="Y24" s="101"/>
      <c r="Z24" s="101"/>
    </row>
    <row r="25" spans="1:26" x14ac:dyDescent="0.6">
      <c r="A25" s="8"/>
      <c r="B25" s="99" t="s">
        <v>28</v>
      </c>
      <c r="C25" s="40"/>
      <c r="D25" s="40"/>
      <c r="E25" s="52">
        <v>0.45250000000000001</v>
      </c>
      <c r="F25" s="52">
        <v>0.48230000000000001</v>
      </c>
      <c r="G25" s="52">
        <v>0.56159999999999999</v>
      </c>
      <c r="H25" s="52">
        <v>0.52959999999999996</v>
      </c>
      <c r="I25" s="52">
        <v>0.32190000000000002</v>
      </c>
      <c r="J25" s="40"/>
      <c r="K25" s="40"/>
      <c r="L25" s="100"/>
      <c r="M25" s="100"/>
      <c r="N25" s="101"/>
      <c r="O25" s="101"/>
      <c r="P25" s="101"/>
      <c r="Q25" s="101">
        <f t="shared" si="0"/>
        <v>0.54749999999999999</v>
      </c>
      <c r="R25" s="101">
        <f t="shared" si="0"/>
        <v>0.51770000000000005</v>
      </c>
      <c r="S25" s="101">
        <f t="shared" si="0"/>
        <v>0.43840000000000001</v>
      </c>
      <c r="T25" s="101">
        <f t="shared" si="0"/>
        <v>0.47040000000000004</v>
      </c>
      <c r="U25" s="101">
        <f t="shared" si="0"/>
        <v>0.67809999999999993</v>
      </c>
      <c r="V25" s="101"/>
      <c r="W25" s="101"/>
      <c r="X25" s="101"/>
      <c r="Y25" s="101"/>
      <c r="Z25" s="101"/>
    </row>
    <row r="26" spans="1:26" x14ac:dyDescent="0.6">
      <c r="A26" s="8"/>
      <c r="B26" s="99" t="s">
        <v>29</v>
      </c>
      <c r="C26" s="40"/>
      <c r="D26" s="40"/>
      <c r="E26" s="52">
        <v>0.4834</v>
      </c>
      <c r="F26" s="52">
        <v>0.50560000000000005</v>
      </c>
      <c r="G26" s="52">
        <v>0.57509999999999994</v>
      </c>
      <c r="H26" s="52">
        <v>0.54320000000000002</v>
      </c>
      <c r="I26" s="52">
        <v>0.34179999999999999</v>
      </c>
      <c r="J26" s="40"/>
      <c r="K26" s="40"/>
      <c r="L26" s="100"/>
      <c r="M26" s="100"/>
      <c r="N26" s="101"/>
      <c r="O26" s="101"/>
      <c r="P26" s="101"/>
      <c r="Q26" s="101">
        <f t="shared" si="0"/>
        <v>0.51659999999999995</v>
      </c>
      <c r="R26" s="101">
        <f t="shared" si="0"/>
        <v>0.49439999999999995</v>
      </c>
      <c r="S26" s="101">
        <f t="shared" si="0"/>
        <v>0.42490000000000006</v>
      </c>
      <c r="T26" s="101">
        <f t="shared" si="0"/>
        <v>0.45679999999999998</v>
      </c>
      <c r="U26" s="101">
        <f t="shared" si="0"/>
        <v>0.65820000000000001</v>
      </c>
      <c r="V26" s="101"/>
      <c r="W26" s="101"/>
      <c r="X26" s="101"/>
      <c r="Y26" s="101"/>
      <c r="Z26" s="101"/>
    </row>
    <row r="27" spans="1:26" x14ac:dyDescent="0.6">
      <c r="A27" s="8"/>
      <c r="B27" s="99"/>
      <c r="C27" s="101"/>
      <c r="D27" s="101"/>
      <c r="E27" s="101"/>
      <c r="F27" s="101"/>
      <c r="G27" s="101"/>
      <c r="H27" s="101"/>
      <c r="I27" s="45"/>
      <c r="J27" s="45"/>
      <c r="K27" s="45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</row>
    <row r="28" spans="1:26" x14ac:dyDescent="0.6">
      <c r="A28" s="8"/>
      <c r="B28" s="99"/>
      <c r="C28" s="101"/>
      <c r="D28" s="101"/>
      <c r="E28" s="101"/>
      <c r="F28" s="101"/>
      <c r="G28" s="101"/>
      <c r="H28" s="101"/>
      <c r="I28" s="101"/>
      <c r="J28" s="45"/>
      <c r="K28" s="45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spans="1:26" x14ac:dyDescent="0.6">
      <c r="A29" s="6" t="s">
        <v>30</v>
      </c>
      <c r="B29" s="7" t="s">
        <v>31</v>
      </c>
      <c r="C29" s="101"/>
      <c r="D29" s="101"/>
      <c r="E29" s="101"/>
      <c r="F29" s="13" t="s">
        <v>32</v>
      </c>
      <c r="G29" s="101"/>
      <c r="H29" s="101"/>
      <c r="I29" s="45"/>
      <c r="J29" s="45"/>
      <c r="K29" s="45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</row>
    <row r="30" spans="1:26" ht="53.25" customHeight="1" x14ac:dyDescent="0.6">
      <c r="A30" s="8"/>
      <c r="C30" s="9"/>
      <c r="D30" s="9"/>
      <c r="E30" s="9" t="s">
        <v>396</v>
      </c>
      <c r="F30" s="9" t="s">
        <v>33</v>
      </c>
      <c r="G30" s="9" t="s">
        <v>33</v>
      </c>
      <c r="H30" s="9" t="s">
        <v>396</v>
      </c>
      <c r="I30" s="9" t="s">
        <v>33</v>
      </c>
      <c r="J30" s="9"/>
      <c r="K30" s="9"/>
      <c r="L30" s="9"/>
      <c r="M30" s="341"/>
      <c r="N30" s="341"/>
      <c r="O30" s="9"/>
      <c r="P30" s="9"/>
      <c r="Q30" s="9" t="str">
        <f>E30</f>
        <v>2023 Forecasted Calendar Month Sales</v>
      </c>
      <c r="R30" s="9" t="s">
        <v>33</v>
      </c>
      <c r="S30" s="9" t="s">
        <v>33</v>
      </c>
      <c r="T30" s="9" t="str">
        <f>H30</f>
        <v>2023 Forecasted Calendar Month Sales</v>
      </c>
      <c r="U30" s="9" t="s">
        <v>33</v>
      </c>
      <c r="V30" s="9"/>
      <c r="W30" s="9"/>
      <c r="X30" s="9"/>
      <c r="Y30" s="9"/>
      <c r="Z30" s="9"/>
    </row>
    <row r="31" spans="1:26" x14ac:dyDescent="0.6">
      <c r="A31" s="8"/>
      <c r="B31" s="10" t="s">
        <v>12</v>
      </c>
      <c r="C31" s="11"/>
      <c r="D31" s="11"/>
      <c r="E31" s="11" t="str">
        <f>+E$13</f>
        <v>RT{1}</v>
      </c>
      <c r="F31" s="11" t="str">
        <f>+F$13</f>
        <v>RS{2}</v>
      </c>
      <c r="G31" s="11" t="str">
        <f>+G$13</f>
        <v>GS{3}</v>
      </c>
      <c r="H31" s="11" t="str">
        <f>+H$13</f>
        <v>GST</v>
      </c>
      <c r="I31" s="11" t="str">
        <f>+I$13</f>
        <v>OL/SL</v>
      </c>
      <c r="J31" s="11"/>
      <c r="K31" s="11"/>
      <c r="L31" s="11"/>
      <c r="M31" s="11"/>
      <c r="N31" s="12"/>
      <c r="O31" s="11"/>
      <c r="P31" s="11"/>
      <c r="Q31" s="11" t="str">
        <f>+Q$13</f>
        <v>RT{1}</v>
      </c>
      <c r="R31" s="11" t="str">
        <f>+R$13</f>
        <v>RS{2}</v>
      </c>
      <c r="S31" s="11" t="str">
        <f>+S$13</f>
        <v>GS{3}</v>
      </c>
      <c r="T31" s="11" t="str">
        <f>+T$13</f>
        <v>GST</v>
      </c>
      <c r="U31" s="11" t="str">
        <f>+U$13</f>
        <v>OL/SL</v>
      </c>
      <c r="V31" s="11"/>
      <c r="W31" s="11"/>
      <c r="X31" s="11"/>
      <c r="Y31" s="11"/>
      <c r="Z31" s="11"/>
    </row>
    <row r="32" spans="1:26" x14ac:dyDescent="0.6">
      <c r="A32" s="8"/>
    </row>
    <row r="33" spans="1:26" x14ac:dyDescent="0.6">
      <c r="A33" s="8"/>
      <c r="B33" s="99" t="s">
        <v>18</v>
      </c>
      <c r="C33" s="112"/>
      <c r="D33" s="113"/>
      <c r="E33" s="203">
        <v>0.3579</v>
      </c>
      <c r="F33" s="112" t="s">
        <v>34</v>
      </c>
      <c r="G33" s="112" t="s">
        <v>34</v>
      </c>
      <c r="H33" s="52">
        <v>0.4158</v>
      </c>
      <c r="I33" s="112" t="s">
        <v>34</v>
      </c>
      <c r="J33" s="112"/>
      <c r="K33" s="112"/>
      <c r="L33" s="112"/>
      <c r="M33" s="100"/>
      <c r="N33" s="101"/>
      <c r="O33" s="101"/>
      <c r="P33" s="101"/>
      <c r="Q33" s="101">
        <f t="shared" ref="Q33:Q44" si="1">1-E33</f>
        <v>0.6421</v>
      </c>
      <c r="R33" s="101"/>
      <c r="S33" s="101"/>
      <c r="T33" s="101">
        <f t="shared" ref="T33:T44" si="2">1-H33</f>
        <v>0.58420000000000005</v>
      </c>
      <c r="U33" s="101"/>
      <c r="V33" s="101"/>
      <c r="W33" s="101"/>
      <c r="X33" s="101"/>
      <c r="Y33" s="101"/>
      <c r="Z33" s="101"/>
    </row>
    <row r="34" spans="1:26" x14ac:dyDescent="0.6">
      <c r="A34" s="8"/>
      <c r="B34" s="99" t="s">
        <v>19</v>
      </c>
      <c r="C34" s="112"/>
      <c r="D34" s="113"/>
      <c r="E34" s="203">
        <v>0.3508</v>
      </c>
      <c r="F34" s="112" t="s">
        <v>34</v>
      </c>
      <c r="G34" s="112" t="s">
        <v>34</v>
      </c>
      <c r="H34" s="52">
        <v>0.42</v>
      </c>
      <c r="I34" s="112" t="s">
        <v>34</v>
      </c>
      <c r="J34" s="112"/>
      <c r="K34" s="112"/>
      <c r="L34" s="112"/>
      <c r="M34" s="100"/>
      <c r="N34" s="101"/>
      <c r="O34" s="101"/>
      <c r="P34" s="101"/>
      <c r="Q34" s="101">
        <f t="shared" si="1"/>
        <v>0.6492</v>
      </c>
      <c r="R34" s="101"/>
      <c r="S34" s="101"/>
      <c r="T34" s="101">
        <f t="shared" si="2"/>
        <v>0.58000000000000007</v>
      </c>
      <c r="U34" s="101"/>
      <c r="V34" s="101"/>
      <c r="W34" s="101"/>
      <c r="X34" s="101"/>
      <c r="Y34" s="101"/>
      <c r="Z34" s="101"/>
    </row>
    <row r="35" spans="1:26" x14ac:dyDescent="0.6">
      <c r="A35" s="8"/>
      <c r="B35" s="99" t="s">
        <v>20</v>
      </c>
      <c r="C35" s="112"/>
      <c r="D35" s="113"/>
      <c r="E35" s="203">
        <v>0.35049999999999998</v>
      </c>
      <c r="F35" s="112" t="s">
        <v>34</v>
      </c>
      <c r="G35" s="112" t="s">
        <v>34</v>
      </c>
      <c r="H35" s="52">
        <v>0.42030000000000001</v>
      </c>
      <c r="I35" s="112" t="s">
        <v>34</v>
      </c>
      <c r="J35" s="112"/>
      <c r="K35" s="112"/>
      <c r="L35" s="112"/>
      <c r="M35" s="100"/>
      <c r="N35" s="101"/>
      <c r="O35" s="101"/>
      <c r="P35" s="101"/>
      <c r="Q35" s="101">
        <f t="shared" si="1"/>
        <v>0.64949999999999997</v>
      </c>
      <c r="R35" s="101"/>
      <c r="S35" s="101"/>
      <c r="T35" s="101">
        <f t="shared" si="2"/>
        <v>0.57969999999999999</v>
      </c>
      <c r="U35" s="101"/>
      <c r="V35" s="101"/>
      <c r="W35" s="101"/>
      <c r="X35" s="101"/>
      <c r="Y35" s="101"/>
      <c r="Z35" s="101"/>
    </row>
    <row r="36" spans="1:26" x14ac:dyDescent="0.6">
      <c r="A36" s="8"/>
      <c r="B36" s="99" t="s">
        <v>21</v>
      </c>
      <c r="C36" s="112"/>
      <c r="D36" s="113"/>
      <c r="E36" s="203">
        <v>0.35899999999999999</v>
      </c>
      <c r="F36" s="112" t="s">
        <v>34</v>
      </c>
      <c r="G36" s="112" t="s">
        <v>34</v>
      </c>
      <c r="H36" s="52">
        <v>0.4209</v>
      </c>
      <c r="I36" s="112" t="s">
        <v>34</v>
      </c>
      <c r="J36" s="112"/>
      <c r="K36" s="112"/>
      <c r="L36" s="112"/>
      <c r="M36" s="100"/>
      <c r="N36" s="101"/>
      <c r="O36" s="101"/>
      <c r="P36" s="101"/>
      <c r="Q36" s="101">
        <f t="shared" si="1"/>
        <v>0.64100000000000001</v>
      </c>
      <c r="R36" s="101"/>
      <c r="S36" s="101"/>
      <c r="T36" s="101">
        <f t="shared" si="2"/>
        <v>0.57909999999999995</v>
      </c>
      <c r="U36" s="101"/>
      <c r="V36" s="101"/>
      <c r="W36" s="101"/>
      <c r="X36" s="101"/>
      <c r="Y36" s="101"/>
      <c r="Z36" s="101"/>
    </row>
    <row r="37" spans="1:26" x14ac:dyDescent="0.6">
      <c r="A37" s="8"/>
      <c r="B37" s="99" t="s">
        <v>22</v>
      </c>
      <c r="C37" s="112"/>
      <c r="D37" s="113"/>
      <c r="E37" s="203">
        <v>0.37880000000000003</v>
      </c>
      <c r="F37" s="112" t="s">
        <v>34</v>
      </c>
      <c r="G37" s="112" t="s">
        <v>34</v>
      </c>
      <c r="H37" s="52">
        <v>0.43309999999999998</v>
      </c>
      <c r="I37" s="112" t="s">
        <v>34</v>
      </c>
      <c r="J37" s="112"/>
      <c r="K37" s="112"/>
      <c r="L37" s="112"/>
      <c r="M37" s="100"/>
      <c r="N37" s="101"/>
      <c r="O37" s="101"/>
      <c r="P37" s="101"/>
      <c r="Q37" s="101">
        <f t="shared" si="1"/>
        <v>0.62119999999999997</v>
      </c>
      <c r="R37" s="101"/>
      <c r="S37" s="101"/>
      <c r="T37" s="101">
        <f t="shared" si="2"/>
        <v>0.56689999999999996</v>
      </c>
      <c r="U37" s="101"/>
      <c r="V37" s="101"/>
      <c r="W37" s="101"/>
      <c r="X37" s="101"/>
      <c r="Y37" s="101"/>
      <c r="Z37" s="101"/>
    </row>
    <row r="38" spans="1:26" x14ac:dyDescent="0.6">
      <c r="A38" s="8"/>
      <c r="B38" s="102" t="s">
        <v>23</v>
      </c>
      <c r="C38" s="204"/>
      <c r="D38" s="205"/>
      <c r="E38" s="206">
        <v>0.40579999999999999</v>
      </c>
      <c r="F38" s="204" t="s">
        <v>34</v>
      </c>
      <c r="G38" s="204" t="s">
        <v>34</v>
      </c>
      <c r="H38" s="104">
        <v>0.44679999999999997</v>
      </c>
      <c r="I38" s="207" t="s">
        <v>34</v>
      </c>
      <c r="J38" s="113"/>
      <c r="K38" s="112"/>
      <c r="L38" s="112"/>
      <c r="M38" s="100"/>
      <c r="N38" s="101"/>
      <c r="O38" s="101"/>
      <c r="P38" s="101"/>
      <c r="Q38" s="101">
        <f t="shared" si="1"/>
        <v>0.59420000000000006</v>
      </c>
      <c r="R38" s="101"/>
      <c r="S38" s="101"/>
      <c r="T38" s="101">
        <f t="shared" si="2"/>
        <v>0.55320000000000003</v>
      </c>
      <c r="U38" s="101"/>
      <c r="V38" s="101"/>
      <c r="W38" s="101"/>
      <c r="X38" s="101"/>
      <c r="Y38" s="101"/>
      <c r="Z38" s="101"/>
    </row>
    <row r="39" spans="1:26" x14ac:dyDescent="0.6">
      <c r="A39" s="8"/>
      <c r="B39" s="106" t="s">
        <v>24</v>
      </c>
      <c r="C39" s="208"/>
      <c r="D39" s="209"/>
      <c r="E39" s="210">
        <v>0.42009999999999997</v>
      </c>
      <c r="F39" s="208" t="s">
        <v>34</v>
      </c>
      <c r="G39" s="208" t="s">
        <v>34</v>
      </c>
      <c r="H39" s="60">
        <v>0.45200000000000001</v>
      </c>
      <c r="I39" s="211" t="s">
        <v>34</v>
      </c>
      <c r="J39" s="113"/>
      <c r="K39" s="112"/>
      <c r="L39" s="112"/>
      <c r="M39" s="100"/>
      <c r="N39" s="101"/>
      <c r="O39" s="101"/>
      <c r="P39" s="101"/>
      <c r="Q39" s="101">
        <f t="shared" si="1"/>
        <v>0.57990000000000008</v>
      </c>
      <c r="R39" s="101"/>
      <c r="S39" s="101"/>
      <c r="T39" s="101">
        <f t="shared" si="2"/>
        <v>0.54800000000000004</v>
      </c>
      <c r="U39" s="101"/>
      <c r="V39" s="101"/>
      <c r="W39" s="101"/>
      <c r="X39" s="101"/>
      <c r="Y39" s="101"/>
      <c r="Z39" s="101"/>
    </row>
    <row r="40" spans="1:26" x14ac:dyDescent="0.6">
      <c r="A40" s="8"/>
      <c r="B40" s="106" t="s">
        <v>25</v>
      </c>
      <c r="C40" s="208"/>
      <c r="D40" s="209"/>
      <c r="E40" s="210">
        <v>0.4249</v>
      </c>
      <c r="F40" s="208" t="s">
        <v>34</v>
      </c>
      <c r="G40" s="208" t="s">
        <v>34</v>
      </c>
      <c r="H40" s="60">
        <v>0.4481</v>
      </c>
      <c r="I40" s="211" t="s">
        <v>34</v>
      </c>
      <c r="J40" s="113"/>
      <c r="K40" s="112"/>
      <c r="L40" s="112"/>
      <c r="M40" s="100"/>
      <c r="N40" s="101"/>
      <c r="O40" s="101"/>
      <c r="P40" s="101"/>
      <c r="Q40" s="101">
        <f t="shared" si="1"/>
        <v>0.57509999999999994</v>
      </c>
      <c r="R40" s="101"/>
      <c r="S40" s="101"/>
      <c r="T40" s="101">
        <f t="shared" si="2"/>
        <v>0.55190000000000006</v>
      </c>
      <c r="U40" s="101"/>
      <c r="V40" s="101"/>
      <c r="W40" s="101"/>
      <c r="X40" s="101"/>
      <c r="Y40" s="101"/>
      <c r="Z40" s="101"/>
    </row>
    <row r="41" spans="1:26" x14ac:dyDescent="0.6">
      <c r="A41" s="8"/>
      <c r="B41" s="108" t="s">
        <v>26</v>
      </c>
      <c r="C41" s="212"/>
      <c r="D41" s="213"/>
      <c r="E41" s="214">
        <v>0.4168</v>
      </c>
      <c r="F41" s="212" t="s">
        <v>34</v>
      </c>
      <c r="G41" s="212" t="s">
        <v>34</v>
      </c>
      <c r="H41" s="110">
        <v>0.4531</v>
      </c>
      <c r="I41" s="215" t="s">
        <v>34</v>
      </c>
      <c r="J41" s="113"/>
      <c r="K41" s="112"/>
      <c r="L41" s="112"/>
      <c r="M41" s="100"/>
      <c r="N41" s="101"/>
      <c r="O41" s="101"/>
      <c r="P41" s="101"/>
      <c r="Q41" s="101">
        <f t="shared" si="1"/>
        <v>0.58319999999999994</v>
      </c>
      <c r="R41" s="101"/>
      <c r="S41" s="101"/>
      <c r="T41" s="101">
        <f t="shared" si="2"/>
        <v>0.54689999999999994</v>
      </c>
      <c r="U41" s="101"/>
      <c r="V41" s="101"/>
      <c r="W41" s="101"/>
      <c r="X41" s="101"/>
      <c r="Y41" s="101"/>
      <c r="Z41" s="101"/>
    </row>
    <row r="42" spans="1:26" x14ac:dyDescent="0.6">
      <c r="A42" s="8"/>
      <c r="B42" s="99" t="s">
        <v>27</v>
      </c>
      <c r="C42" s="112"/>
      <c r="D42" s="113"/>
      <c r="E42" s="203">
        <v>0.38400000000000001</v>
      </c>
      <c r="F42" s="112" t="s">
        <v>34</v>
      </c>
      <c r="G42" s="112" t="s">
        <v>34</v>
      </c>
      <c r="H42" s="52">
        <v>0.44940000000000002</v>
      </c>
      <c r="I42" s="112" t="s">
        <v>34</v>
      </c>
      <c r="J42" s="112"/>
      <c r="K42" s="112"/>
      <c r="L42" s="112"/>
      <c r="M42" s="100"/>
      <c r="N42" s="101"/>
      <c r="O42" s="101"/>
      <c r="P42" s="101"/>
      <c r="Q42" s="101">
        <f t="shared" si="1"/>
        <v>0.61599999999999999</v>
      </c>
      <c r="R42" s="101"/>
      <c r="S42" s="101"/>
      <c r="T42" s="101">
        <f t="shared" si="2"/>
        <v>0.55059999999999998</v>
      </c>
      <c r="U42" s="101"/>
      <c r="V42" s="101"/>
      <c r="W42" s="101"/>
      <c r="X42" s="101"/>
      <c r="Y42" s="101"/>
      <c r="Z42" s="101"/>
    </row>
    <row r="43" spans="1:26" x14ac:dyDescent="0.6">
      <c r="A43" s="8"/>
      <c r="B43" s="99" t="s">
        <v>28</v>
      </c>
      <c r="C43" s="112"/>
      <c r="D43" s="113"/>
      <c r="E43" s="203">
        <v>0.3599</v>
      </c>
      <c r="F43" s="112" t="s">
        <v>34</v>
      </c>
      <c r="G43" s="112" t="s">
        <v>34</v>
      </c>
      <c r="H43" s="52">
        <v>0.44040000000000001</v>
      </c>
      <c r="I43" s="112" t="s">
        <v>34</v>
      </c>
      <c r="J43" s="112"/>
      <c r="K43" s="112"/>
      <c r="L43" s="112"/>
      <c r="M43" s="100"/>
      <c r="N43" s="101"/>
      <c r="O43" s="101"/>
      <c r="P43" s="101"/>
      <c r="Q43" s="101">
        <f t="shared" si="1"/>
        <v>0.6401</v>
      </c>
      <c r="R43" s="101"/>
      <c r="S43" s="101"/>
      <c r="T43" s="101">
        <f t="shared" si="2"/>
        <v>0.55959999999999999</v>
      </c>
      <c r="U43" s="101"/>
      <c r="V43" s="101"/>
      <c r="W43" s="101"/>
      <c r="X43" s="101"/>
      <c r="Y43" s="101"/>
      <c r="Z43" s="101"/>
    </row>
    <row r="44" spans="1:26" x14ac:dyDescent="0.6">
      <c r="A44" s="8"/>
      <c r="B44" s="99" t="s">
        <v>29</v>
      </c>
      <c r="C44" s="112"/>
      <c r="D44" s="113"/>
      <c r="E44" s="203">
        <v>0.35909999999999997</v>
      </c>
      <c r="F44" s="112" t="s">
        <v>34</v>
      </c>
      <c r="G44" s="112" t="s">
        <v>34</v>
      </c>
      <c r="H44" s="52">
        <v>0.42199999999999999</v>
      </c>
      <c r="I44" s="112" t="s">
        <v>34</v>
      </c>
      <c r="J44" s="112"/>
      <c r="K44" s="112"/>
      <c r="L44" s="112"/>
      <c r="M44" s="100"/>
      <c r="N44" s="101"/>
      <c r="O44" s="101"/>
      <c r="P44" s="101"/>
      <c r="Q44" s="101">
        <f t="shared" si="1"/>
        <v>0.64090000000000003</v>
      </c>
      <c r="R44" s="101"/>
      <c r="S44" s="101"/>
      <c r="T44" s="101">
        <f t="shared" si="2"/>
        <v>0.57800000000000007</v>
      </c>
      <c r="U44" s="101"/>
      <c r="V44" s="101"/>
      <c r="W44" s="101"/>
      <c r="X44" s="101"/>
      <c r="Y44" s="101"/>
      <c r="Z44" s="101"/>
    </row>
    <row r="45" spans="1:26" x14ac:dyDescent="0.6">
      <c r="A45" s="8"/>
      <c r="B45" s="99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00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x14ac:dyDescent="0.6">
      <c r="A46" s="8"/>
      <c r="B46" s="114" t="s">
        <v>35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00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x14ac:dyDescent="0.6">
      <c r="A47" s="8"/>
      <c r="B47" s="114" t="s">
        <v>36</v>
      </c>
      <c r="C47" s="101"/>
      <c r="D47" s="101"/>
      <c r="E47" s="101"/>
      <c r="F47" s="101"/>
      <c r="G47" s="101"/>
      <c r="H47" s="101"/>
      <c r="I47" s="45"/>
      <c r="J47" s="45"/>
      <c r="K47" s="45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x14ac:dyDescent="0.6">
      <c r="A48" s="8"/>
      <c r="B48" s="114" t="s">
        <v>37</v>
      </c>
      <c r="C48" s="101"/>
      <c r="D48" s="101"/>
      <c r="E48" s="101"/>
      <c r="F48" s="101"/>
      <c r="G48" s="101"/>
      <c r="H48" s="101"/>
      <c r="I48" s="45"/>
      <c r="J48" s="45"/>
      <c r="K48" s="45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38" x14ac:dyDescent="0.6">
      <c r="A49" s="8"/>
      <c r="B49" s="114" t="s">
        <v>38</v>
      </c>
      <c r="C49" s="101"/>
      <c r="D49" s="101"/>
      <c r="E49" s="101"/>
      <c r="F49" s="101"/>
      <c r="G49" s="101"/>
      <c r="H49" s="101"/>
      <c r="I49" s="45"/>
      <c r="J49" s="45"/>
      <c r="K49" s="45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38" x14ac:dyDescent="0.6">
      <c r="A50" s="8"/>
      <c r="B50" s="114" t="s">
        <v>39</v>
      </c>
      <c r="C50" s="101"/>
      <c r="D50" s="101"/>
      <c r="E50" s="101"/>
      <c r="F50" s="101"/>
      <c r="G50" s="101"/>
      <c r="H50" s="101"/>
      <c r="I50" s="45"/>
      <c r="J50" s="45"/>
      <c r="K50" s="45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38" x14ac:dyDescent="0.6">
      <c r="A51" s="8"/>
      <c r="B51" s="99"/>
      <c r="C51" s="101"/>
      <c r="D51" s="101"/>
      <c r="E51" s="101"/>
      <c r="F51" s="101"/>
      <c r="G51" s="101"/>
      <c r="H51" s="101"/>
      <c r="I51" s="45"/>
      <c r="J51" s="45"/>
      <c r="K51" s="45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spans="1:38" ht="15.5" x14ac:dyDescent="0.7">
      <c r="A52" s="8"/>
      <c r="B52" s="340" t="str">
        <f>$B$1</f>
        <v xml:space="preserve">Jersey Central Power &amp; Light </v>
      </c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101"/>
      <c r="N52" s="45"/>
      <c r="O52" s="101"/>
      <c r="P52" s="101"/>
      <c r="Q52" s="101"/>
      <c r="R52" s="101"/>
      <c r="S52" s="101"/>
      <c r="T52" s="101"/>
      <c r="U52" s="101"/>
      <c r="V52" s="101"/>
      <c r="W52" s="101" t="s">
        <v>245</v>
      </c>
      <c r="X52" s="101"/>
      <c r="Y52" s="101"/>
      <c r="Z52" s="101"/>
    </row>
    <row r="53" spans="1:38" ht="15.5" x14ac:dyDescent="0.7">
      <c r="A53" s="8"/>
      <c r="B53" s="340" t="str">
        <f>$B$2</f>
        <v>Attachment 2</v>
      </c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45"/>
      <c r="N53" s="101"/>
      <c r="O53" s="101"/>
      <c r="P53" s="101"/>
      <c r="Q53" s="101"/>
      <c r="R53" s="101"/>
      <c r="S53" s="101"/>
      <c r="T53" s="101"/>
      <c r="U53" s="101"/>
      <c r="V53" s="101"/>
      <c r="W53" t="s">
        <v>3</v>
      </c>
      <c r="X53" s="101"/>
      <c r="Y53" s="101"/>
      <c r="Z53" s="101"/>
      <c r="AA53" s="122"/>
    </row>
    <row r="54" spans="1:38" x14ac:dyDescent="0.6">
      <c r="A54" s="8"/>
      <c r="B54" s="99"/>
      <c r="C54" s="101"/>
      <c r="D54" s="101"/>
      <c r="E54" s="101"/>
      <c r="F54" s="101"/>
      <c r="G54" s="101"/>
      <c r="H54" s="101"/>
      <c r="I54" s="45"/>
      <c r="J54" s="45"/>
      <c r="K54" s="45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216"/>
      <c r="Y54" s="101"/>
      <c r="Z54" s="101"/>
    </row>
    <row r="55" spans="1:38" x14ac:dyDescent="0.6">
      <c r="A55" s="8"/>
      <c r="B55" s="99"/>
      <c r="C55" s="101"/>
      <c r="D55" s="101"/>
      <c r="E55" s="101"/>
      <c r="F55" s="101"/>
      <c r="G55" s="101"/>
      <c r="H55" s="101"/>
      <c r="I55" s="45"/>
      <c r="J55" s="45"/>
      <c r="K55" s="45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X55" s="101"/>
      <c r="Y55" s="216" t="s">
        <v>246</v>
      </c>
      <c r="Z55" s="101"/>
    </row>
    <row r="56" spans="1:38" x14ac:dyDescent="0.6">
      <c r="A56" s="6" t="s">
        <v>40</v>
      </c>
      <c r="B56" s="14" t="s">
        <v>41</v>
      </c>
      <c r="E56" s="101"/>
      <c r="F56" s="101"/>
      <c r="G56" s="101"/>
      <c r="H56" s="101"/>
      <c r="I56" s="45"/>
      <c r="J56" s="45"/>
      <c r="K56" s="45"/>
      <c r="O56" s="4"/>
      <c r="Y56" s="217" t="s">
        <v>397</v>
      </c>
      <c r="Z56" s="116"/>
    </row>
    <row r="57" spans="1:38" x14ac:dyDescent="0.6">
      <c r="A57" s="8"/>
      <c r="B57" s="15" t="s">
        <v>398</v>
      </c>
      <c r="N57" s="117"/>
      <c r="O57" s="118"/>
      <c r="P57" s="118"/>
      <c r="Q57" s="118" t="s">
        <v>247</v>
      </c>
      <c r="R57" s="118"/>
      <c r="S57" s="118"/>
      <c r="T57" s="118"/>
      <c r="U57" s="119"/>
      <c r="W57" s="11" t="s">
        <v>44</v>
      </c>
      <c r="AB57" s="11" t="s">
        <v>248</v>
      </c>
      <c r="AK57" s="99"/>
    </row>
    <row r="58" spans="1:38" x14ac:dyDescent="0.6">
      <c r="A58" s="8"/>
      <c r="B58" s="5" t="s">
        <v>45</v>
      </c>
      <c r="C58" s="11"/>
      <c r="D58" s="11"/>
      <c r="E58" s="11" t="str">
        <f>+E$13</f>
        <v>RT{1}</v>
      </c>
      <c r="F58" s="11" t="str">
        <f>+F$13</f>
        <v>RS{2}</v>
      </c>
      <c r="G58" s="11" t="str">
        <f>+G$13</f>
        <v>GS{3}</v>
      </c>
      <c r="H58" s="11" t="s">
        <v>46</v>
      </c>
      <c r="I58" s="11" t="str">
        <f>+I$13</f>
        <v>OL/SL</v>
      </c>
      <c r="J58" s="11" t="s">
        <v>44</v>
      </c>
      <c r="K58" s="11"/>
      <c r="L58" s="11"/>
      <c r="M58" s="11" t="s">
        <v>47</v>
      </c>
      <c r="N58" s="16"/>
      <c r="O58" s="11"/>
      <c r="P58" s="11"/>
      <c r="Q58" s="11" t="str">
        <f>+Q$13</f>
        <v>RT{1}</v>
      </c>
      <c r="R58" s="11" t="str">
        <f>+R$13</f>
        <v>RS{2}</v>
      </c>
      <c r="S58" s="11" t="str">
        <f>+S$13</f>
        <v>GS{3}</v>
      </c>
      <c r="T58" s="11" t="str">
        <f>+T$13</f>
        <v>GST</v>
      </c>
      <c r="U58" s="17" t="str">
        <f>+U$13</f>
        <v>OL/SL</v>
      </c>
      <c r="V58" s="11"/>
      <c r="W58" s="11" t="s">
        <v>48</v>
      </c>
      <c r="X58" s="11" t="s">
        <v>49</v>
      </c>
      <c r="Y58" s="11" t="s">
        <v>50</v>
      </c>
      <c r="Z58" s="218" t="s">
        <v>51</v>
      </c>
      <c r="AA58" s="11" t="s">
        <v>249</v>
      </c>
      <c r="AB58" s="11" t="s">
        <v>250</v>
      </c>
      <c r="AC58" s="11" t="s">
        <v>251</v>
      </c>
      <c r="AD58" s="36" t="s">
        <v>252</v>
      </c>
      <c r="AF58" s="11" t="s">
        <v>17</v>
      </c>
      <c r="AG58" s="11" t="s">
        <v>253</v>
      </c>
      <c r="AH58" s="11"/>
    </row>
    <row r="59" spans="1:38" x14ac:dyDescent="0.6">
      <c r="A59" s="8"/>
      <c r="M59" s="4" t="s">
        <v>55</v>
      </c>
      <c r="N59" s="120"/>
      <c r="U59" s="121"/>
      <c r="W59" s="126" t="s">
        <v>254</v>
      </c>
      <c r="X59" s="126" t="s">
        <v>254</v>
      </c>
      <c r="Y59" s="126" t="s">
        <v>254</v>
      </c>
      <c r="Z59" s="126" t="s">
        <v>254</v>
      </c>
      <c r="AA59" s="126" t="s">
        <v>255</v>
      </c>
      <c r="AB59" s="126" t="s">
        <v>255</v>
      </c>
      <c r="AC59" s="126" t="s">
        <v>256</v>
      </c>
      <c r="AD59" s="126" t="s">
        <v>255</v>
      </c>
      <c r="AF59" s="126" t="s">
        <v>255</v>
      </c>
      <c r="AG59" s="126" t="s">
        <v>256</v>
      </c>
      <c r="AH59" s="126"/>
    </row>
    <row r="60" spans="1:38" x14ac:dyDescent="0.6">
      <c r="A60" s="8"/>
      <c r="B60" s="99" t="s">
        <v>18</v>
      </c>
      <c r="C60" s="122"/>
      <c r="D60" s="122"/>
      <c r="E60" s="122">
        <f>ROUND(AA60,0)+ROUND($W60/1000,0)</f>
        <v>21737</v>
      </c>
      <c r="F60" s="122">
        <f>ROUND(AB60,0)+ROUND($Z60/1000,0)</f>
        <v>830631</v>
      </c>
      <c r="G60" s="122">
        <f>ROUND(AC60,0)-ROUND(SUM($X60/1000),0)</f>
        <v>476277</v>
      </c>
      <c r="H60" s="122">
        <f>ROUND(AG60,0)</f>
        <v>14624</v>
      </c>
      <c r="I60" s="122">
        <f>ROUND(AF60,0)</f>
        <v>9753</v>
      </c>
      <c r="J60" s="122">
        <f t="shared" ref="J60:J72" si="3">SUM(E60:I60)</f>
        <v>1353022</v>
      </c>
      <c r="K60" s="122"/>
      <c r="L60" s="122"/>
      <c r="M60" s="122">
        <f t="shared" ref="M60:M71" si="4">E60-ROUND(SUM($W60/1000),0)</f>
        <v>20962</v>
      </c>
      <c r="N60" s="123" t="s">
        <v>56</v>
      </c>
      <c r="O60" s="124"/>
      <c r="P60" s="122"/>
      <c r="Q60" s="122">
        <f>SUM(E60:E64,E69:E71)</f>
        <v>130846</v>
      </c>
      <c r="R60" s="122">
        <f>SUM(F60:F64,F69:F71)</f>
        <v>5527172</v>
      </c>
      <c r="S60" s="122">
        <f>SUM(G60:G64,G69:G71)</f>
        <v>3504499</v>
      </c>
      <c r="T60" s="122">
        <f>SUM(H60:H64,H69:H71)</f>
        <v>102347</v>
      </c>
      <c r="U60" s="125">
        <f>SUM(I60:I64,I69:I71)</f>
        <v>78032</v>
      </c>
      <c r="V60" s="99">
        <v>44927</v>
      </c>
      <c r="W60" s="219">
        <v>775186.66666659992</v>
      </c>
      <c r="X60" s="219">
        <v>16773</v>
      </c>
      <c r="Y60" s="122">
        <f t="shared" ref="Y60:Y71" si="5">W60-X60</f>
        <v>758413.66666659992</v>
      </c>
      <c r="Z60" s="219">
        <v>1779217.186677</v>
      </c>
      <c r="AA60" s="220">
        <v>20961.6466553014</v>
      </c>
      <c r="AB60" s="220">
        <v>828852.04053248593</v>
      </c>
      <c r="AC60" s="122">
        <v>476293.90376343799</v>
      </c>
      <c r="AD60" s="220">
        <v>533175.84776343801</v>
      </c>
      <c r="AF60" s="220">
        <v>9752.5137442288014</v>
      </c>
      <c r="AG60" s="220">
        <v>14623.783172382198</v>
      </c>
      <c r="AH60" s="220"/>
      <c r="AI60" s="122"/>
      <c r="AK60" s="122"/>
      <c r="AL60" s="122"/>
    </row>
    <row r="61" spans="1:38" x14ac:dyDescent="0.6">
      <c r="A61" s="8"/>
      <c r="B61" s="99" t="s">
        <v>19</v>
      </c>
      <c r="C61" s="122"/>
      <c r="D61" s="122"/>
      <c r="E61" s="122">
        <f>ROUND(AA61,0)+ROUND($W61/1000,0)</f>
        <v>21724</v>
      </c>
      <c r="F61" s="122">
        <f>ROUND(AB61,0)+ROUND($Z61/1000,0)</f>
        <v>791280</v>
      </c>
      <c r="G61" s="122">
        <f t="shared" ref="G61:G71" si="6">ROUND(AC61,0)-ROUND(SUM($X61/1000),0)</f>
        <v>464508</v>
      </c>
      <c r="H61" s="122">
        <f t="shared" ref="H61:H71" si="7">ROUND(AG61,0)</f>
        <v>14543</v>
      </c>
      <c r="I61" s="122">
        <f t="shared" ref="I61:I71" si="8">ROUND(AF61,0)</f>
        <v>9753</v>
      </c>
      <c r="J61" s="122">
        <f t="shared" si="3"/>
        <v>1301808</v>
      </c>
      <c r="K61" s="122"/>
      <c r="L61" s="122"/>
      <c r="M61" s="122">
        <f t="shared" si="4"/>
        <v>20997</v>
      </c>
      <c r="N61" s="123"/>
      <c r="O61" s="124"/>
      <c r="P61" s="126" t="s">
        <v>57</v>
      </c>
      <c r="Q61" s="122">
        <f>SUMPRODUCT(E33:E37,M60:M64)+SUMPRODUCT(E42:E44,M69:M71)</f>
        <v>45239.026299999998</v>
      </c>
      <c r="S61" s="127" t="s">
        <v>58</v>
      </c>
      <c r="T61" s="122">
        <f>SUMPRODUCT(H33:H37,H60:H64)+SUMPRODUCT(H42:H44,H69:H71)</f>
        <v>43702.025500000003</v>
      </c>
      <c r="U61" s="121">
        <f>T61/T60</f>
        <v>0.42699859790711991</v>
      </c>
      <c r="V61" s="99">
        <v>44958</v>
      </c>
      <c r="W61" s="219">
        <v>727049.66666670004</v>
      </c>
      <c r="X61" s="219">
        <v>16329</v>
      </c>
      <c r="Y61" s="122">
        <f t="shared" si="5"/>
        <v>710720.66666670004</v>
      </c>
      <c r="Z61" s="219">
        <v>1803587.4535377</v>
      </c>
      <c r="AA61" s="220">
        <v>20996.894169701798</v>
      </c>
      <c r="AB61" s="220">
        <v>789476.49592749402</v>
      </c>
      <c r="AC61" s="122">
        <v>464524.42941122002</v>
      </c>
      <c r="AD61" s="220">
        <v>519753.48641121999</v>
      </c>
      <c r="AF61" s="220">
        <v>9752.7738271288999</v>
      </c>
      <c r="AG61" s="220">
        <v>14543.146420101903</v>
      </c>
      <c r="AH61" s="220"/>
      <c r="AK61" s="122"/>
      <c r="AL61" s="122"/>
    </row>
    <row r="62" spans="1:38" x14ac:dyDescent="0.6">
      <c r="A62" s="8"/>
      <c r="B62" s="99" t="s">
        <v>20</v>
      </c>
      <c r="C62" s="122"/>
      <c r="D62" s="122"/>
      <c r="E62" s="122">
        <f>ROUND(AA62,0)+ROUND($W62/1000,0)</f>
        <v>19819</v>
      </c>
      <c r="F62" s="122">
        <f>ROUND(AB62,0)+ROUND($Z62/1000,0)</f>
        <v>731324</v>
      </c>
      <c r="G62" s="122">
        <f t="shared" si="6"/>
        <v>459199</v>
      </c>
      <c r="H62" s="122">
        <f t="shared" si="7"/>
        <v>14902</v>
      </c>
      <c r="I62" s="122">
        <f t="shared" si="8"/>
        <v>9753</v>
      </c>
      <c r="J62" s="122">
        <f t="shared" si="3"/>
        <v>1234997</v>
      </c>
      <c r="K62" s="122"/>
      <c r="L62" s="122"/>
      <c r="M62" s="122">
        <f t="shared" si="4"/>
        <v>19101</v>
      </c>
      <c r="N62" s="123"/>
      <c r="O62" s="124"/>
      <c r="P62" s="126" t="s">
        <v>59</v>
      </c>
      <c r="Q62" s="122">
        <f>SUMPRODUCT(Q33:Q37,M60:M64)+SUMPRODUCT(Q42:Q44,M69:M71)</f>
        <v>80332.973700000002</v>
      </c>
      <c r="S62" s="127" t="s">
        <v>60</v>
      </c>
      <c r="T62" s="122">
        <f>+T60-T61</f>
        <v>58644.974499999997</v>
      </c>
      <c r="U62" s="121"/>
      <c r="V62" s="99">
        <v>44986</v>
      </c>
      <c r="W62" s="219">
        <v>717810</v>
      </c>
      <c r="X62" s="219">
        <v>15567</v>
      </c>
      <c r="Y62" s="122">
        <f t="shared" si="5"/>
        <v>702243</v>
      </c>
      <c r="Z62" s="219">
        <v>1567211.6019067001</v>
      </c>
      <c r="AA62" s="220">
        <v>19100.9164618377</v>
      </c>
      <c r="AB62" s="220">
        <v>729756.53727940703</v>
      </c>
      <c r="AC62" s="122">
        <v>459215.28149496904</v>
      </c>
      <c r="AD62" s="220">
        <v>515736.73449496902</v>
      </c>
      <c r="AF62" s="220">
        <v>9753.0404537780014</v>
      </c>
      <c r="AG62" s="220">
        <v>14902.323239928201</v>
      </c>
      <c r="AH62" s="220"/>
      <c r="AK62" s="122"/>
      <c r="AL62" s="122"/>
    </row>
    <row r="63" spans="1:38" x14ac:dyDescent="0.6">
      <c r="A63" s="8"/>
      <c r="B63" s="99" t="s">
        <v>21</v>
      </c>
      <c r="C63" s="122"/>
      <c r="D63" s="122"/>
      <c r="E63" s="122">
        <f>ROUND(AA63,0)+ROUND($W63/1000,0)</f>
        <v>15463</v>
      </c>
      <c r="F63" s="122">
        <f>ROUND(AB63,0)+ROUND($Z63/1000,0)</f>
        <v>626387</v>
      </c>
      <c r="G63" s="122">
        <f t="shared" si="6"/>
        <v>426664</v>
      </c>
      <c r="H63" s="122">
        <f t="shared" si="7"/>
        <v>12002</v>
      </c>
      <c r="I63" s="122">
        <f t="shared" si="8"/>
        <v>9753</v>
      </c>
      <c r="J63" s="122">
        <f t="shared" si="3"/>
        <v>1090269</v>
      </c>
      <c r="K63" s="122"/>
      <c r="L63" s="122"/>
      <c r="M63" s="122">
        <f t="shared" si="4"/>
        <v>14760</v>
      </c>
      <c r="N63" s="120"/>
      <c r="P63" s="126" t="s">
        <v>257</v>
      </c>
      <c r="Q63" s="122">
        <f>SUM(W60:W64,W69:W71)/1000</f>
        <v>5274.0046993009</v>
      </c>
      <c r="U63" s="121"/>
      <c r="V63" s="99">
        <v>45017</v>
      </c>
      <c r="W63" s="219">
        <v>703354.66666660004</v>
      </c>
      <c r="X63" s="219">
        <v>15410</v>
      </c>
      <c r="Y63" s="122">
        <f t="shared" si="5"/>
        <v>687944.66666660004</v>
      </c>
      <c r="Z63" s="219">
        <v>1136867.3307473999</v>
      </c>
      <c r="AA63" s="220">
        <v>14759.780561416701</v>
      </c>
      <c r="AB63" s="220">
        <v>625250.09678912896</v>
      </c>
      <c r="AC63" s="122">
        <v>426678.98267302895</v>
      </c>
      <c r="AD63" s="220">
        <v>483414.67567302898</v>
      </c>
      <c r="AF63" s="220">
        <v>9753.3136242807996</v>
      </c>
      <c r="AG63" s="220">
        <v>12002.364521059901</v>
      </c>
      <c r="AH63" s="220"/>
      <c r="AK63" s="122"/>
      <c r="AL63" s="122"/>
    </row>
    <row r="64" spans="1:38" x14ac:dyDescent="0.6">
      <c r="A64" s="8"/>
      <c r="B64" s="99" t="s">
        <v>22</v>
      </c>
      <c r="C64" s="122"/>
      <c r="D64" s="122"/>
      <c r="E64" s="122">
        <f>ROUND(AA64,0)+ROUND($W64/1000,0)</f>
        <v>12474</v>
      </c>
      <c r="F64" s="122">
        <f>ROUND(AB64,0)+ROUND($Z64/1000,0)</f>
        <v>571244</v>
      </c>
      <c r="G64" s="122">
        <f t="shared" si="6"/>
        <v>392258</v>
      </c>
      <c r="H64" s="221">
        <f t="shared" si="7"/>
        <v>9803</v>
      </c>
      <c r="I64" s="122">
        <f t="shared" si="8"/>
        <v>9754</v>
      </c>
      <c r="J64" s="122">
        <f t="shared" si="3"/>
        <v>995533</v>
      </c>
      <c r="K64" s="122"/>
      <c r="L64" s="122"/>
      <c r="M64" s="122">
        <f t="shared" si="4"/>
        <v>11797</v>
      </c>
      <c r="N64" s="123" t="s">
        <v>62</v>
      </c>
      <c r="O64" s="124"/>
      <c r="P64" s="122"/>
      <c r="Q64" s="122">
        <f>+SUM(E65:E68)</f>
        <v>64447</v>
      </c>
      <c r="R64" s="122">
        <f>+SUM(F65:F68)</f>
        <v>3936305</v>
      </c>
      <c r="S64" s="122">
        <f>+SUM(G65:G68)</f>
        <v>2026419</v>
      </c>
      <c r="T64" s="122">
        <f>+SUM(H65:H68)</f>
        <v>50857</v>
      </c>
      <c r="U64" s="125">
        <f>+SUM(I65:I68)</f>
        <v>39017</v>
      </c>
      <c r="V64" s="99">
        <v>45047</v>
      </c>
      <c r="W64" s="219">
        <v>677439.37307890004</v>
      </c>
      <c r="X64" s="219">
        <v>16689.984105300002</v>
      </c>
      <c r="Y64" s="122">
        <f t="shared" si="5"/>
        <v>660749.3889736</v>
      </c>
      <c r="Z64" s="219">
        <v>922909.67974469997</v>
      </c>
      <c r="AA64" s="220">
        <v>11797.4620390653</v>
      </c>
      <c r="AB64" s="220">
        <v>570321.48521926499</v>
      </c>
      <c r="AC64" s="122">
        <v>392275.08711539698</v>
      </c>
      <c r="AD64" s="220">
        <v>456323.161115397</v>
      </c>
      <c r="AF64" s="220">
        <v>9753.5933387646983</v>
      </c>
      <c r="AG64" s="220">
        <v>9802.9025642765992</v>
      </c>
      <c r="AH64" s="220"/>
      <c r="AK64" s="122"/>
      <c r="AL64" s="122"/>
    </row>
    <row r="65" spans="1:38" x14ac:dyDescent="0.6">
      <c r="A65" s="8"/>
      <c r="B65" s="102" t="s">
        <v>23</v>
      </c>
      <c r="C65" s="222"/>
      <c r="D65" s="222"/>
      <c r="E65" s="222">
        <f>ROUND(AA65,0)+ROUND(SUM($W65+$Z65)/1000,0)</f>
        <v>13518</v>
      </c>
      <c r="F65" s="222">
        <f>ROUND(AB65,0)</f>
        <v>723109</v>
      </c>
      <c r="G65" s="222">
        <f t="shared" si="6"/>
        <v>458107</v>
      </c>
      <c r="H65" s="122">
        <f t="shared" si="7"/>
        <v>11312</v>
      </c>
      <c r="I65" s="222">
        <f t="shared" si="8"/>
        <v>9754</v>
      </c>
      <c r="J65" s="223">
        <f t="shared" si="3"/>
        <v>1215800</v>
      </c>
      <c r="K65" s="122"/>
      <c r="L65" s="122"/>
      <c r="M65" s="224">
        <f t="shared" si="4"/>
        <v>12884</v>
      </c>
      <c r="N65" s="126"/>
      <c r="O65" s="124"/>
      <c r="P65" s="128" t="s">
        <v>63</v>
      </c>
      <c r="Q65" s="122">
        <f>SUMPRODUCT(E38:E41,M65:M68)</f>
        <v>26016.642399999997</v>
      </c>
      <c r="R65" s="122">
        <f>Q$95/1000*T$95/(S$95/1000)</f>
        <v>2081168.3119226394</v>
      </c>
      <c r="S65" s="127" t="s">
        <v>58</v>
      </c>
      <c r="T65" s="122">
        <f>+SUMPRODUCT(H38:H41,H65:H68)</f>
        <v>22890.5242</v>
      </c>
      <c r="U65" s="159">
        <f>T65/T64</f>
        <v>0.45009584128045305</v>
      </c>
      <c r="V65" s="102">
        <v>45078</v>
      </c>
      <c r="W65" s="225">
        <v>633673.10451660003</v>
      </c>
      <c r="X65" s="225">
        <v>13661.020794700002</v>
      </c>
      <c r="Y65" s="222">
        <f t="shared" si="5"/>
        <v>620012.08372190001</v>
      </c>
      <c r="Z65" s="225">
        <v>931798.00980260002</v>
      </c>
      <c r="AA65" s="226">
        <v>11952.541498757901</v>
      </c>
      <c r="AB65" s="226">
        <v>723109.30610346305</v>
      </c>
      <c r="AC65" s="222">
        <v>458120.80625261203</v>
      </c>
      <c r="AD65" s="226">
        <v>516518.22125261201</v>
      </c>
      <c r="AE65" s="227"/>
      <c r="AF65" s="226">
        <v>9753.8795973795004</v>
      </c>
      <c r="AG65" s="226">
        <v>11311.696305946201</v>
      </c>
      <c r="AH65" s="226"/>
      <c r="AI65" s="227"/>
      <c r="AJ65" s="227"/>
      <c r="AK65" s="222"/>
      <c r="AL65" s="223"/>
    </row>
    <row r="66" spans="1:38" x14ac:dyDescent="0.6">
      <c r="A66" s="8"/>
      <c r="B66" s="106" t="s">
        <v>24</v>
      </c>
      <c r="C66" s="122"/>
      <c r="D66" s="122"/>
      <c r="E66" s="122">
        <f>ROUND(AA66,0)+ROUND(SUM($W66+$Z66)/1000,0)</f>
        <v>17081</v>
      </c>
      <c r="F66" s="122">
        <f>ROUND(AB66,0)</f>
        <v>1061944</v>
      </c>
      <c r="G66" s="122">
        <f t="shared" si="6"/>
        <v>516146</v>
      </c>
      <c r="H66" s="122">
        <f t="shared" si="7"/>
        <v>13379</v>
      </c>
      <c r="I66" s="122">
        <f t="shared" si="8"/>
        <v>9754</v>
      </c>
      <c r="J66" s="228">
        <f t="shared" si="3"/>
        <v>1618304</v>
      </c>
      <c r="K66" s="122"/>
      <c r="L66" s="122"/>
      <c r="M66" s="229">
        <f t="shared" si="4"/>
        <v>16533</v>
      </c>
      <c r="N66" s="126"/>
      <c r="O66" s="124"/>
      <c r="P66" s="128" t="s">
        <v>64</v>
      </c>
      <c r="Q66" s="122">
        <f>SUMPRODUCT(Q38:Q41,M65:M68)</f>
        <v>36277.357600000003</v>
      </c>
      <c r="R66" s="122">
        <f>R$95/1000*T$95/(S$95/1000)</f>
        <v>1855136.6880773606</v>
      </c>
      <c r="S66" s="127" t="s">
        <v>60</v>
      </c>
      <c r="T66" s="122">
        <f>+T64-T65</f>
        <v>27966.4758</v>
      </c>
      <c r="V66" s="106">
        <v>45108</v>
      </c>
      <c r="W66" s="219">
        <v>547556.57998099993</v>
      </c>
      <c r="X66" s="219">
        <v>12231.271228000001</v>
      </c>
      <c r="Y66" s="122">
        <f t="shared" si="5"/>
        <v>535325.30875299987</v>
      </c>
      <c r="Z66" s="219">
        <v>1169850.3956394</v>
      </c>
      <c r="AA66" s="220">
        <v>15363.8896208839</v>
      </c>
      <c r="AB66" s="220">
        <v>1061943.7223306301</v>
      </c>
      <c r="AC66" s="122">
        <v>516157.98113801394</v>
      </c>
      <c r="AD66" s="220">
        <v>586717.35013801395</v>
      </c>
      <c r="AF66" s="220">
        <v>9754.1724002973988</v>
      </c>
      <c r="AG66" s="220">
        <v>13378.877189959503</v>
      </c>
      <c r="AH66" s="220"/>
      <c r="AK66" s="122"/>
      <c r="AL66" s="228"/>
    </row>
    <row r="67" spans="1:38" x14ac:dyDescent="0.6">
      <c r="A67" s="8"/>
      <c r="B67" s="106" t="s">
        <v>25</v>
      </c>
      <c r="C67" s="122"/>
      <c r="D67" s="122"/>
      <c r="E67" s="122">
        <f>ROUND(AA67,0)+ROUND(SUM($W67+$Z67)/1000,0)</f>
        <v>17728</v>
      </c>
      <c r="F67" s="122">
        <f>ROUND(AB67,0)</f>
        <v>1136389</v>
      </c>
      <c r="G67" s="122">
        <f t="shared" si="6"/>
        <v>548316</v>
      </c>
      <c r="H67" s="122">
        <f t="shared" si="7"/>
        <v>13360</v>
      </c>
      <c r="I67" s="122">
        <f t="shared" si="8"/>
        <v>9754</v>
      </c>
      <c r="J67" s="228">
        <f t="shared" si="3"/>
        <v>1725547</v>
      </c>
      <c r="K67" s="122"/>
      <c r="L67" s="122"/>
      <c r="M67" s="229">
        <f t="shared" si="4"/>
        <v>17243</v>
      </c>
      <c r="N67" s="131"/>
      <c r="O67" s="131"/>
      <c r="P67" s="126" t="s">
        <v>258</v>
      </c>
      <c r="Q67" s="122">
        <f>SUM(W65:W68)/1000</f>
        <v>2152.0655431923001</v>
      </c>
      <c r="R67" s="132"/>
      <c r="S67" s="131"/>
      <c r="T67" s="131"/>
      <c r="U67" s="131"/>
      <c r="V67" s="106">
        <v>45139</v>
      </c>
      <c r="W67" s="219">
        <v>485237.61095230002</v>
      </c>
      <c r="X67" s="219">
        <v>10069.392233</v>
      </c>
      <c r="Y67" s="122">
        <f t="shared" si="5"/>
        <v>475168.2187193</v>
      </c>
      <c r="Z67" s="219">
        <v>1144838.6630997001</v>
      </c>
      <c r="AA67" s="220">
        <v>16097.790328732901</v>
      </c>
      <c r="AB67" s="220">
        <v>1136389.47848098</v>
      </c>
      <c r="AC67" s="122">
        <v>548326.19832697499</v>
      </c>
      <c r="AD67" s="220">
        <v>621281.39632697497</v>
      </c>
      <c r="AF67" s="220">
        <v>9754.4717477129016</v>
      </c>
      <c r="AG67" s="220">
        <v>13359.772046315402</v>
      </c>
      <c r="AH67" s="220"/>
      <c r="AK67" s="122"/>
      <c r="AL67" s="228"/>
    </row>
    <row r="68" spans="1:38" x14ac:dyDescent="0.6">
      <c r="A68" s="8"/>
      <c r="B68" s="108" t="s">
        <v>26</v>
      </c>
      <c r="C68" s="221"/>
      <c r="D68" s="221"/>
      <c r="E68" s="221">
        <f>ROUND(AA68,0)+ROUND(SUM($W68+$Z68)/1000,0)</f>
        <v>16120</v>
      </c>
      <c r="F68" s="221">
        <f>ROUND(AB68,0)</f>
        <v>1014863</v>
      </c>
      <c r="G68" s="221">
        <f t="shared" si="6"/>
        <v>503850</v>
      </c>
      <c r="H68" s="221">
        <f t="shared" si="7"/>
        <v>12806</v>
      </c>
      <c r="I68" s="221">
        <f t="shared" si="8"/>
        <v>9755</v>
      </c>
      <c r="J68" s="230">
        <f t="shared" si="3"/>
        <v>1557394</v>
      </c>
      <c r="K68" s="122"/>
      <c r="L68" s="122"/>
      <c r="M68" s="231">
        <f t="shared" si="4"/>
        <v>15634</v>
      </c>
      <c r="N68" s="232" t="s">
        <v>3</v>
      </c>
      <c r="O68" s="118"/>
      <c r="P68" s="118"/>
      <c r="Q68" s="118" t="s">
        <v>65</v>
      </c>
      <c r="R68" s="118"/>
      <c r="S68" s="118"/>
      <c r="T68" s="118"/>
      <c r="U68" s="118"/>
      <c r="V68" s="108">
        <v>45170</v>
      </c>
      <c r="W68" s="233">
        <v>485598.24774239998</v>
      </c>
      <c r="X68" s="233">
        <v>9940.5144476999994</v>
      </c>
      <c r="Y68" s="221">
        <f t="shared" si="5"/>
        <v>475657.73329469998</v>
      </c>
      <c r="Z68" s="233">
        <v>1067243.2872257</v>
      </c>
      <c r="AA68" s="234">
        <v>14566.509985743</v>
      </c>
      <c r="AB68" s="234">
        <v>1014863.05470183</v>
      </c>
      <c r="AC68" s="221">
        <v>503860.09486879804</v>
      </c>
      <c r="AD68" s="234">
        <v>574691.07286879804</v>
      </c>
      <c r="AE68" s="235"/>
      <c r="AF68" s="234">
        <v>9754.7776398433998</v>
      </c>
      <c r="AG68" s="234">
        <v>12805.930124143199</v>
      </c>
      <c r="AH68" s="234"/>
      <c r="AI68" s="236"/>
      <c r="AJ68" s="236"/>
      <c r="AK68" s="221"/>
      <c r="AL68" s="230"/>
    </row>
    <row r="69" spans="1:38" x14ac:dyDescent="0.6">
      <c r="A69" s="8"/>
      <c r="B69" s="99" t="s">
        <v>27</v>
      </c>
      <c r="C69" s="122"/>
      <c r="D69" s="122"/>
      <c r="E69" s="122">
        <f>ROUND(AA69,0)+ROUND($W69/1000,0)</f>
        <v>11336</v>
      </c>
      <c r="F69" s="122">
        <f>ROUND(AB69,0)+ROUND($Z69/1000,0)</f>
        <v>688787</v>
      </c>
      <c r="G69" s="122">
        <f t="shared" si="6"/>
        <v>448325</v>
      </c>
      <c r="H69" s="122">
        <f t="shared" si="7"/>
        <v>12663</v>
      </c>
      <c r="I69" s="122">
        <f t="shared" si="8"/>
        <v>9755</v>
      </c>
      <c r="J69" s="122">
        <f t="shared" si="3"/>
        <v>1170866</v>
      </c>
      <c r="K69" s="122"/>
      <c r="L69" s="122"/>
      <c r="M69" s="122">
        <f t="shared" si="4"/>
        <v>10839</v>
      </c>
      <c r="N69" s="16"/>
      <c r="O69" s="11"/>
      <c r="P69" s="11"/>
      <c r="Q69" s="11" t="str">
        <f>+Q$13</f>
        <v>RT{1}</v>
      </c>
      <c r="R69" s="11"/>
      <c r="S69" s="11"/>
      <c r="T69" s="11" t="str">
        <f>+T$13</f>
        <v>GST</v>
      </c>
      <c r="U69" s="17"/>
      <c r="V69" s="99">
        <v>45200</v>
      </c>
      <c r="W69" s="219">
        <v>496544.46312099992</v>
      </c>
      <c r="X69" s="219">
        <v>13754.015775299998</v>
      </c>
      <c r="Y69" s="122">
        <f t="shared" si="5"/>
        <v>482790.44734569994</v>
      </c>
      <c r="Z69" s="219">
        <v>853942.26917420002</v>
      </c>
      <c r="AA69" s="220">
        <v>10839.209389539899</v>
      </c>
      <c r="AB69" s="220">
        <v>687933.24885446706</v>
      </c>
      <c r="AC69" s="122">
        <v>448339.39622732595</v>
      </c>
      <c r="AD69" s="220">
        <v>509437.36722732597</v>
      </c>
      <c r="AF69" s="220">
        <v>9755.0900769284999</v>
      </c>
      <c r="AG69" s="220">
        <v>12663.014246208302</v>
      </c>
      <c r="AH69" s="220"/>
      <c r="AK69" s="122"/>
      <c r="AL69" s="122"/>
    </row>
    <row r="70" spans="1:38" x14ac:dyDescent="0.6">
      <c r="A70" s="8"/>
      <c r="B70" s="99" t="s">
        <v>28</v>
      </c>
      <c r="C70" s="122"/>
      <c r="D70" s="122"/>
      <c r="E70" s="122">
        <f>ROUND(AA70,0)+ROUND($W70/1000,0)</f>
        <v>11805</v>
      </c>
      <c r="F70" s="122">
        <f>ROUND(AB70,0)+ROUND($Z70/1000,0)</f>
        <v>588637</v>
      </c>
      <c r="G70" s="122">
        <f t="shared" si="6"/>
        <v>405256</v>
      </c>
      <c r="H70" s="122">
        <f t="shared" si="7"/>
        <v>11636</v>
      </c>
      <c r="I70" s="122">
        <f t="shared" si="8"/>
        <v>9755</v>
      </c>
      <c r="J70" s="122">
        <f t="shared" si="3"/>
        <v>1027089</v>
      </c>
      <c r="K70" s="122"/>
      <c r="L70" s="122"/>
      <c r="M70" s="122">
        <f t="shared" si="4"/>
        <v>11254</v>
      </c>
      <c r="N70" s="120"/>
      <c r="U70" s="121"/>
      <c r="V70" s="99">
        <v>45231</v>
      </c>
      <c r="W70" s="219">
        <v>551029.81771500001</v>
      </c>
      <c r="X70" s="219">
        <v>12896.758878300001</v>
      </c>
      <c r="Y70" s="122">
        <f t="shared" si="5"/>
        <v>538133.05883670005</v>
      </c>
      <c r="Z70" s="219">
        <v>988879.76956410008</v>
      </c>
      <c r="AA70" s="220">
        <v>11253.687441919601</v>
      </c>
      <c r="AB70" s="220">
        <v>587647.82375456207</v>
      </c>
      <c r="AC70" s="122">
        <v>405268.76539500704</v>
      </c>
      <c r="AD70" s="220">
        <v>463306.65239500703</v>
      </c>
      <c r="AF70" s="220">
        <v>9755.4090592304001</v>
      </c>
      <c r="AG70" s="220">
        <v>11635.596834945396</v>
      </c>
      <c r="AH70" s="220"/>
      <c r="AK70" s="122"/>
      <c r="AL70" s="122"/>
    </row>
    <row r="71" spans="1:38" x14ac:dyDescent="0.6">
      <c r="A71" s="8"/>
      <c r="B71" s="99" t="s">
        <v>29</v>
      </c>
      <c r="C71" s="122"/>
      <c r="D71" s="122"/>
      <c r="E71" s="122">
        <f>ROUND(AA71,0)+ROUND($W71/1000,0)</f>
        <v>16488</v>
      </c>
      <c r="F71" s="122">
        <f>ROUND(AB71,0)+ROUND($Z71/1000,0)</f>
        <v>698882</v>
      </c>
      <c r="G71" s="122">
        <f t="shared" si="6"/>
        <v>432012</v>
      </c>
      <c r="H71" s="122">
        <f t="shared" si="7"/>
        <v>12174</v>
      </c>
      <c r="I71" s="122">
        <f t="shared" si="8"/>
        <v>9756</v>
      </c>
      <c r="J71" s="122">
        <f t="shared" si="3"/>
        <v>1169312</v>
      </c>
      <c r="K71" s="122"/>
      <c r="L71" s="122"/>
      <c r="M71" s="31">
        <f t="shared" si="4"/>
        <v>15862</v>
      </c>
      <c r="N71" s="123"/>
      <c r="O71" s="124"/>
      <c r="P71" s="128" t="s">
        <v>66</v>
      </c>
      <c r="Q71" s="122">
        <f>SUM(E60:E64,E69:E71)</f>
        <v>130846</v>
      </c>
      <c r="R71" s="122"/>
      <c r="S71" s="128" t="s">
        <v>66</v>
      </c>
      <c r="T71" s="122">
        <f>SUM(H60:H64,H69:H71)</f>
        <v>102347</v>
      </c>
      <c r="U71" s="125"/>
      <c r="V71" s="99">
        <v>45261</v>
      </c>
      <c r="W71" s="237">
        <v>625590.04538609996</v>
      </c>
      <c r="X71" s="237">
        <v>13772.6687377</v>
      </c>
      <c r="Y71" s="122">
        <f t="shared" si="5"/>
        <v>611817.37664839998</v>
      </c>
      <c r="Z71" s="237">
        <v>1394051.4240458999</v>
      </c>
      <c r="AA71" s="220">
        <v>15861.6818067494</v>
      </c>
      <c r="AB71" s="238">
        <v>697487.68002028798</v>
      </c>
      <c r="AC71" s="31">
        <v>432025.72825334599</v>
      </c>
      <c r="AD71" s="238">
        <v>489187.189253346</v>
      </c>
      <c r="AE71" s="20"/>
      <c r="AF71" s="220">
        <v>9755.7345870336994</v>
      </c>
      <c r="AG71" s="220">
        <v>12173.712447906897</v>
      </c>
      <c r="AH71" s="238"/>
      <c r="AK71" s="122"/>
      <c r="AL71" s="122"/>
    </row>
    <row r="72" spans="1:38" x14ac:dyDescent="0.6">
      <c r="A72" s="8"/>
      <c r="B72" s="134" t="s">
        <v>44</v>
      </c>
      <c r="C72" s="122"/>
      <c r="D72" s="122"/>
      <c r="E72" s="122">
        <f>SUM(E60:E71)</f>
        <v>195293</v>
      </c>
      <c r="F72" s="122">
        <f>SUM(F60:F71)</f>
        <v>9463477</v>
      </c>
      <c r="G72" s="122">
        <f>SUM(G60:G71)</f>
        <v>5530918</v>
      </c>
      <c r="H72" s="122">
        <f>SUM(H60:H71)</f>
        <v>153204</v>
      </c>
      <c r="I72" s="122">
        <f>SUM(I60:I71)</f>
        <v>117049</v>
      </c>
      <c r="J72" s="122">
        <f t="shared" si="3"/>
        <v>15459941</v>
      </c>
      <c r="K72" s="122"/>
      <c r="L72" s="122"/>
      <c r="M72" s="122">
        <f>SUM(M60:M71)</f>
        <v>187866</v>
      </c>
      <c r="N72" s="123"/>
      <c r="O72" s="124"/>
      <c r="P72" s="126" t="s">
        <v>67</v>
      </c>
      <c r="Q72" s="122">
        <f>SUMPRODUCT(E15:E19,E60:E64)+SUMPRODUCT(E24:E26,E69:E71)</f>
        <v>62022.930899999992</v>
      </c>
      <c r="R72">
        <f>Q72/Q71</f>
        <v>0.4740147264723415</v>
      </c>
      <c r="S72" s="126" t="s">
        <v>58</v>
      </c>
      <c r="T72" s="122">
        <f>SUMPRODUCT(H15:H19,H60:H64)+SUMPRODUCT(H24:H26,H69:H71)</f>
        <v>55211.250100000005</v>
      </c>
      <c r="U72" s="121">
        <f>T72/T71</f>
        <v>0.53945157259128262</v>
      </c>
      <c r="W72" s="122">
        <f t="shared" ref="W72:AF72" si="9">SUM(W60:W71)</f>
        <v>7426070.2424932001</v>
      </c>
      <c r="X72" s="122">
        <f t="shared" si="9"/>
        <v>167094.6262</v>
      </c>
      <c r="Y72" s="122">
        <f t="shared" si="9"/>
        <v>7258975.6162932003</v>
      </c>
      <c r="Z72" s="122">
        <f t="shared" si="9"/>
        <v>14760397.071165098</v>
      </c>
      <c r="AA72" s="122">
        <f t="shared" si="9"/>
        <v>183552.0099596495</v>
      </c>
      <c r="AB72" s="122">
        <f t="shared" si="9"/>
        <v>9453030.9699940011</v>
      </c>
      <c r="AC72" s="122">
        <f t="shared" si="9"/>
        <v>5531086.654920131</v>
      </c>
      <c r="AD72" s="122">
        <f t="shared" si="9"/>
        <v>6269543.154920131</v>
      </c>
      <c r="AE72" s="44"/>
      <c r="AF72" s="122">
        <f t="shared" si="9"/>
        <v>117048.77009660698</v>
      </c>
      <c r="AG72" s="122">
        <f>SUM(AG60:AG71)</f>
        <v>153203.11911317369</v>
      </c>
      <c r="AH72" s="122"/>
      <c r="AK72" s="122"/>
      <c r="AL72" s="122"/>
    </row>
    <row r="73" spans="1:38" x14ac:dyDescent="0.6">
      <c r="A73" s="8"/>
      <c r="B73" s="99"/>
      <c r="G73" s="122" t="s">
        <v>259</v>
      </c>
      <c r="K73" s="135"/>
      <c r="N73" s="123"/>
      <c r="O73" s="124"/>
      <c r="P73" s="126" t="s">
        <v>68</v>
      </c>
      <c r="Q73" s="122">
        <f>+Q71-Q72</f>
        <v>68823.069100000008</v>
      </c>
      <c r="S73" s="126" t="s">
        <v>60</v>
      </c>
      <c r="T73" s="122">
        <f>+T71-T72</f>
        <v>47135.749899999995</v>
      </c>
      <c r="U73" s="121"/>
      <c r="AD73" s="122"/>
      <c r="AG73" s="122"/>
      <c r="AK73" s="122"/>
    </row>
    <row r="74" spans="1:38" ht="15.5" x14ac:dyDescent="0.7">
      <c r="A74" s="8"/>
      <c r="N74" s="120"/>
      <c r="U74" s="121"/>
      <c r="V74" s="127" t="s">
        <v>69</v>
      </c>
      <c r="W74" t="s">
        <v>70</v>
      </c>
      <c r="X74" t="s">
        <v>260</v>
      </c>
      <c r="Y74" t="s">
        <v>261</v>
      </c>
      <c r="Z74" t="s">
        <v>262</v>
      </c>
      <c r="AB74" t="s">
        <v>263</v>
      </c>
      <c r="AC74" t="s">
        <v>264</v>
      </c>
      <c r="AE74" s="2"/>
      <c r="AK74" s="122" t="s">
        <v>3</v>
      </c>
    </row>
    <row r="75" spans="1:38" x14ac:dyDescent="0.6">
      <c r="A75" s="6" t="s">
        <v>76</v>
      </c>
      <c r="B75" s="4" t="s">
        <v>77</v>
      </c>
      <c r="G75" s="18" t="s">
        <v>78</v>
      </c>
      <c r="H75" s="4" t="s">
        <v>79</v>
      </c>
      <c r="N75" s="123"/>
      <c r="O75" s="124"/>
      <c r="P75" s="126" t="s">
        <v>80</v>
      </c>
      <c r="Q75" s="122">
        <f>+SUM(E65:E68)</f>
        <v>64447</v>
      </c>
      <c r="R75" s="11"/>
      <c r="S75" s="126" t="s">
        <v>80</v>
      </c>
      <c r="T75" s="122">
        <f>+SUM(H65:H68)</f>
        <v>50857</v>
      </c>
      <c r="U75" s="17"/>
      <c r="V75" s="122">
        <f t="shared" ref="V75:V86" si="10">W60-W75</f>
        <v>299411.99999999988</v>
      </c>
      <c r="W75" s="122">
        <f t="shared" ref="W75:W86" si="11">SUM(X75:Z75)</f>
        <v>475774.66666660004</v>
      </c>
      <c r="X75" s="219">
        <v>13901.333333299999</v>
      </c>
      <c r="Y75" s="219">
        <v>457026.33333330002</v>
      </c>
      <c r="Z75" s="219">
        <v>4847</v>
      </c>
      <c r="AA75" s="122"/>
      <c r="AB75" s="239">
        <f t="shared" ref="AB75:AB86" si="12">(V75*$AA$94+W75*$AA$95)/1000</f>
        <v>172.34236416359499</v>
      </c>
      <c r="AC75" s="239">
        <f t="shared" ref="AC75:AC86" si="13">(W60/1000)-AB75</f>
        <v>602.84430250300488</v>
      </c>
      <c r="AG75" s="122"/>
    </row>
    <row r="76" spans="1:38" x14ac:dyDescent="0.6">
      <c r="A76" s="8"/>
      <c r="B76" s="5" t="s">
        <v>81</v>
      </c>
      <c r="H76" s="7" t="s">
        <v>82</v>
      </c>
      <c r="N76" s="123"/>
      <c r="O76" s="124"/>
      <c r="P76" s="126" t="s">
        <v>67</v>
      </c>
      <c r="Q76" s="122">
        <f>+SUMPRODUCT(E20:E23,E65:E68)</f>
        <v>33621.355499999998</v>
      </c>
      <c r="R76">
        <f>Q76/Q75</f>
        <v>0.52169000108616381</v>
      </c>
      <c r="S76" s="127" t="s">
        <v>58</v>
      </c>
      <c r="T76" s="122">
        <f>+SUMPRODUCT(H20:H23,H65:H68)</f>
        <v>28452.420699999995</v>
      </c>
      <c r="U76" s="121">
        <f>T76/T75</f>
        <v>0.55945928190809513</v>
      </c>
      <c r="V76" s="122">
        <f t="shared" si="10"/>
        <v>281872.33333340002</v>
      </c>
      <c r="W76" s="122">
        <f t="shared" si="11"/>
        <v>445177.33333330002</v>
      </c>
      <c r="X76" s="219">
        <v>12583.333333299999</v>
      </c>
      <c r="Y76" s="219">
        <v>428147.33333330002</v>
      </c>
      <c r="Z76" s="219">
        <v>4446.6666667</v>
      </c>
      <c r="AA76" s="122"/>
      <c r="AB76" s="239">
        <f t="shared" si="12"/>
        <v>161.46317918192753</v>
      </c>
      <c r="AC76" s="239">
        <f t="shared" si="13"/>
        <v>565.58648748477253</v>
      </c>
      <c r="AF76">
        <f>AA60/1000</f>
        <v>20.961646655301401</v>
      </c>
      <c r="AG76">
        <f>AB60/1000</f>
        <v>828.85204053248594</v>
      </c>
    </row>
    <row r="77" spans="1:38" x14ac:dyDescent="0.6">
      <c r="A77" s="8"/>
      <c r="D77" s="11" t="s">
        <v>265</v>
      </c>
      <c r="G77" s="11"/>
      <c r="N77" s="136"/>
      <c r="O77" s="137"/>
      <c r="P77" s="138" t="s">
        <v>68</v>
      </c>
      <c r="Q77" s="132">
        <f>Q75-Q76</f>
        <v>30825.644500000002</v>
      </c>
      <c r="R77" s="131"/>
      <c r="S77" s="139" t="s">
        <v>60</v>
      </c>
      <c r="T77" s="132">
        <f>T75-T76</f>
        <v>22404.579300000005</v>
      </c>
      <c r="U77" s="133"/>
      <c r="V77" s="122">
        <f t="shared" si="10"/>
        <v>276958.66666660004</v>
      </c>
      <c r="W77" s="122">
        <f t="shared" si="11"/>
        <v>440851.33333339996</v>
      </c>
      <c r="X77" s="219">
        <v>12335.666666700001</v>
      </c>
      <c r="Y77" s="219">
        <v>423918</v>
      </c>
      <c r="Z77" s="219">
        <v>4597.6666667</v>
      </c>
      <c r="AA77" s="122"/>
      <c r="AB77" s="239">
        <f t="shared" si="12"/>
        <v>159.63528617217236</v>
      </c>
      <c r="AC77" s="239">
        <f t="shared" si="13"/>
        <v>558.17471382782765</v>
      </c>
      <c r="AD77" s="122">
        <f>SUM(AB65:AB68)</f>
        <v>3936305.5616169032</v>
      </c>
      <c r="AF77">
        <f t="shared" ref="AF77:AG87" si="14">AA61/1000</f>
        <v>20.996894169701797</v>
      </c>
      <c r="AG77">
        <f t="shared" si="14"/>
        <v>789.47649592749406</v>
      </c>
    </row>
    <row r="78" spans="1:38" x14ac:dyDescent="0.6">
      <c r="A78" s="8"/>
      <c r="C78" s="11" t="s">
        <v>85</v>
      </c>
      <c r="D78" s="11" t="s">
        <v>266</v>
      </c>
      <c r="E78" s="11" t="s">
        <v>86</v>
      </c>
      <c r="H78" s="11" t="s">
        <v>85</v>
      </c>
      <c r="I78" s="11" t="s">
        <v>86</v>
      </c>
      <c r="N78" s="120"/>
      <c r="Q78" t="s">
        <v>87</v>
      </c>
      <c r="U78" s="121"/>
      <c r="V78" s="122">
        <f t="shared" si="10"/>
        <v>273712.66666660004</v>
      </c>
      <c r="W78" s="122">
        <f t="shared" si="11"/>
        <v>429642</v>
      </c>
      <c r="X78" s="219">
        <v>11813.666666700001</v>
      </c>
      <c r="Y78" s="219">
        <v>413330.33333330002</v>
      </c>
      <c r="Z78" s="219">
        <v>4498</v>
      </c>
      <c r="AA78" s="122"/>
      <c r="AB78" s="239">
        <f t="shared" si="12"/>
        <v>156.02822725884431</v>
      </c>
      <c r="AC78" s="239">
        <f t="shared" si="13"/>
        <v>547.32643940775574</v>
      </c>
      <c r="AF78">
        <f t="shared" si="14"/>
        <v>19.100916461837699</v>
      </c>
      <c r="AG78">
        <f t="shared" si="14"/>
        <v>729.75653727940698</v>
      </c>
    </row>
    <row r="79" spans="1:38" x14ac:dyDescent="0.6">
      <c r="A79" s="8"/>
      <c r="B79" s="99" t="s">
        <v>18</v>
      </c>
      <c r="C79" s="140">
        <v>72.3</v>
      </c>
      <c r="D79" s="174">
        <v>0.81985996180776577</v>
      </c>
      <c r="E79" s="141">
        <f t="shared" ref="E79:E90" si="15">ROUND(C79*D79,3)</f>
        <v>59.276000000000003</v>
      </c>
      <c r="H79" s="45">
        <v>0.83367768595041325</v>
      </c>
      <c r="I79" s="45">
        <v>0.90433080499143637</v>
      </c>
      <c r="N79" s="16"/>
      <c r="O79" s="11"/>
      <c r="P79" s="11"/>
      <c r="Q79" s="11" t="str">
        <f>+Q$13</f>
        <v>RT{1}</v>
      </c>
      <c r="R79" s="11"/>
      <c r="S79" s="11"/>
      <c r="T79" s="11" t="str">
        <f>+T$13</f>
        <v>GST</v>
      </c>
      <c r="U79" s="17"/>
      <c r="V79" s="122">
        <f t="shared" si="10"/>
        <v>274679.88255860005</v>
      </c>
      <c r="W79" s="122">
        <f t="shared" si="11"/>
        <v>402759.49052029999</v>
      </c>
      <c r="X79" s="219">
        <v>13513.913343300001</v>
      </c>
      <c r="Y79" s="219">
        <v>385312.77243329998</v>
      </c>
      <c r="Z79" s="219">
        <v>3932.8047437</v>
      </c>
      <c r="AA79" s="122"/>
      <c r="AB79" s="239">
        <f t="shared" si="12"/>
        <v>148.41957406901292</v>
      </c>
      <c r="AC79" s="239">
        <f t="shared" si="13"/>
        <v>529.01979900988715</v>
      </c>
      <c r="AF79">
        <f t="shared" si="14"/>
        <v>14.759780561416701</v>
      </c>
      <c r="AG79">
        <f t="shared" si="14"/>
        <v>625.25009678912897</v>
      </c>
    </row>
    <row r="80" spans="1:38" x14ac:dyDescent="0.6">
      <c r="A80" s="8"/>
      <c r="B80" s="99" t="s">
        <v>19</v>
      </c>
      <c r="C80" s="140">
        <v>68.5</v>
      </c>
      <c r="D80" s="174">
        <f>+$D$79</f>
        <v>0.81985996180776577</v>
      </c>
      <c r="E80" s="141">
        <f t="shared" si="15"/>
        <v>56.16</v>
      </c>
      <c r="H80" s="45">
        <f>H79</f>
        <v>0.83367768595041325</v>
      </c>
      <c r="I80" s="45">
        <f>I79</f>
        <v>0.90433080499143637</v>
      </c>
      <c r="N80" s="120"/>
      <c r="U80" s="121"/>
      <c r="V80" s="122">
        <f t="shared" si="10"/>
        <v>257161.95086800004</v>
      </c>
      <c r="W80" s="122">
        <f t="shared" si="11"/>
        <v>376511.15364859998</v>
      </c>
      <c r="X80" s="219">
        <v>10980.895570000001</v>
      </c>
      <c r="Y80" s="219">
        <v>361940.82693330001</v>
      </c>
      <c r="Z80" s="219">
        <v>3589.4311453</v>
      </c>
      <c r="AA80" s="122"/>
      <c r="AB80" s="239">
        <f t="shared" si="12"/>
        <v>138.79251654769985</v>
      </c>
      <c r="AC80" s="239">
        <f t="shared" si="13"/>
        <v>494.88058796890016</v>
      </c>
      <c r="AF80">
        <f t="shared" si="14"/>
        <v>11.7974620390653</v>
      </c>
      <c r="AG80">
        <f t="shared" si="14"/>
        <v>570.32148521926501</v>
      </c>
    </row>
    <row r="81" spans="1:33" x14ac:dyDescent="0.6">
      <c r="A81" s="8"/>
      <c r="B81" s="99" t="s">
        <v>20</v>
      </c>
      <c r="C81" s="140">
        <v>48.3</v>
      </c>
      <c r="D81" s="174">
        <f>+$D$79</f>
        <v>0.81985996180776577</v>
      </c>
      <c r="E81" s="141">
        <f t="shared" si="15"/>
        <v>39.598999999999997</v>
      </c>
      <c r="H81" s="45">
        <f>H79</f>
        <v>0.83367768595041325</v>
      </c>
      <c r="I81" s="45">
        <f>I79</f>
        <v>0.90433080499143637</v>
      </c>
      <c r="N81" s="123"/>
      <c r="O81" s="124"/>
      <c r="P81" s="128" t="s">
        <v>88</v>
      </c>
      <c r="Q81" s="122"/>
      <c r="R81" s="122"/>
      <c r="S81" s="128" t="s">
        <v>88</v>
      </c>
      <c r="T81" s="122"/>
      <c r="U81" s="125"/>
      <c r="V81" s="122">
        <f t="shared" si="10"/>
        <v>225226.12628599996</v>
      </c>
      <c r="W81" s="122">
        <f t="shared" si="11"/>
        <v>322330.45369499997</v>
      </c>
      <c r="X81" s="219">
        <v>9636.0560153000006</v>
      </c>
      <c r="Y81" s="219">
        <v>309522.31126669998</v>
      </c>
      <c r="Z81" s="219">
        <v>3172.086413</v>
      </c>
      <c r="AA81" s="122"/>
      <c r="AB81" s="239">
        <f t="shared" si="12"/>
        <v>119.42360463735001</v>
      </c>
      <c r="AC81" s="239">
        <f t="shared" si="13"/>
        <v>428.13297534364989</v>
      </c>
      <c r="AF81">
        <f t="shared" si="14"/>
        <v>11.952541498757901</v>
      </c>
      <c r="AG81">
        <f t="shared" si="14"/>
        <v>723.10930610346304</v>
      </c>
    </row>
    <row r="82" spans="1:33" x14ac:dyDescent="0.6">
      <c r="A82" s="8"/>
      <c r="B82" s="99" t="s">
        <v>21</v>
      </c>
      <c r="C82" s="140">
        <v>44.25</v>
      </c>
      <c r="D82" s="174">
        <f>+$D$79</f>
        <v>0.81985996180776577</v>
      </c>
      <c r="E82" s="141">
        <f t="shared" si="15"/>
        <v>36.279000000000003</v>
      </c>
      <c r="H82" s="45">
        <f>H79</f>
        <v>0.83367768595041325</v>
      </c>
      <c r="I82" s="45">
        <f>I79</f>
        <v>0.90433080499143637</v>
      </c>
      <c r="N82" s="123"/>
      <c r="O82" s="124"/>
      <c r="P82" s="126" t="s">
        <v>89</v>
      </c>
      <c r="Q82" s="122">
        <f>Q72-Q61</f>
        <v>16783.904599999994</v>
      </c>
      <c r="S82" s="126" t="s">
        <v>89</v>
      </c>
      <c r="T82" s="122">
        <f>T72-T61</f>
        <v>11509.224600000001</v>
      </c>
      <c r="U82" s="121"/>
      <c r="V82" s="122">
        <f t="shared" si="10"/>
        <v>199870.02928630006</v>
      </c>
      <c r="W82" s="122">
        <f t="shared" si="11"/>
        <v>285367.58166599995</v>
      </c>
      <c r="X82" s="219">
        <v>7676.6175767000004</v>
      </c>
      <c r="Y82" s="219">
        <v>275257.51559999998</v>
      </c>
      <c r="Z82" s="219">
        <v>2433.4484892999999</v>
      </c>
      <c r="AA82" s="122"/>
      <c r="AB82" s="239">
        <f t="shared" si="12"/>
        <v>105.78496570963962</v>
      </c>
      <c r="AC82" s="239">
        <f t="shared" si="13"/>
        <v>379.45264524266042</v>
      </c>
      <c r="AF82">
        <f t="shared" si="14"/>
        <v>15.363889620883899</v>
      </c>
      <c r="AG82">
        <f t="shared" si="14"/>
        <v>1061.94372233063</v>
      </c>
    </row>
    <row r="83" spans="1:33" x14ac:dyDescent="0.6">
      <c r="A83" s="8"/>
      <c r="B83" s="99" t="s">
        <v>22</v>
      </c>
      <c r="C83" s="140">
        <v>45.85</v>
      </c>
      <c r="D83" s="174">
        <f>+$D$79</f>
        <v>0.81985996180776577</v>
      </c>
      <c r="E83" s="141">
        <f t="shared" si="15"/>
        <v>37.591000000000001</v>
      </c>
      <c r="H83" s="45">
        <f>H79</f>
        <v>0.83367768595041325</v>
      </c>
      <c r="I83" s="45">
        <f>I79</f>
        <v>0.90433080499143637</v>
      </c>
      <c r="N83" s="123"/>
      <c r="O83" s="124"/>
      <c r="P83" s="126" t="s">
        <v>90</v>
      </c>
      <c r="Q83" s="142">
        <f>Q82*(E117-E118)</f>
        <v>90285.631763030615</v>
      </c>
      <c r="S83" s="126" t="s">
        <v>90</v>
      </c>
      <c r="T83" s="142">
        <f>T82*(H117-H118)</f>
        <v>59238.961953892162</v>
      </c>
      <c r="U83" s="121"/>
      <c r="V83" s="122">
        <f t="shared" si="10"/>
        <v>203316.42216039996</v>
      </c>
      <c r="W83" s="122">
        <f t="shared" si="11"/>
        <v>282281.82558200002</v>
      </c>
      <c r="X83" s="219">
        <v>7506.4973339999997</v>
      </c>
      <c r="Y83" s="219">
        <v>272721.06</v>
      </c>
      <c r="Z83" s="219">
        <v>2054.2682479999999</v>
      </c>
      <c r="AA83" s="122"/>
      <c r="AB83" s="239">
        <f t="shared" si="12"/>
        <v>105.30866085824586</v>
      </c>
      <c r="AC83" s="239">
        <f t="shared" si="13"/>
        <v>380.28958688415412</v>
      </c>
      <c r="AF83">
        <f t="shared" si="14"/>
        <v>16.097790328732902</v>
      </c>
      <c r="AG83">
        <f t="shared" si="14"/>
        <v>1136.38947848098</v>
      </c>
    </row>
    <row r="84" spans="1:33" x14ac:dyDescent="0.6">
      <c r="A84" s="8"/>
      <c r="B84" s="99" t="s">
        <v>23</v>
      </c>
      <c r="C84" s="240">
        <v>43.85</v>
      </c>
      <c r="D84" s="241">
        <v>0.63883495145631064</v>
      </c>
      <c r="E84" s="145">
        <f t="shared" si="15"/>
        <v>28.013000000000002</v>
      </c>
      <c r="H84" s="146">
        <v>0.84554575858923675</v>
      </c>
      <c r="I84" s="147">
        <v>0.91349965026812774</v>
      </c>
      <c r="N84" s="120"/>
      <c r="Q84" s="148"/>
      <c r="T84" s="148"/>
      <c r="U84" s="121"/>
      <c r="V84" s="122">
        <f t="shared" si="10"/>
        <v>205807.63204129995</v>
      </c>
      <c r="W84" s="122">
        <f t="shared" si="11"/>
        <v>290736.83107969997</v>
      </c>
      <c r="X84" s="219">
        <v>11362.484463999999</v>
      </c>
      <c r="Y84" s="219">
        <v>276538.9648667</v>
      </c>
      <c r="Z84" s="219">
        <v>2835.3817490000001</v>
      </c>
      <c r="AA84" s="122"/>
      <c r="AB84" s="239">
        <f t="shared" si="12"/>
        <v>108.03449900789819</v>
      </c>
      <c r="AC84" s="239">
        <f t="shared" si="13"/>
        <v>388.50996411310172</v>
      </c>
      <c r="AF84">
        <f t="shared" si="14"/>
        <v>14.566509985743</v>
      </c>
      <c r="AG84">
        <f t="shared" si="14"/>
        <v>1014.86305470183</v>
      </c>
    </row>
    <row r="85" spans="1:33" x14ac:dyDescent="0.6">
      <c r="A85" s="8"/>
      <c r="B85" s="99" t="s">
        <v>24</v>
      </c>
      <c r="C85" s="242">
        <v>61.15</v>
      </c>
      <c r="D85" s="174">
        <f>+$D$84</f>
        <v>0.63883495145631064</v>
      </c>
      <c r="E85" s="149">
        <f t="shared" si="15"/>
        <v>39.064999999999998</v>
      </c>
      <c r="H85" s="150">
        <f t="shared" ref="H85:I87" si="16">H84</f>
        <v>0.84554575858923675</v>
      </c>
      <c r="I85" s="151">
        <f t="shared" si="16"/>
        <v>0.91349965026812774</v>
      </c>
      <c r="N85" s="123"/>
      <c r="O85" s="124"/>
      <c r="P85" s="126" t="s">
        <v>91</v>
      </c>
      <c r="Q85" s="148"/>
      <c r="R85" s="11"/>
      <c r="S85" s="126" t="s">
        <v>91</v>
      </c>
      <c r="T85" s="148"/>
      <c r="U85" s="17"/>
      <c r="V85" s="122">
        <f t="shared" si="10"/>
        <v>225816.15350270004</v>
      </c>
      <c r="W85" s="122">
        <f t="shared" si="11"/>
        <v>325213.66421229998</v>
      </c>
      <c r="X85" s="219">
        <v>10349.2439123</v>
      </c>
      <c r="Y85" s="219">
        <v>311608.48533330002</v>
      </c>
      <c r="Z85" s="219">
        <v>3255.9349667000001</v>
      </c>
      <c r="AA85" s="122"/>
      <c r="AB85" s="239">
        <f t="shared" si="12"/>
        <v>120.32224093586089</v>
      </c>
      <c r="AC85" s="239">
        <f t="shared" si="13"/>
        <v>430.70757677913912</v>
      </c>
      <c r="AF85">
        <f t="shared" si="14"/>
        <v>10.839209389539899</v>
      </c>
      <c r="AG85">
        <f t="shared" si="14"/>
        <v>687.93324885446702</v>
      </c>
    </row>
    <row r="86" spans="1:33" x14ac:dyDescent="0.6">
      <c r="A86" s="8"/>
      <c r="B86" s="99" t="s">
        <v>25</v>
      </c>
      <c r="C86" s="242">
        <v>54.7</v>
      </c>
      <c r="D86" s="174">
        <f>+$D$84</f>
        <v>0.63883495145631064</v>
      </c>
      <c r="E86" s="149">
        <f t="shared" si="15"/>
        <v>34.944000000000003</v>
      </c>
      <c r="H86" s="150">
        <f t="shared" si="16"/>
        <v>0.84554575858923675</v>
      </c>
      <c r="I86" s="151">
        <f t="shared" si="16"/>
        <v>0.91349965026812774</v>
      </c>
      <c r="N86" s="123"/>
      <c r="O86" s="124"/>
      <c r="P86" s="126" t="s">
        <v>89</v>
      </c>
      <c r="Q86" s="122">
        <f>Q76-Q65</f>
        <v>7604.7131000000008</v>
      </c>
      <c r="S86" s="126" t="s">
        <v>89</v>
      </c>
      <c r="T86" s="122">
        <f>T76-T65</f>
        <v>5561.8964999999953</v>
      </c>
      <c r="U86" s="121"/>
      <c r="V86" s="122">
        <f t="shared" si="10"/>
        <v>250270.78271439997</v>
      </c>
      <c r="W86" s="122">
        <f t="shared" si="11"/>
        <v>375319.26267169998</v>
      </c>
      <c r="X86" s="237">
        <v>10297.922699999999</v>
      </c>
      <c r="Y86" s="237">
        <v>360954.30176669999</v>
      </c>
      <c r="Z86" s="237">
        <v>4067.0382049999998</v>
      </c>
      <c r="AA86" s="122"/>
      <c r="AB86" s="239">
        <f t="shared" si="12"/>
        <v>137.62968902574892</v>
      </c>
      <c r="AC86" s="239">
        <f t="shared" si="13"/>
        <v>487.96035636035106</v>
      </c>
      <c r="AF86">
        <f>AA70/1000</f>
        <v>11.253687441919601</v>
      </c>
      <c r="AG86">
        <f>AB70/1000</f>
        <v>587.64782375456207</v>
      </c>
    </row>
    <row r="87" spans="1:33" x14ac:dyDescent="0.6">
      <c r="A87" s="8"/>
      <c r="B87" s="99" t="s">
        <v>26</v>
      </c>
      <c r="C87" s="243">
        <v>43.4</v>
      </c>
      <c r="D87" s="244">
        <f>+$D$84</f>
        <v>0.63883495145631064</v>
      </c>
      <c r="E87" s="154">
        <f t="shared" si="15"/>
        <v>27.725000000000001</v>
      </c>
      <c r="H87" s="155">
        <f t="shared" si="16"/>
        <v>0.84554575858923675</v>
      </c>
      <c r="I87" s="156">
        <f t="shared" si="16"/>
        <v>0.91349965026812774</v>
      </c>
      <c r="N87" s="136"/>
      <c r="O87" s="137"/>
      <c r="P87" s="138" t="s">
        <v>90</v>
      </c>
      <c r="Q87" s="157">
        <f>Q86*(E113-E114)</f>
        <v>115964.52892340416</v>
      </c>
      <c r="R87" s="131"/>
      <c r="S87" s="138" t="s">
        <v>90</v>
      </c>
      <c r="T87" s="157">
        <f>T86*(H113-H114)</f>
        <v>82882.030423215212</v>
      </c>
      <c r="U87" s="133"/>
      <c r="V87" s="122">
        <f>SUM(V75:V86)</f>
        <v>2974104.6460842998</v>
      </c>
      <c r="W87" s="122">
        <f>SUM(W75:W86)</f>
        <v>4451965.5964088999</v>
      </c>
      <c r="X87" s="122">
        <f>SUM(X75:X86)</f>
        <v>131957.63091559999</v>
      </c>
      <c r="Y87" s="122">
        <f>SUM(Y75:Y86)</f>
        <v>4276278.2381998999</v>
      </c>
      <c r="Z87" s="122">
        <f>SUM(Z75:Z86)</f>
        <v>43729.727293399992</v>
      </c>
      <c r="AA87" s="122"/>
      <c r="AB87" s="122">
        <f>SUM(AB75:AB86)</f>
        <v>1633.1848075679954</v>
      </c>
      <c r="AC87" s="122">
        <f>SUM(AC75:AC86)</f>
        <v>5792.8854349252051</v>
      </c>
      <c r="AF87">
        <f t="shared" si="14"/>
        <v>15.861681806749401</v>
      </c>
      <c r="AG87">
        <f t="shared" si="14"/>
        <v>697.48768002028794</v>
      </c>
    </row>
    <row r="88" spans="1:33" x14ac:dyDescent="0.6">
      <c r="A88" s="8"/>
      <c r="B88" s="99" t="s">
        <v>27</v>
      </c>
      <c r="C88" s="140">
        <v>38.950000000000003</v>
      </c>
      <c r="D88" s="174">
        <f>+$D$79</f>
        <v>0.81985996180776577</v>
      </c>
      <c r="E88" s="141">
        <f t="shared" si="15"/>
        <v>31.934000000000001</v>
      </c>
      <c r="H88" s="45">
        <f>H79</f>
        <v>0.83367768595041325</v>
      </c>
      <c r="I88" s="45">
        <f>I79</f>
        <v>0.90433080499143637</v>
      </c>
      <c r="W88" s="122" t="s">
        <v>3</v>
      </c>
      <c r="Z88" s="122" t="s">
        <v>3</v>
      </c>
    </row>
    <row r="89" spans="1:33" x14ac:dyDescent="0.6">
      <c r="A89" s="8"/>
      <c r="B89" s="99" t="s">
        <v>28</v>
      </c>
      <c r="C89" s="140">
        <v>42.4</v>
      </c>
      <c r="D89" s="174">
        <f>+$D$79</f>
        <v>0.81985996180776577</v>
      </c>
      <c r="E89" s="141">
        <f t="shared" si="15"/>
        <v>34.762</v>
      </c>
      <c r="H89" s="45">
        <f>H79</f>
        <v>0.83367768595041325</v>
      </c>
      <c r="I89" s="45">
        <f>I79</f>
        <v>0.90433080499143637</v>
      </c>
    </row>
    <row r="90" spans="1:33" x14ac:dyDescent="0.6">
      <c r="A90" s="8"/>
      <c r="B90" s="99" t="s">
        <v>29</v>
      </c>
      <c r="C90" s="140">
        <v>54.5</v>
      </c>
      <c r="D90" s="174">
        <f>+$D$79</f>
        <v>0.81985996180776577</v>
      </c>
      <c r="E90" s="141">
        <f t="shared" si="15"/>
        <v>44.682000000000002</v>
      </c>
      <c r="G90" s="45"/>
      <c r="H90" s="45">
        <f>H79</f>
        <v>0.83367768595041325</v>
      </c>
      <c r="I90" s="45">
        <f>I79</f>
        <v>0.90433080499143637</v>
      </c>
    </row>
    <row r="91" spans="1:33" x14ac:dyDescent="0.6">
      <c r="A91" s="8"/>
      <c r="B91" s="99"/>
      <c r="C91" s="140" t="s">
        <v>3</v>
      </c>
      <c r="D91" s="140"/>
      <c r="G91" s="45"/>
      <c r="L91" s="45"/>
      <c r="X91" t="s">
        <v>92</v>
      </c>
    </row>
    <row r="92" spans="1:33" x14ac:dyDescent="0.6">
      <c r="A92" s="6" t="s">
        <v>93</v>
      </c>
      <c r="B92" s="14" t="s">
        <v>94</v>
      </c>
      <c r="C92" s="11"/>
      <c r="D92" s="11"/>
      <c r="E92" s="11" t="str">
        <f>+E$13</f>
        <v>RT{1}</v>
      </c>
      <c r="F92" s="11" t="str">
        <f>+F$13</f>
        <v>RS{2}</v>
      </c>
      <c r="G92" s="11" t="str">
        <f>+G$13</f>
        <v>GS{3}</v>
      </c>
      <c r="H92" s="11" t="str">
        <f>+H$58</f>
        <v>GST {4}</v>
      </c>
      <c r="I92" s="11" t="str">
        <f>+I$13</f>
        <v>OL/SL</v>
      </c>
      <c r="J92" s="11"/>
      <c r="K92" s="11"/>
      <c r="L92" s="11"/>
      <c r="M92" s="11"/>
      <c r="P92" s="4" t="s">
        <v>267</v>
      </c>
      <c r="Q92" t="s">
        <v>268</v>
      </c>
      <c r="R92" t="s">
        <v>269</v>
      </c>
      <c r="S92" t="s">
        <v>270</v>
      </c>
      <c r="X92" t="s">
        <v>95</v>
      </c>
      <c r="Y92" s="127" t="s">
        <v>44</v>
      </c>
      <c r="Z92" s="127" t="s">
        <v>44</v>
      </c>
      <c r="AA92" s="127" t="s">
        <v>96</v>
      </c>
    </row>
    <row r="93" spans="1:33" x14ac:dyDescent="0.6">
      <c r="A93" s="8"/>
      <c r="C93" s="127"/>
      <c r="D93" s="127"/>
      <c r="E93" s="127"/>
      <c r="F93" s="127"/>
      <c r="P93" t="s">
        <v>53</v>
      </c>
      <c r="Q93" s="245">
        <v>1875177481.853766</v>
      </c>
      <c r="R93" s="245">
        <v>1800313578</v>
      </c>
      <c r="S93" s="122">
        <f>SUM(Q93:R93)</f>
        <v>3675491059.853766</v>
      </c>
      <c r="X93" s="19" t="s">
        <v>97</v>
      </c>
      <c r="Y93" s="20" t="s">
        <v>96</v>
      </c>
      <c r="Z93" s="20" t="s">
        <v>98</v>
      </c>
      <c r="AA93" s="20" t="s">
        <v>99</v>
      </c>
    </row>
    <row r="94" spans="1:33" x14ac:dyDescent="0.6">
      <c r="A94" s="8"/>
      <c r="B94" s="99" t="s">
        <v>271</v>
      </c>
      <c r="C94" s="158"/>
      <c r="D94" s="158"/>
      <c r="E94" s="158">
        <v>0.105545</v>
      </c>
      <c r="F94" s="158">
        <v>0.105545</v>
      </c>
      <c r="G94" s="158">
        <v>0.105545</v>
      </c>
      <c r="H94" s="158">
        <v>0.105545</v>
      </c>
      <c r="I94" s="158">
        <v>0.105545</v>
      </c>
      <c r="J94" s="158"/>
      <c r="K94" s="158"/>
      <c r="L94" s="158"/>
      <c r="M94" s="158"/>
      <c r="P94" t="s">
        <v>272</v>
      </c>
      <c r="Q94" s="245">
        <v>199629595.76314348</v>
      </c>
      <c r="R94" s="245">
        <v>49152757</v>
      </c>
      <c r="S94" s="122">
        <f>SUM(Q94:R94)</f>
        <v>248782352.76314348</v>
      </c>
      <c r="W94" t="s">
        <v>69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33" x14ac:dyDescent="0.6">
      <c r="A95" s="8"/>
      <c r="B95" t="s">
        <v>273</v>
      </c>
      <c r="C95" s="159"/>
      <c r="D95" s="159"/>
      <c r="E95" s="159">
        <f>1/(1-E94)</f>
        <v>1.1179992285805322</v>
      </c>
      <c r="F95" s="159">
        <f>1/(1-F94)</f>
        <v>1.1179992285805322</v>
      </c>
      <c r="G95" s="159">
        <f>1/(1-G94)</f>
        <v>1.1179992285805322</v>
      </c>
      <c r="H95" s="159">
        <f>1/(1-H94)</f>
        <v>1.1179992285805322</v>
      </c>
      <c r="I95" s="159">
        <f>1/(1-I94)</f>
        <v>1.1179992285805322</v>
      </c>
      <c r="J95" s="159"/>
      <c r="K95" s="159"/>
      <c r="L95" s="159"/>
      <c r="M95" s="159"/>
      <c r="P95" t="s">
        <v>274</v>
      </c>
      <c r="Q95" s="122">
        <f>SUM(Q93:Q94)</f>
        <v>2074807077.6169095</v>
      </c>
      <c r="R95" s="122">
        <f>SUM(R93:R94)</f>
        <v>1849466335</v>
      </c>
      <c r="S95" s="122">
        <f>SUM(S93:S94)</f>
        <v>3924273412.6169095</v>
      </c>
      <c r="T95" s="122">
        <f>SUM(F65:F68)</f>
        <v>3936305</v>
      </c>
      <c r="W95" t="s">
        <v>102</v>
      </c>
      <c r="X95">
        <f>(9*18+10*34)/52</f>
        <v>9.6538461538461533</v>
      </c>
      <c r="Y95">
        <f>X95*365*5/7</f>
        <v>2516.8956043956036</v>
      </c>
      <c r="Z95">
        <f>365*24</f>
        <v>8760</v>
      </c>
      <c r="AA95">
        <f>Y95/Z95</f>
        <v>0.28731684981684974</v>
      </c>
    </row>
    <row r="96" spans="1:33" x14ac:dyDescent="0.6">
      <c r="A96" s="8"/>
      <c r="C96" s="159"/>
      <c r="D96" s="159"/>
      <c r="E96" s="159"/>
      <c r="F96" s="159"/>
      <c r="G96" s="159"/>
      <c r="H96" s="159"/>
      <c r="I96" s="159"/>
      <c r="J96" s="159" t="s">
        <v>3</v>
      </c>
      <c r="K96" s="159"/>
      <c r="L96" s="159"/>
      <c r="M96" s="159" t="s">
        <v>3</v>
      </c>
      <c r="Q96" s="122"/>
      <c r="R96" s="122"/>
      <c r="S96" s="122"/>
      <c r="T96" s="122"/>
    </row>
    <row r="97" spans="1:33" x14ac:dyDescent="0.6">
      <c r="A97" s="8"/>
      <c r="B97" t="s">
        <v>275</v>
      </c>
      <c r="C97" s="159"/>
      <c r="D97" s="159"/>
      <c r="E97" s="37">
        <f>ROUND(1-1/E98,6)</f>
        <v>9.7013000000000002E-2</v>
      </c>
      <c r="F97" s="37">
        <f>ROUND(1-1/F98,6)</f>
        <v>9.7013000000000002E-2</v>
      </c>
      <c r="G97" s="37">
        <f>ROUND(1-1/G98,6)</f>
        <v>9.7013000000000002E-2</v>
      </c>
      <c r="H97" s="37">
        <f>ROUND(1-1/H98,6)</f>
        <v>9.7013000000000002E-2</v>
      </c>
      <c r="I97" s="37">
        <f>ROUND(1-1/I98,6)</f>
        <v>9.7013000000000002E-2</v>
      </c>
      <c r="Q97" s="122"/>
      <c r="R97" s="122"/>
      <c r="S97" s="122"/>
      <c r="T97" s="122"/>
    </row>
    <row r="98" spans="1:33" x14ac:dyDescent="0.6">
      <c r="A98" s="8"/>
      <c r="B98" t="s">
        <v>276</v>
      </c>
      <c r="C98" s="159"/>
      <c r="D98" s="159"/>
      <c r="E98" s="159">
        <v>1.1074352998061705</v>
      </c>
      <c r="F98" s="159">
        <v>1.1074352998061705</v>
      </c>
      <c r="G98" s="159">
        <v>1.1074352998061705</v>
      </c>
      <c r="H98" s="159">
        <v>1.1074352998061705</v>
      </c>
      <c r="I98" s="159">
        <v>1.1074352998061705</v>
      </c>
      <c r="Q98" s="122"/>
      <c r="R98" s="122"/>
      <c r="S98" s="122"/>
      <c r="T98" s="122"/>
    </row>
    <row r="99" spans="1:33" x14ac:dyDescent="0.6">
      <c r="A99" s="8"/>
      <c r="C99" s="159"/>
      <c r="D99" s="159"/>
      <c r="E99" s="126"/>
      <c r="F99" s="246"/>
      <c r="G99" s="159"/>
      <c r="H99" s="159"/>
      <c r="I99" s="159" t="s">
        <v>3</v>
      </c>
      <c r="J99" s="159"/>
      <c r="K99" s="159"/>
      <c r="L99" s="159"/>
      <c r="Q99" s="122"/>
      <c r="R99" s="122"/>
      <c r="S99" s="122"/>
      <c r="T99" s="122"/>
    </row>
    <row r="100" spans="1:33" x14ac:dyDescent="0.6">
      <c r="A100" s="8"/>
      <c r="C100" s="159"/>
      <c r="D100" s="159"/>
      <c r="E100" s="38"/>
      <c r="F100" s="39"/>
      <c r="G100" s="159"/>
      <c r="H100" s="159"/>
      <c r="I100" s="159"/>
      <c r="J100" s="159"/>
      <c r="K100" s="159"/>
      <c r="L100" s="37"/>
      <c r="T100" s="56"/>
    </row>
    <row r="101" spans="1:33" x14ac:dyDescent="0.6">
      <c r="A101" s="8"/>
      <c r="B101" s="114" t="s">
        <v>390</v>
      </c>
      <c r="C101" s="159"/>
      <c r="D101" s="159"/>
      <c r="E101" s="159"/>
      <c r="F101" s="159"/>
      <c r="G101" s="159"/>
      <c r="H101" s="159"/>
      <c r="I101" s="159"/>
      <c r="J101" s="246"/>
      <c r="K101" s="246"/>
      <c r="L101" s="41"/>
    </row>
    <row r="102" spans="1:33" x14ac:dyDescent="0.6">
      <c r="A102" s="8"/>
      <c r="B102" t="s">
        <v>3</v>
      </c>
      <c r="I102" s="159"/>
      <c r="J102" s="246"/>
      <c r="K102" s="246"/>
      <c r="L102" s="159"/>
    </row>
    <row r="103" spans="1:33" ht="15.5" x14ac:dyDescent="0.7">
      <c r="A103" s="8"/>
      <c r="B103" s="340" t="str">
        <f>$B$1</f>
        <v xml:space="preserve">Jersey Central Power &amp; Light </v>
      </c>
      <c r="C103" s="340"/>
      <c r="D103" s="340"/>
      <c r="E103" s="340"/>
      <c r="F103" s="340"/>
      <c r="G103" s="340"/>
      <c r="H103" s="340"/>
      <c r="I103" s="340"/>
      <c r="J103" s="340"/>
      <c r="K103" s="340"/>
      <c r="L103" s="340"/>
    </row>
    <row r="104" spans="1:33" ht="15.5" x14ac:dyDescent="0.7">
      <c r="A104" s="8"/>
      <c r="B104" s="340" t="str">
        <f>$B$2</f>
        <v>Attachment 2</v>
      </c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</row>
    <row r="105" spans="1:33" x14ac:dyDescent="0.6">
      <c r="A105" s="8"/>
    </row>
    <row r="106" spans="1:33" x14ac:dyDescent="0.6">
      <c r="A106" s="8"/>
      <c r="S106" s="158"/>
    </row>
    <row r="107" spans="1:33" x14ac:dyDescent="0.6">
      <c r="A107" s="6" t="s">
        <v>105</v>
      </c>
      <c r="B107" s="4" t="s">
        <v>106</v>
      </c>
      <c r="L107" t="s">
        <v>3</v>
      </c>
    </row>
    <row r="108" spans="1:33" x14ac:dyDescent="0.6">
      <c r="A108" s="8"/>
      <c r="B108" s="5" t="s">
        <v>107</v>
      </c>
      <c r="L108" t="s">
        <v>3</v>
      </c>
      <c r="S108" s="95"/>
      <c r="AF108" t="s">
        <v>277</v>
      </c>
    </row>
    <row r="109" spans="1:33" x14ac:dyDescent="0.6">
      <c r="A109" s="8"/>
      <c r="B109" s="5" t="s">
        <v>81</v>
      </c>
      <c r="S109" s="247"/>
      <c r="AC109" s="161"/>
      <c r="AF109" s="158">
        <v>4.5599999999999998E-3</v>
      </c>
      <c r="AG109" t="s">
        <v>278</v>
      </c>
    </row>
    <row r="110" spans="1:33" x14ac:dyDescent="0.6">
      <c r="A110" s="8"/>
      <c r="B110" s="4"/>
      <c r="C110" s="11"/>
      <c r="D110" s="11"/>
      <c r="E110" s="11" t="str">
        <f>+E$13</f>
        <v>RT{1}</v>
      </c>
      <c r="F110" s="11" t="str">
        <f>+F$13</f>
        <v>RS{2}</v>
      </c>
      <c r="G110" s="11" t="str">
        <f>+G$13</f>
        <v>GS{3}</v>
      </c>
      <c r="H110" s="11" t="str">
        <f>+H$58</f>
        <v>GST {4}</v>
      </c>
      <c r="I110" s="11" t="str">
        <f>+I$13</f>
        <v>OL/SL</v>
      </c>
      <c r="J110" s="11"/>
      <c r="K110" s="11"/>
      <c r="L110" s="11"/>
      <c r="M110" s="11"/>
      <c r="N110" s="96"/>
      <c r="P110" s="127"/>
      <c r="W110" s="61"/>
      <c r="AC110" s="95"/>
    </row>
    <row r="111" spans="1:33" x14ac:dyDescent="0.6">
      <c r="A111" s="8"/>
      <c r="R111" s="126"/>
      <c r="S111" s="21"/>
      <c r="W111" s="11"/>
      <c r="X111" s="96"/>
      <c r="Z111" s="127"/>
    </row>
    <row r="112" spans="1:33" x14ac:dyDescent="0.6">
      <c r="A112" s="8"/>
      <c r="B112" s="99" t="s">
        <v>108</v>
      </c>
      <c r="C112" s="66"/>
      <c r="D112" s="66"/>
      <c r="E112" s="162">
        <f>(SUMPRODUCT(E20:E23,E65:E68,$C84:$C87,$H84:$H87)*E95+SUMPRODUCT(Q20:Q23,E65:E68,$E84:$E87,$I84:$I87)*E95)/SUM(E65:E68)</f>
        <v>41.334575736884801</v>
      </c>
      <c r="F112" s="162">
        <f>(SUMPRODUCT(F20:F23,F65:F68,$C84:$C87,$H84:$H87)*F95+SUMPRODUCT(R20:R23,F65:F68,$E84:$E87,$I84:$I87)*F95)/SUM(F65:F68)</f>
        <v>41.553307167599662</v>
      </c>
      <c r="G112" s="162">
        <f>(SUMPRODUCT(G20:G23,G65:G68,$C84:$C87,$H84:$H87)*G95+SUMPRODUCT(S20:S23,G65:G68,$E84:$E87,$I84:$I87)*G95)/SUM(G65:G68)</f>
        <v>42.063044775486247</v>
      </c>
      <c r="H112" s="162">
        <f>(SUMPRODUCT(H20:H23,H65:H68,$C84:$C87,$H84:$H87)*H95+SUMPRODUCT(T20:T23,H65:H68,$E84:$E87,$I84:$I87)*H95)/SUM(H65:H68)</f>
        <v>41.736602190998987</v>
      </c>
      <c r="I112" s="162">
        <f>(SUMPRODUCT(I20:I23,I65:I68,$C84:$C87,$H84:$H87)*I95+SUMPRODUCT(U20:U23,I65:I68,$E84:$E87,$I84:$I87)*I95)/SUM(I65:I68)</f>
        <v>37.644260543658334</v>
      </c>
      <c r="J112" s="163"/>
      <c r="K112" s="163"/>
      <c r="L112" s="66"/>
      <c r="M112" s="61"/>
      <c r="AB112" s="126"/>
      <c r="AC112" s="21"/>
    </row>
    <row r="113" spans="1:33" x14ac:dyDescent="0.6">
      <c r="A113" s="8"/>
      <c r="B113" s="164" t="s">
        <v>109</v>
      </c>
      <c r="C113" s="66"/>
      <c r="D113" s="66"/>
      <c r="E113" s="162">
        <f>(SUMPRODUCT(E20:E23,E65:E68,$C84:$C87,$H84:$H87)*E95)/SUMPRODUCT(E20:E23,E65:E68)</f>
        <v>48.62834119180998</v>
      </c>
      <c r="F113" s="162">
        <f>(SUMPRODUCT(F20:F23,F65:F68,$C84:$C87,$H84:$H87)*F95)/SUMPRODUCT(F20:F23,F65:F68)</f>
        <v>48.785855595849291</v>
      </c>
      <c r="G113" s="162">
        <f>(SUMPRODUCT(G20:G23,G65:G68,$C84:$C87,$H84:$H87)*G95)/SUMPRODUCT(G20:G23,G65:G68)</f>
        <v>48.234607574759636</v>
      </c>
      <c r="H113" s="162">
        <f>(SUMPRODUCT(H20:H23,H65:H68,$C84:$C87,$H84:$H87)*H95)/SUMPRODUCT(H20:H23,H65:H68)</f>
        <v>48.301432946040606</v>
      </c>
      <c r="I113" s="162">
        <f>(SUMPRODUCT(I20:I23,I65:I68,$C84:$C87,$H84:$H87)*I95)/SUMPRODUCT(I20:I23,I65:I68)</f>
        <v>47.843538854227162</v>
      </c>
      <c r="J113" s="163"/>
      <c r="K113" s="163"/>
      <c r="L113" s="66"/>
      <c r="M113" s="61"/>
      <c r="S113" s="95"/>
    </row>
    <row r="114" spans="1:33" x14ac:dyDescent="0.6">
      <c r="A114" s="8"/>
      <c r="B114" s="164" t="s">
        <v>110</v>
      </c>
      <c r="C114" s="66"/>
      <c r="D114" s="66"/>
      <c r="E114" s="162">
        <f>(SUMPRODUCT(Q20:Q23,E65:E68,$E84:$E87,$I84:$I87)*E95)/SUMPRODUCT(Q20:Q23,E65:E68)</f>
        <v>33.379307152195238</v>
      </c>
      <c r="F114" s="162">
        <f>(SUMPRODUCT(R20:R23,F65:F68,$E84:$E87,$I84:$I87)*F95)/SUMPRODUCT(R20:R23,F65:F68)</f>
        <v>33.568784477542273</v>
      </c>
      <c r="G114" s="162">
        <f>(SUMPRODUCT(S20:S23,G65:G68,$E84:$E87,$I84:$I87)*G95)/SUMPRODUCT(S20:S23,G65:G68)</f>
        <v>33.377815671243134</v>
      </c>
      <c r="H114" s="162">
        <f>(SUMPRODUCT(T20:T23,H65:H68,$E84:$E87,$I84:$I87)*H95)/SUMPRODUCT(T20:T23,H65:H68)</f>
        <v>33.399675888314832</v>
      </c>
      <c r="I114" s="162">
        <f>(SUMPRODUCT(U20:U23,I65:I68,$E84:$E87,$I84:$I87)*I95)/SUMPRODUCT(U20:U23,I65:I68)</f>
        <v>33.174118179874803</v>
      </c>
      <c r="J114" s="163"/>
      <c r="K114" s="163"/>
      <c r="L114" s="66"/>
      <c r="M114" s="11"/>
      <c r="N114" s="96"/>
      <c r="P114" s="127"/>
      <c r="W114" s="61"/>
      <c r="AC114" s="95"/>
    </row>
    <row r="115" spans="1:33" x14ac:dyDescent="0.6">
      <c r="A115" s="8"/>
      <c r="C115" s="49"/>
      <c r="D115" s="49"/>
      <c r="E115" s="165"/>
      <c r="F115" s="165"/>
      <c r="G115" s="165"/>
      <c r="H115" s="165"/>
      <c r="I115" s="165"/>
      <c r="J115" s="163"/>
      <c r="K115" s="163"/>
      <c r="L115" s="49"/>
      <c r="R115" s="126"/>
      <c r="S115" s="21"/>
      <c r="W115" s="11"/>
      <c r="X115" s="96"/>
      <c r="Z115" s="127"/>
    </row>
    <row r="116" spans="1:33" x14ac:dyDescent="0.6">
      <c r="A116" s="8"/>
      <c r="B116" s="99" t="s">
        <v>111</v>
      </c>
      <c r="C116" s="66"/>
      <c r="D116" s="66"/>
      <c r="E116" s="162">
        <f>(SUMPRODUCT(E15:E19,E60:E64,$C79:$C83,$H79:$H83)*E95+SUMPRODUCT(Q15:Q19,E60:E64,$E79:$E83,$I79:$I83)*E95+SUMPRODUCT(E24:E26,E69:E71,$C88:$C90,$H88:$H90)*E95+SUMPRODUCT(Q24:Q26,E69:E71,$E88:$E90,$I88:$I90)*E95)/SUM(E60:E64,E69:E71)</f>
        <v>47.717232407396146</v>
      </c>
      <c r="F116" s="162">
        <f>(SUMPRODUCT(F15:F19,F60:F64,$C79:$C83,$H79:$H83)*F95+SUMPRODUCT(R15:R19,F60:F64,$E79:$E83,$I79:$I83)*F95+SUMPRODUCT(F24:F26,F69:F71,$C88:$C90,$H88:$H90)*F95+SUMPRODUCT(R24:R26,F69:F71,$E88:$E90,$I88:$I90)*F95)/SUM(F60:F64,F69:F71)</f>
        <v>46.718914378448503</v>
      </c>
      <c r="G116" s="162">
        <f>(SUMPRODUCT(G15:G19,G60:G64,$C79:$C83,$H79:$H83)*G95+SUMPRODUCT(S15:S19,G60:G64,$E79:$E83,$I79:$I83)*G95+SUMPRODUCT(G24:G26,G69:G71,$C88:$C90,$H88:$H90)*G95+SUMPRODUCT(S24:S26,G69:G71,$E88:$E90,$I88:$I90)*G95)/SUM(G60:G64,G69:G71)</f>
        <v>46.479067078671449</v>
      </c>
      <c r="H116" s="162">
        <f>(SUMPRODUCT(H15:H19,H60:H64,$C79:$C83,$H79:$H83)*H95+SUMPRODUCT(T15:T19,H60:H64,$E79:$E83,$I79:$I83)*H95+SUMPRODUCT(H24:H26,H69:H71,$C88:$C90,$H88:$H90)*H95+SUMPRODUCT(T24:T26,H69:H71,$E88:$E90,$I88:$I90)*H95)/SUM(H60:H64,H69:H71)</f>
        <v>46.695406576983309</v>
      </c>
      <c r="I116" s="162">
        <f>(SUMPRODUCT(I15:I19,I60:I64,$C79:$C83,$H79:$H83)*I95+SUMPRODUCT(U15:U19,I60:I64,$E79:$E83,$I79:$I83)*I95+SUMPRODUCT(I24:I26,I69:I71,$C88:$C90,$H88:$H90)*I95+SUMPRODUCT(U24:U26,I69:I71,$E88:$E90,$I88:$I90)*I95)/SUM(I60:I64,I69:I71)</f>
        <v>44.713132017892974</v>
      </c>
      <c r="J116" s="163"/>
      <c r="K116" s="163"/>
      <c r="L116" s="66"/>
      <c r="M116" s="166"/>
      <c r="AB116" s="126"/>
      <c r="AC116" s="21"/>
      <c r="AE116">
        <f>1.118*(1-AC116)</f>
        <v>1.1180000000000001</v>
      </c>
    </row>
    <row r="117" spans="1:33" x14ac:dyDescent="0.6">
      <c r="A117" s="8"/>
      <c r="B117" s="164" t="s">
        <v>109</v>
      </c>
      <c r="C117" s="66"/>
      <c r="D117" s="66"/>
      <c r="E117" s="162">
        <f>(SUMPRODUCT(E15:E19,E60:E64,$C79:$C83,$H79:$H83)*E95+SUMPRODUCT(E24:E26,E69:E71,$C88:$C90,$H88:$H90)*E95)/(SUMPRODUCT(E15:E19,E60:E64)+SUMPRODUCT(E24:E26,E69:E71))</f>
        <v>50.546664166588535</v>
      </c>
      <c r="F117" s="162">
        <f>(SUMPRODUCT(F15:F19,F60:F64,$C79:$C83,$H79:$H83)*F95+SUMPRODUCT(F24:F26,F69:F71,$C88:$C90,$H88:$H90)*F95)/(SUMPRODUCT(F15:F19,F60:F64)+SUMPRODUCT(F24:F26,F69:F71))</f>
        <v>49.354101933289009</v>
      </c>
      <c r="G117" s="162">
        <f>(SUMPRODUCT(G15:G19,G60:G64,$C79:$C83,$H79:$H83)*G95+SUMPRODUCT(G24:G26,G69:G71,$C88:$C90,$H88:$H90)*G95)/(SUMPRODUCT(G15:G19,G60:G64)+SUMPRODUCT(G24:G26,G69:G71))</f>
        <v>48.582165653676249</v>
      </c>
      <c r="H117" s="162">
        <f>(SUMPRODUCT(H15:H19,H60:H64,$C79:$C83,$H79:$H83)*H95+SUMPRODUCT(H24:H26,H69:H71,$C88:$C90,$H88:$H90)*H95)/(SUMPRODUCT(H15:H19,H60:H64)+SUMPRODUCT(H24:H26,H69:H71))</f>
        <v>49.065888665688909</v>
      </c>
      <c r="I117" s="162">
        <f>(SUMPRODUCT(I15:I19,I60:I64,$C79:$C83,$H79:$H83)*I95+SUMPRODUCT(I24:I26,I69:I71,$C88:$C90,$H88:$H90)*I95)/(SUMPRODUCT(I15:I19,I60:I64)+SUMPRODUCT(I24:I26,I69:I71))</f>
        <v>48.350513223806487</v>
      </c>
      <c r="J117" s="163"/>
      <c r="K117" s="163"/>
      <c r="L117" s="66"/>
      <c r="M117" s="61"/>
      <c r="S117" s="95"/>
    </row>
    <row r="118" spans="1:33" x14ac:dyDescent="0.6">
      <c r="A118" s="8"/>
      <c r="B118" s="164" t="s">
        <v>110</v>
      </c>
      <c r="C118" s="66"/>
      <c r="D118" s="66"/>
      <c r="E118" s="162">
        <f>(SUMPRODUCT(Q15:Q19,E60:E64,$E79:$E83,$I79:$I83)*E95+SUMPRODUCT(Q24:Q26,E69:E71,$E88:$E90,$I88:$I90)*E95)/(SUMPRODUCT(Q15:Q19,E60:E64)+SUMPRODUCT(Q24:Q26,E69:E71))</f>
        <v>45.167365730691166</v>
      </c>
      <c r="F118" s="162">
        <f>(SUMPRODUCT(R15:R19,F60:F64,$E79:$E83,$I79:$I83)*F95+SUMPRODUCT(R24:R26,F69:F71,$E88:$E90,$I88:$I90)*F95)/(SUMPRODUCT(R15:R19,F60:F64)+SUMPRODUCT(R24:R26,F69:F71))</f>
        <v>44.098842268341031</v>
      </c>
      <c r="G118" s="162">
        <f>(SUMPRODUCT(S15:S19,G60:G64,$E79:$E83,$I79:$I83)*G95+SUMPRODUCT(S24:S26,G69:G71,$E88:$E90,$I88:$I90)*G95)/(SUMPRODUCT(S15:S19,G60:G64)+SUMPRODUCT(S24:S26,G69:G71))</f>
        <v>43.659762334291706</v>
      </c>
      <c r="H118" s="162">
        <f>(SUMPRODUCT(T15:T19,H60:H64,$E79:$E83,$I79:$I83)*H95+SUMPRODUCT(T24:T26,H69:H71,$E88:$E90,$I88:$I90)*H95)/(SUMPRODUCT(T15:T19,H60:H64)+SUMPRODUCT(T24:T26,H69:H71))</f>
        <v>43.918803261352274</v>
      </c>
      <c r="I118" s="162">
        <f>(SUMPRODUCT(U15:U19,I60:I64,$E79:$E83,$I79:$I83)*I95+SUMPRODUCT(U24:U26,I69:I71,$E88:$E90,$I88:$I90)*I95)/(SUMPRODUCT(U15:U19,I60:I64)+SUMPRODUCT(U24:U26,I69:I71))</f>
        <v>43.006622448961551</v>
      </c>
      <c r="J118" s="163"/>
      <c r="K118" s="163"/>
      <c r="L118" s="66"/>
      <c r="M118" s="11"/>
      <c r="N118" s="96"/>
      <c r="P118" s="127"/>
      <c r="W118" s="61"/>
      <c r="AC118" s="95"/>
    </row>
    <row r="119" spans="1:33" x14ac:dyDescent="0.6">
      <c r="A119" s="8"/>
      <c r="C119" s="49"/>
      <c r="D119" s="49"/>
      <c r="E119" s="165"/>
      <c r="F119" s="165"/>
      <c r="G119" s="165"/>
      <c r="H119" s="165"/>
      <c r="I119" s="165"/>
      <c r="J119" s="163"/>
      <c r="K119" s="163"/>
      <c r="L119" s="49"/>
      <c r="R119" s="126"/>
      <c r="S119" s="21"/>
      <c r="W119" s="11"/>
      <c r="X119" s="96"/>
      <c r="Z119" s="127"/>
    </row>
    <row r="120" spans="1:33" x14ac:dyDescent="0.6">
      <c r="A120" s="8"/>
      <c r="B120" t="s">
        <v>112</v>
      </c>
      <c r="C120" s="66"/>
      <c r="D120" s="49"/>
      <c r="E120" s="165">
        <f>(E112*SUM(E65:E68)+E116*SUM(E60:E64,E69:E71))/E72</f>
        <v>45.610945574563196</v>
      </c>
      <c r="F120" s="165">
        <f>(F112*SUM(F65:F68)+F116*SUM(F60:F64,F69:F71))/F72</f>
        <v>44.570295483712421</v>
      </c>
      <c r="G120" s="165">
        <f>(G112*SUM(G65:G68)+G116*SUM(G60:G64,G69:G71))/G72</f>
        <v>44.861123818692136</v>
      </c>
      <c r="H120" s="165">
        <f>(H112*SUM(H65:H68)+H116*SUM(H60:H64,H69:H71))/H72</f>
        <v>45.049301288231028</v>
      </c>
      <c r="I120" s="165">
        <f>(I112*SUM(I65:I68)+I116*SUM(I60:I64,I69:I71))/I72</f>
        <v>42.356801264873184</v>
      </c>
      <c r="J120" s="163"/>
      <c r="K120" s="163"/>
      <c r="L120" s="49"/>
      <c r="M120" s="61"/>
      <c r="AB120" s="126"/>
      <c r="AC120" s="21"/>
    </row>
    <row r="121" spans="1:33" x14ac:dyDescent="0.6">
      <c r="A121" s="8"/>
      <c r="C121" s="66"/>
      <c r="D121" s="49"/>
      <c r="E121" s="49"/>
      <c r="F121" s="49"/>
      <c r="G121" s="49"/>
      <c r="H121" s="49"/>
      <c r="I121" s="49"/>
      <c r="J121" s="49"/>
      <c r="K121" s="49"/>
      <c r="L121" s="49"/>
      <c r="M121" s="61"/>
      <c r="S121" s="95"/>
    </row>
    <row r="122" spans="1:33" x14ac:dyDescent="0.6">
      <c r="A122" s="8"/>
      <c r="B122" t="s">
        <v>113</v>
      </c>
      <c r="C122" s="66">
        <f>SUMPRODUCT(C120:I120,C72:I72)/SUM(C72:I72)</f>
        <v>44.675475553383869</v>
      </c>
      <c r="D122" s="49"/>
      <c r="E122" s="49"/>
      <c r="F122" s="49"/>
      <c r="G122" s="49"/>
      <c r="H122" s="49"/>
      <c r="I122" s="49"/>
      <c r="J122" s="49"/>
      <c r="K122" s="49"/>
      <c r="L122" s="49"/>
      <c r="M122" s="11"/>
      <c r="N122" s="96"/>
      <c r="P122" s="127"/>
      <c r="W122" s="61"/>
      <c r="AC122" s="95"/>
      <c r="AF122" s="37">
        <v>1.1242E-2</v>
      </c>
      <c r="AG122" t="s">
        <v>279</v>
      </c>
    </row>
    <row r="123" spans="1:33" ht="13.75" thickBot="1" x14ac:dyDescent="0.75">
      <c r="A123" s="8"/>
      <c r="C123" s="66"/>
      <c r="D123" s="49"/>
      <c r="E123" s="49"/>
      <c r="F123" s="49"/>
      <c r="G123" s="49"/>
      <c r="H123" s="49"/>
      <c r="I123" s="49"/>
      <c r="J123" s="49"/>
      <c r="K123" s="49"/>
      <c r="L123" s="49"/>
      <c r="R123" s="126"/>
      <c r="S123" s="21"/>
      <c r="W123" s="11"/>
      <c r="X123" s="96"/>
      <c r="Z123" s="127"/>
    </row>
    <row r="124" spans="1:33" ht="13.75" thickBot="1" x14ac:dyDescent="0.75">
      <c r="A124" s="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61"/>
      <c r="AB124" s="126"/>
      <c r="AC124" s="21"/>
      <c r="AF124" s="42">
        <f>1-(1-AF122)/(1-$AF$109)</f>
        <v>6.7126094993168461E-3</v>
      </c>
      <c r="AG124" t="s">
        <v>278</v>
      </c>
    </row>
    <row r="125" spans="1:33" x14ac:dyDescent="0.6">
      <c r="A125" s="6" t="s">
        <v>114</v>
      </c>
      <c r="B125" s="4" t="s">
        <v>115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61"/>
      <c r="S125" s="95"/>
    </row>
    <row r="126" spans="1:33" x14ac:dyDescent="0.6">
      <c r="A126" s="8"/>
      <c r="B126" s="5" t="s">
        <v>116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11"/>
      <c r="N126" s="96"/>
      <c r="P126" s="127"/>
      <c r="W126" s="61"/>
      <c r="AC126" s="95"/>
      <c r="AF126" s="248">
        <v>1.1688694814362801E-2</v>
      </c>
      <c r="AG126" t="s">
        <v>279</v>
      </c>
    </row>
    <row r="127" spans="1:33" ht="13.75" thickBot="1" x14ac:dyDescent="0.75">
      <c r="A127" s="8"/>
      <c r="B127" s="5" t="s">
        <v>117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R127" s="126"/>
      <c r="S127" s="21"/>
      <c r="W127" s="11"/>
      <c r="X127" s="96"/>
      <c r="Z127" s="127"/>
    </row>
    <row r="128" spans="1:33" ht="13.75" thickBot="1" x14ac:dyDescent="0.75">
      <c r="A128" s="8"/>
      <c r="B128" s="4"/>
      <c r="C128" s="11"/>
      <c r="D128" s="11"/>
      <c r="E128" s="11" t="str">
        <f>+E$13</f>
        <v>RT{1}</v>
      </c>
      <c r="F128" s="11" t="str">
        <f>+F$13</f>
        <v>RS{2}</v>
      </c>
      <c r="G128" s="11" t="str">
        <f>+G$13</f>
        <v>GS{3}</v>
      </c>
      <c r="H128" s="11" t="str">
        <f>+H$58</f>
        <v>GST {4}</v>
      </c>
      <c r="I128" s="11" t="str">
        <f>+I$13</f>
        <v>OL/SL</v>
      </c>
      <c r="J128" s="11" t="s">
        <v>44</v>
      </c>
      <c r="K128" s="11"/>
      <c r="L128" s="11"/>
      <c r="M128" s="11"/>
      <c r="AB128" s="126"/>
      <c r="AC128" s="21"/>
      <c r="AF128" s="42">
        <f>1-(1-AF126)/(1-$AF$109)</f>
        <v>7.1613505729756222E-3</v>
      </c>
    </row>
    <row r="129" spans="1:29" x14ac:dyDescent="0.6">
      <c r="A129" s="8"/>
      <c r="C129" s="148"/>
      <c r="M129" s="61"/>
      <c r="S129" s="95"/>
    </row>
    <row r="130" spans="1:29" x14ac:dyDescent="0.6">
      <c r="A130" s="8"/>
      <c r="B130" s="99" t="s">
        <v>108</v>
      </c>
      <c r="C130" s="163"/>
      <c r="D130" s="163"/>
      <c r="E130" s="163">
        <f>SUM(E65:E68)*E112/1000</f>
        <v>2663.8894025150148</v>
      </c>
      <c r="F130" s="163">
        <f>SUM(F65:F68)*F112/1000</f>
        <v>163566.49077035839</v>
      </c>
      <c r="G130" s="163">
        <f>SUM(G65:G68)*G112/1000</f>
        <v>85237.353130896066</v>
      </c>
      <c r="H130" s="163">
        <f>SUM(H65:H68)*H112/1000</f>
        <v>2122.5983776276353</v>
      </c>
      <c r="I130" s="163">
        <f>SUM(I65:I68)*I112/1000</f>
        <v>1468.7661136319171</v>
      </c>
      <c r="J130" s="163">
        <f>SUM(E130:I130)</f>
        <v>255059.09779502905</v>
      </c>
      <c r="K130" s="163"/>
      <c r="L130" s="163"/>
      <c r="M130" s="11"/>
      <c r="N130" s="96"/>
      <c r="P130" s="127"/>
      <c r="W130" s="61"/>
      <c r="AC130" s="95"/>
    </row>
    <row r="131" spans="1:29" x14ac:dyDescent="0.6">
      <c r="A131" s="8"/>
      <c r="B131" s="164" t="s">
        <v>109</v>
      </c>
      <c r="C131" s="163"/>
      <c r="D131" s="163"/>
      <c r="E131" s="163">
        <f>SUMPRODUCT(E65:E68,E20:E23)*E113/1000</f>
        <v>1634.950746585137</v>
      </c>
      <c r="F131" s="163">
        <f>SUMPRODUCT(F65:F68,F20:F23)*F113/1000</f>
        <v>100762.87649334772</v>
      </c>
      <c r="G131" s="163">
        <f>SUMPRODUCT(G65:G68,G20:G23)*G113/1000</f>
        <v>57140.526416470238</v>
      </c>
      <c r="H131" s="163">
        <f>SUMPRODUCT(H65:H68,H20:H23)*H113/1000</f>
        <v>1374.2926905935874</v>
      </c>
      <c r="I131" s="163">
        <f>SUMPRODUCT(I65:I68,I20:I23)*I113/1000</f>
        <v>568.83401848687345</v>
      </c>
      <c r="J131" s="163">
        <f>SUM(E131:I131)</f>
        <v>161481.48036548353</v>
      </c>
      <c r="K131" s="163"/>
      <c r="L131" s="163"/>
      <c r="R131" s="126"/>
      <c r="S131" s="21"/>
      <c r="W131" s="11"/>
      <c r="X131" s="96"/>
      <c r="Z131" s="127"/>
    </row>
    <row r="132" spans="1:29" x14ac:dyDescent="0.6">
      <c r="A132" s="8"/>
      <c r="B132" s="164" t="s">
        <v>110</v>
      </c>
      <c r="C132" s="163"/>
      <c r="D132" s="163"/>
      <c r="E132" s="163">
        <f>SUMPRODUCT(E65:E68,Q20:Q23)*E114/1000</f>
        <v>1028.938655929878</v>
      </c>
      <c r="F132" s="163">
        <f>SUMPRODUCT(F65:F68,R20:R23)*F114/1000</f>
        <v>62803.61427701066</v>
      </c>
      <c r="G132" s="163">
        <f>SUMPRODUCT(G65:G68,S20:S23)*G114/1000</f>
        <v>28096.826714425832</v>
      </c>
      <c r="H132" s="163">
        <f>SUMPRODUCT(H65:H68,T20:T23)*H114/1000</f>
        <v>748.30568703404776</v>
      </c>
      <c r="I132" s="163">
        <f>SUMPRODUCT(I65:I68,U20:U23)*I114/1000</f>
        <v>899.93209514504372</v>
      </c>
      <c r="J132" s="163">
        <f>SUM(E132:I132)</f>
        <v>93577.617429545469</v>
      </c>
      <c r="K132" s="163"/>
      <c r="L132" s="163"/>
      <c r="M132" s="167"/>
      <c r="AB132" s="126"/>
      <c r="AC132" s="21"/>
    </row>
    <row r="133" spans="1:29" x14ac:dyDescent="0.6">
      <c r="A133" s="8"/>
      <c r="C133" s="23"/>
      <c r="D133" s="23"/>
      <c r="E133" s="23"/>
      <c r="F133" s="23"/>
      <c r="G133" s="23"/>
      <c r="H133" s="23"/>
      <c r="I133" s="23"/>
      <c r="J133" s="163"/>
      <c r="K133" s="163"/>
      <c r="L133" s="23"/>
      <c r="M133" s="61"/>
      <c r="S133" s="95"/>
    </row>
    <row r="134" spans="1:29" x14ac:dyDescent="0.6">
      <c r="A134" s="8"/>
      <c r="B134" s="99" t="s">
        <v>111</v>
      </c>
      <c r="C134" s="23"/>
      <c r="D134" s="23"/>
      <c r="E134" s="23">
        <f>SUM(E60:E64,E69:E71)*E116/1000</f>
        <v>6243.6089915781558</v>
      </c>
      <c r="F134" s="23">
        <f>SUM(F60:F64,F69:F71)*F116/1000</f>
        <v>258223.47542295797</v>
      </c>
      <c r="G134" s="23">
        <f>SUM(G60:G64,G69:G71)*G116/1000</f>
        <v>162885.84409813702</v>
      </c>
      <c r="H134" s="23">
        <f>SUM(H60:H64,H69:H71)*H116/1000</f>
        <v>4779.1347769345111</v>
      </c>
      <c r="I134" s="23">
        <f>SUM(I60:I64,I69:I71)*I116/1000</f>
        <v>3489.0551176202248</v>
      </c>
      <c r="J134" s="163">
        <f>SUM(E134:I134)</f>
        <v>435621.11840722786</v>
      </c>
      <c r="K134" s="163"/>
      <c r="L134" s="23"/>
      <c r="M134" s="11"/>
      <c r="N134" s="96"/>
      <c r="P134" s="127"/>
      <c r="W134" s="61"/>
      <c r="AC134" s="95"/>
    </row>
    <row r="135" spans="1:29" x14ac:dyDescent="0.6">
      <c r="A135" s="8"/>
      <c r="B135" s="164" t="s">
        <v>109</v>
      </c>
      <c r="C135" s="163"/>
      <c r="D135" s="163"/>
      <c r="E135" s="163">
        <f>(SUMPRODUCT(E60:E64,E15:E19)+SUMPRODUCT(E69:E71,E24:E26))*E117/1000</f>
        <v>3135.0522588298263</v>
      </c>
      <c r="F135" s="163">
        <f>(SUMPRODUCT(F60:F64,F15:F19)+SUMPRODUCT(F69:F71,F24:F26))*F117/1000</f>
        <v>136002.00091826092</v>
      </c>
      <c r="G135" s="163">
        <f>(SUMPRODUCT(G60:G64,G15:G19)+SUMPRODUCT(G69:G71,G24:G26))*G117/1000</f>
        <v>97514.149693123327</v>
      </c>
      <c r="H135" s="163">
        <f>(SUMPRODUCT(H60:H64,H15:H19)+SUMPRODUCT(H69:H71,H24:H26))*H117/1000</f>
        <v>2708.9890505001063</v>
      </c>
      <c r="I135" s="163">
        <f>(SUMPRODUCT(I60:I64,I15:I19)+SUMPRODUCT(I69:I71,I24:I26))*I117/1000</f>
        <v>1204.8278047362376</v>
      </c>
      <c r="J135" s="163">
        <f>SUM(E135:I135)</f>
        <v>240565.0197254504</v>
      </c>
      <c r="K135" s="163"/>
      <c r="L135" s="163"/>
      <c r="R135" s="126"/>
      <c r="S135" s="21"/>
      <c r="W135" s="11"/>
      <c r="X135" s="96"/>
      <c r="Z135" s="127"/>
    </row>
    <row r="136" spans="1:29" x14ac:dyDescent="0.6">
      <c r="A136" s="8"/>
      <c r="B136" s="164" t="s">
        <v>110</v>
      </c>
      <c r="C136" s="163"/>
      <c r="D136" s="163"/>
      <c r="E136" s="163">
        <f>+(SUMPRODUCT(E60:E64,Q15:Q19)+SUMPRODUCT(E69:E71,Q24:Q26))*E118/1000</f>
        <v>3108.5567327483295</v>
      </c>
      <c r="F136" s="163">
        <f>+(SUMPRODUCT(F60:F64,R15:R19)+SUMPRODUCT(F69:F71,R24:R26))*F118/1000</f>
        <v>122221.47450469701</v>
      </c>
      <c r="G136" s="163">
        <f>+(SUMPRODUCT(G60:G64,S15:S19)+SUMPRODUCT(G69:G71,S24:S26))*G118/1000</f>
        <v>65371.69440501371</v>
      </c>
      <c r="H136" s="163">
        <f>+(SUMPRODUCT(H60:H64,T15:T19)+SUMPRODUCT(H69:H71,T24:T26))*H118/1000</f>
        <v>2070.1457264344049</v>
      </c>
      <c r="I136" s="163">
        <f>+(SUMPRODUCT(I60:I64,U15:U19)+SUMPRODUCT(I69:I71,U24:U26))*I118/1000</f>
        <v>2284.2273128839865</v>
      </c>
      <c r="J136" s="163">
        <f>SUM(E136:I136)</f>
        <v>195056.09868177742</v>
      </c>
      <c r="K136" s="163"/>
      <c r="L136" s="163"/>
      <c r="M136" s="167"/>
      <c r="AB136" s="126"/>
      <c r="AC136" s="21"/>
    </row>
    <row r="137" spans="1:29" x14ac:dyDescent="0.6">
      <c r="A137" s="8"/>
      <c r="C137" s="49"/>
      <c r="D137" s="49"/>
      <c r="E137" s="49"/>
      <c r="F137" s="49"/>
      <c r="G137" s="49"/>
      <c r="H137" s="49"/>
      <c r="I137" s="49"/>
      <c r="J137" s="163"/>
      <c r="K137" s="163"/>
      <c r="L137" s="49"/>
      <c r="M137" s="61"/>
      <c r="S137" s="95"/>
    </row>
    <row r="138" spans="1:29" x14ac:dyDescent="0.6">
      <c r="A138" s="8"/>
      <c r="B138" t="s">
        <v>112</v>
      </c>
      <c r="C138" s="23"/>
      <c r="D138" s="23"/>
      <c r="E138" s="23">
        <f>+E130+E134</f>
        <v>8907.4983940931706</v>
      </c>
      <c r="F138" s="23">
        <f>+F130+F134</f>
        <v>421789.96619331639</v>
      </c>
      <c r="G138" s="23">
        <f>+G130+G134</f>
        <v>248123.1972290331</v>
      </c>
      <c r="H138" s="23">
        <f>+H130+H134</f>
        <v>6901.7331545621464</v>
      </c>
      <c r="I138" s="23">
        <f>+I130+I134</f>
        <v>4957.8212312521418</v>
      </c>
      <c r="J138" s="163">
        <f>SUM(E138:I138)</f>
        <v>690680.21620225697</v>
      </c>
      <c r="K138" s="163"/>
      <c r="L138" s="23"/>
      <c r="M138" s="11"/>
      <c r="N138" s="96"/>
      <c r="P138" s="127"/>
    </row>
    <row r="139" spans="1:29" x14ac:dyDescent="0.6">
      <c r="A139" s="8"/>
      <c r="R139" s="126"/>
      <c r="S139" s="21"/>
    </row>
    <row r="140" spans="1:29" x14ac:dyDescent="0.6">
      <c r="A140" s="8"/>
      <c r="B140" t="s">
        <v>113</v>
      </c>
      <c r="C140" s="163">
        <f>SUM(C138:I138)</f>
        <v>690680.21620225697</v>
      </c>
      <c r="E140" s="168"/>
      <c r="F140" s="66"/>
    </row>
    <row r="141" spans="1:29" x14ac:dyDescent="0.6">
      <c r="A141" s="8"/>
      <c r="M141" s="61"/>
      <c r="S141" s="95"/>
    </row>
    <row r="142" spans="1:29" x14ac:dyDescent="0.6">
      <c r="A142" s="8"/>
      <c r="M142" s="11"/>
      <c r="N142" s="96"/>
      <c r="P142" s="127"/>
    </row>
    <row r="143" spans="1:29" ht="15.5" x14ac:dyDescent="0.7">
      <c r="A143" s="8"/>
      <c r="B143" s="340" t="str">
        <f>$B$1</f>
        <v xml:space="preserve">Jersey Central Power &amp; Light </v>
      </c>
      <c r="C143" s="340"/>
      <c r="D143" s="340"/>
      <c r="E143" s="340"/>
      <c r="F143" s="340"/>
      <c r="G143" s="340"/>
      <c r="H143" s="340"/>
      <c r="I143" s="340"/>
      <c r="J143" s="340"/>
      <c r="K143" s="340"/>
      <c r="L143" s="340"/>
      <c r="R143" s="126"/>
      <c r="S143" s="21"/>
    </row>
    <row r="144" spans="1:29" ht="15.5" x14ac:dyDescent="0.7">
      <c r="A144" s="8"/>
      <c r="B144" s="340" t="str">
        <f>$B$2</f>
        <v>Attachment 2</v>
      </c>
      <c r="C144" s="340"/>
      <c r="D144" s="340"/>
      <c r="E144" s="340"/>
      <c r="F144" s="340"/>
      <c r="G144" s="340"/>
      <c r="H144" s="340"/>
      <c r="I144" s="340"/>
      <c r="J144" s="340"/>
      <c r="K144" s="340"/>
      <c r="L144" s="340"/>
    </row>
    <row r="145" spans="1:51" x14ac:dyDescent="0.6">
      <c r="A145" s="6" t="s">
        <v>118</v>
      </c>
      <c r="B145" s="4" t="s">
        <v>119</v>
      </c>
      <c r="C145" s="49"/>
      <c r="Q145" t="s">
        <v>121</v>
      </c>
      <c r="T145" t="s">
        <v>122</v>
      </c>
      <c r="W145" t="s">
        <v>123</v>
      </c>
      <c r="Z145" t="s">
        <v>124</v>
      </c>
    </row>
    <row r="146" spans="1:51" x14ac:dyDescent="0.6">
      <c r="A146" s="8"/>
      <c r="B146" s="5" t="s">
        <v>120</v>
      </c>
      <c r="C146" s="49"/>
      <c r="W146" t="s">
        <v>125</v>
      </c>
      <c r="Z146" t="s">
        <v>126</v>
      </c>
      <c r="AC146" t="s">
        <v>127</v>
      </c>
    </row>
    <row r="147" spans="1:51" x14ac:dyDescent="0.6">
      <c r="A147" s="8"/>
      <c r="B147" s="5" t="s">
        <v>81</v>
      </c>
      <c r="C147" s="49"/>
    </row>
    <row r="148" spans="1:51" x14ac:dyDescent="0.6">
      <c r="A148" s="8"/>
      <c r="B148" s="4"/>
      <c r="C148" s="11"/>
      <c r="D148" s="11"/>
      <c r="E148" s="11" t="str">
        <f>+E$13</f>
        <v>RT{1}</v>
      </c>
      <c r="F148" s="11" t="str">
        <f>+F$13</f>
        <v>RS{2}</v>
      </c>
      <c r="G148" s="11" t="str">
        <f>+G$13</f>
        <v>GS{3}</v>
      </c>
      <c r="H148" s="11" t="str">
        <f>+H$58</f>
        <v>GST {4}</v>
      </c>
      <c r="I148" s="11" t="str">
        <f>+I$13</f>
        <v>OL/SL</v>
      </c>
      <c r="J148" s="11"/>
      <c r="K148" s="11"/>
      <c r="L148" s="11"/>
      <c r="M148" s="11"/>
      <c r="Q148" s="11" t="str">
        <f>+$H148</f>
        <v>GST {4}</v>
      </c>
      <c r="R148" s="11"/>
      <c r="S148" s="11"/>
      <c r="T148" s="11" t="str">
        <f>+$H148</f>
        <v>GST {4}</v>
      </c>
      <c r="U148" s="11"/>
      <c r="V148" s="11"/>
      <c r="W148" s="11" t="str">
        <f>+$H148</f>
        <v>GST {4}</v>
      </c>
      <c r="X148" s="11"/>
      <c r="Z148" s="11" t="str">
        <f>+$H148</f>
        <v>GST {4}</v>
      </c>
      <c r="AA148" s="11"/>
      <c r="AC148" s="11" t="str">
        <f>+$H148</f>
        <v>GST {4}</v>
      </c>
      <c r="AD148" s="11"/>
      <c r="AU148" s="11"/>
      <c r="AV148" s="11"/>
      <c r="AW148" s="11"/>
      <c r="AX148" s="11"/>
      <c r="AY148" s="11"/>
    </row>
    <row r="149" spans="1:51" x14ac:dyDescent="0.6">
      <c r="A149" s="8"/>
      <c r="B149" s="99" t="s">
        <v>108</v>
      </c>
      <c r="C149" s="66"/>
      <c r="D149" s="66"/>
      <c r="E149" s="162">
        <f>+E130/SUM(E65:E68)*1000</f>
        <v>41.334575736884801</v>
      </c>
      <c r="F149" s="162">
        <f>+F130/SUM(F65:F68)*1000</f>
        <v>41.553307167599662</v>
      </c>
      <c r="G149" s="162">
        <f>+G130/SUM(G65:G68)*1000</f>
        <v>42.063044775486247</v>
      </c>
      <c r="H149" s="162">
        <f>+H130/SUM(H65:H68)*1000</f>
        <v>41.736602190998987</v>
      </c>
      <c r="I149" s="162">
        <f>+I130/SUM(I65:I68)*1000</f>
        <v>37.644260543658334</v>
      </c>
      <c r="J149" s="66"/>
      <c r="K149" s="66"/>
      <c r="L149" s="66"/>
      <c r="M149" s="66"/>
      <c r="P149" s="19" t="s">
        <v>91</v>
      </c>
      <c r="AU149" s="122"/>
      <c r="AV149" s="122"/>
      <c r="AW149" s="122"/>
      <c r="AX149" s="122"/>
      <c r="AY149" s="122"/>
    </row>
    <row r="150" spans="1:51" x14ac:dyDescent="0.6">
      <c r="A150" s="8"/>
      <c r="B150" s="164" t="s">
        <v>128</v>
      </c>
      <c r="C150" s="163"/>
      <c r="D150" s="163"/>
      <c r="E150" s="162">
        <f>+(E131*1000-X161*AVERAGE(E$113,E$114))/R161</f>
        <v>50.532968597594163</v>
      </c>
      <c r="F150" s="162"/>
      <c r="G150" s="162"/>
      <c r="H150" s="162">
        <f>+(H131*1000-W150*AVERAGE(H$113,H$114))/Q150</f>
        <v>50.111833391636672</v>
      </c>
      <c r="I150" s="162"/>
      <c r="J150" s="163"/>
      <c r="K150" s="163"/>
      <c r="L150" s="163"/>
      <c r="M150" s="66"/>
      <c r="P150" t="s">
        <v>85</v>
      </c>
      <c r="Q150" s="122">
        <f>T65</f>
        <v>22890.5242</v>
      </c>
      <c r="R150" s="122"/>
      <c r="T150" s="122">
        <f>T76</f>
        <v>28452.420699999995</v>
      </c>
      <c r="U150" s="122"/>
      <c r="W150" s="122">
        <f>+T150-Q150</f>
        <v>5561.8964999999953</v>
      </c>
      <c r="X150" s="122"/>
      <c r="Z150" s="23">
        <f>+H150*Q150/1000</f>
        <v>1147.0861349576273</v>
      </c>
      <c r="AA150" s="23"/>
      <c r="AX150" s="122"/>
    </row>
    <row r="151" spans="1:51" ht="15.25" x14ac:dyDescent="1.05">
      <c r="A151" s="8"/>
      <c r="B151" s="164" t="s">
        <v>129</v>
      </c>
      <c r="C151" s="163"/>
      <c r="D151" s="163"/>
      <c r="E151" s="162">
        <f>+(E132*1000-X162*AVERAGE(E$113,E$114))/R162</f>
        <v>34.73812663527405</v>
      </c>
      <c r="F151" s="162"/>
      <c r="G151" s="162"/>
      <c r="H151" s="162">
        <f>+(H132*1000-W151*AVERAGE(H$113,H$114))/Q151</f>
        <v>34.881486306902062</v>
      </c>
      <c r="I151" s="162"/>
      <c r="J151" s="163"/>
      <c r="K151" s="163"/>
      <c r="L151" s="163"/>
      <c r="M151" s="66"/>
      <c r="P151" t="s">
        <v>86</v>
      </c>
      <c r="Q151" s="122">
        <f>T66</f>
        <v>27966.4758</v>
      </c>
      <c r="R151" s="122"/>
      <c r="T151" s="122">
        <f>T77</f>
        <v>22404.579300000005</v>
      </c>
      <c r="U151" s="122"/>
      <c r="W151" s="122">
        <f>+T151-Q151</f>
        <v>-5561.8964999999953</v>
      </c>
      <c r="X151" s="122"/>
      <c r="Z151" s="22">
        <f>+H151*Q151/1000</f>
        <v>975.51224267000782</v>
      </c>
      <c r="AA151" s="22"/>
      <c r="AX151" s="122"/>
    </row>
    <row r="152" spans="1:51" x14ac:dyDescent="0.6">
      <c r="A152" s="8"/>
      <c r="C152" s="23"/>
      <c r="D152" s="23"/>
      <c r="E152" s="165"/>
      <c r="F152" s="165"/>
      <c r="G152" s="165"/>
      <c r="H152" s="165"/>
      <c r="I152" s="165"/>
      <c r="J152" s="23"/>
      <c r="K152" s="23"/>
      <c r="L152" s="23"/>
      <c r="M152" s="23"/>
      <c r="Q152" s="122"/>
      <c r="R152" s="122"/>
      <c r="T152" s="122"/>
      <c r="U152" s="122"/>
      <c r="W152" s="122"/>
      <c r="X152" s="122"/>
      <c r="Z152" s="23">
        <f>+Z151+Z150</f>
        <v>2122.5983776276353</v>
      </c>
      <c r="AA152" s="23"/>
      <c r="AC152" s="148">
        <f>+H130</f>
        <v>2122.5983776276353</v>
      </c>
      <c r="AD152" s="148"/>
    </row>
    <row r="153" spans="1:51" x14ac:dyDescent="0.6">
      <c r="A153" s="8"/>
      <c r="B153" s="99" t="s">
        <v>111</v>
      </c>
      <c r="C153" s="49"/>
      <c r="D153" s="49"/>
      <c r="E153" s="165">
        <f>+E134/SUM(E60:E64,E69:E71)*1000</f>
        <v>47.717232407396146</v>
      </c>
      <c r="F153" s="165">
        <f>+F134/SUM(F60:F64,F69:F71)*1000</f>
        <v>46.718914378448503</v>
      </c>
      <c r="G153" s="165">
        <f>+G134/SUM(G60:G64,G69:G71)*1000</f>
        <v>46.479067078671449</v>
      </c>
      <c r="H153" s="165">
        <f>+H134/SUM(H60:H64,H69:H71)*1000</f>
        <v>46.695406576983309</v>
      </c>
      <c r="I153" s="165">
        <f>+I134/SUM(I60:I64,I69:I71)*1000</f>
        <v>44.713132017892974</v>
      </c>
      <c r="J153" s="49"/>
      <c r="K153" s="49"/>
      <c r="L153" s="49"/>
      <c r="M153" s="49"/>
      <c r="P153" s="19" t="s">
        <v>88</v>
      </c>
      <c r="Q153" s="122"/>
      <c r="R153" s="122"/>
      <c r="T153" s="122"/>
      <c r="U153" s="122"/>
      <c r="W153" s="122"/>
      <c r="X153" s="122"/>
      <c r="Z153" s="23"/>
      <c r="AA153" s="23"/>
      <c r="AC153" s="148"/>
      <c r="AU153" s="122"/>
      <c r="AV153" s="122"/>
      <c r="AW153" s="122"/>
      <c r="AX153" s="122"/>
      <c r="AY153" s="122"/>
    </row>
    <row r="154" spans="1:51" x14ac:dyDescent="0.6">
      <c r="A154" s="8"/>
      <c r="B154" s="164" t="s">
        <v>128</v>
      </c>
      <c r="C154" s="163"/>
      <c r="D154" s="163"/>
      <c r="E154" s="162">
        <f>+(E135*1000-X166*AVERAGE(E$113,E$114))/R166</f>
        <v>53.552027315040483</v>
      </c>
      <c r="F154" s="162"/>
      <c r="G154" s="162"/>
      <c r="H154" s="162">
        <f>+(H135*1000-W154*AVERAGE(H$117,H$118))/Q154</f>
        <v>49.743648578142995</v>
      </c>
      <c r="I154" s="162"/>
      <c r="J154" s="163"/>
      <c r="K154" s="163"/>
      <c r="L154" s="163"/>
      <c r="M154" s="66"/>
      <c r="P154" t="s">
        <v>85</v>
      </c>
      <c r="Q154" s="122">
        <f>T61</f>
        <v>43702.025500000003</v>
      </c>
      <c r="R154" s="122"/>
      <c r="T154" s="122">
        <f>T72</f>
        <v>55211.250100000005</v>
      </c>
      <c r="U154" s="122"/>
      <c r="W154" s="122">
        <f>+T154-Q154</f>
        <v>11509.224600000001</v>
      </c>
      <c r="X154" s="122"/>
      <c r="Z154" s="23">
        <f>+H154*Q154/1000</f>
        <v>2173.8981986250442</v>
      </c>
      <c r="AA154" s="23"/>
      <c r="AC154" s="148"/>
      <c r="AX154" s="122"/>
    </row>
    <row r="155" spans="1:51" ht="15.25" x14ac:dyDescent="1.05">
      <c r="A155" s="8"/>
      <c r="B155" s="164" t="s">
        <v>129</v>
      </c>
      <c r="C155" s="163"/>
      <c r="D155" s="163"/>
      <c r="E155" s="162">
        <f>+(E136*1000-X167*AVERAGE(E$113,E$114))/R167</f>
        <v>44.430663674297527</v>
      </c>
      <c r="F155" s="162"/>
      <c r="G155" s="162"/>
      <c r="H155" s="162">
        <f>+(H136*1000-W155*AVERAGE(H$117,H$118))/Q155</f>
        <v>44.423867526951817</v>
      </c>
      <c r="I155" s="162"/>
      <c r="J155" s="163"/>
      <c r="K155" s="163"/>
      <c r="L155" s="163"/>
      <c r="M155" s="66"/>
      <c r="P155" t="s">
        <v>86</v>
      </c>
      <c r="Q155" s="122">
        <f>T62</f>
        <v>58644.974499999997</v>
      </c>
      <c r="R155" s="122"/>
      <c r="T155" s="122">
        <f>T73</f>
        <v>47135.749899999995</v>
      </c>
      <c r="U155" s="122"/>
      <c r="W155" s="122">
        <f>+T155-Q155</f>
        <v>-11509.224600000001</v>
      </c>
      <c r="X155" s="122"/>
      <c r="Z155" s="22">
        <f>+H155*Q155/1000</f>
        <v>2605.2365783094669</v>
      </c>
      <c r="AA155" s="22"/>
      <c r="AC155" s="148"/>
      <c r="AX155" s="122"/>
    </row>
    <row r="156" spans="1:51" x14ac:dyDescent="0.6">
      <c r="A156" s="8"/>
      <c r="C156" s="49"/>
      <c r="D156" s="49"/>
      <c r="E156" s="165"/>
      <c r="F156" s="165"/>
      <c r="G156" s="165"/>
      <c r="H156" s="165"/>
      <c r="I156" s="165"/>
      <c r="J156" s="49"/>
      <c r="K156" s="49"/>
      <c r="L156" s="49"/>
      <c r="M156" s="49"/>
      <c r="Z156" s="23">
        <f>+Z155+Z154</f>
        <v>4779.1347769345111</v>
      </c>
      <c r="AA156" s="23"/>
      <c r="AC156" s="148">
        <f>+H134</f>
        <v>4779.1347769345111</v>
      </c>
      <c r="AD156" s="148"/>
    </row>
    <row r="157" spans="1:51" x14ac:dyDescent="0.6">
      <c r="A157" s="8"/>
      <c r="B157" t="s">
        <v>130</v>
      </c>
      <c r="C157" s="66"/>
      <c r="D157" s="66"/>
      <c r="E157" s="162">
        <f>(E149*SUM(E65:E68)+E153*SUM(E60:E64,E69:E71))/E72</f>
        <v>45.610945574563196</v>
      </c>
      <c r="F157" s="162">
        <f>(F149*SUM(F65:F68)+F153*SUM(F60:F64,F69:F71))/F72</f>
        <v>44.570295483712421</v>
      </c>
      <c r="G157" s="162">
        <f>(G149*SUM(G65:G68)+G153*SUM(G60:G64,G69:G71))/G72</f>
        <v>44.861123818692136</v>
      </c>
      <c r="H157" s="162">
        <f>(H149*SUM(H65:H68)+H153*SUM(H60:H64,H69:H71))/H72</f>
        <v>45.049301288231028</v>
      </c>
      <c r="I157" s="162">
        <f>(I149*SUM(I65:I68)+I153*SUM(I60:I64,I69:I71))/I72</f>
        <v>42.356801264873184</v>
      </c>
      <c r="J157" s="66"/>
      <c r="K157" s="66"/>
      <c r="L157" s="66"/>
      <c r="M157" s="66"/>
      <c r="AU157" s="122"/>
      <c r="AV157" s="122"/>
      <c r="AW157" s="122"/>
      <c r="AX157" s="122"/>
      <c r="AY157" s="122"/>
    </row>
    <row r="158" spans="1:51" x14ac:dyDescent="0.6">
      <c r="A158" s="8"/>
      <c r="B158" t="s">
        <v>131</v>
      </c>
      <c r="C158" s="66">
        <f>+C140/SUM(C72:I72)*1000</f>
        <v>44.675475553383876</v>
      </c>
      <c r="E158" s="174"/>
      <c r="F158" s="174"/>
      <c r="G158" s="174"/>
      <c r="H158" s="174"/>
      <c r="I158" s="174"/>
    </row>
    <row r="159" spans="1:51" x14ac:dyDescent="0.6">
      <c r="A159" s="8"/>
      <c r="Q159" s="11" t="str">
        <f>+$E148</f>
        <v>RT{1}</v>
      </c>
      <c r="R159" s="11"/>
      <c r="S159" s="11"/>
      <c r="T159" s="11" t="str">
        <f>+$E148</f>
        <v>RT{1}</v>
      </c>
      <c r="U159" s="11"/>
      <c r="V159" s="11"/>
      <c r="W159" s="11" t="str">
        <f>+$E148</f>
        <v>RT{1}</v>
      </c>
      <c r="X159" s="11"/>
      <c r="Z159" s="11" t="str">
        <f>+$E148</f>
        <v>RT{1}</v>
      </c>
      <c r="AA159" s="11"/>
      <c r="AC159" s="11" t="str">
        <f>+$E148</f>
        <v>RT{1}</v>
      </c>
    </row>
    <row r="160" spans="1:51" x14ac:dyDescent="0.6">
      <c r="A160" s="6" t="s">
        <v>132</v>
      </c>
      <c r="B160" s="4" t="s">
        <v>133</v>
      </c>
      <c r="P160" s="19" t="s">
        <v>91</v>
      </c>
      <c r="Q160" s="20" t="s">
        <v>137</v>
      </c>
      <c r="R160" s="20" t="s">
        <v>138</v>
      </c>
      <c r="T160" s="20" t="s">
        <v>137</v>
      </c>
      <c r="U160" s="20" t="s">
        <v>138</v>
      </c>
      <c r="W160" s="20" t="s">
        <v>137</v>
      </c>
      <c r="X160" s="20" t="s">
        <v>138</v>
      </c>
      <c r="Z160" s="20" t="s">
        <v>139</v>
      </c>
      <c r="AC160" s="20" t="s">
        <v>139</v>
      </c>
    </row>
    <row r="161" spans="1:51" x14ac:dyDescent="0.6">
      <c r="A161" s="8"/>
      <c r="B161" s="5" t="s">
        <v>399</v>
      </c>
      <c r="J161" s="11" t="s">
        <v>134</v>
      </c>
      <c r="K161" s="11"/>
      <c r="P161" t="s">
        <v>85</v>
      </c>
      <c r="Q161" s="122">
        <f>SUMPRODUCT(E38:E41,M65:M68)</f>
        <v>26016.642399999997</v>
      </c>
      <c r="R161" s="122">
        <f>SUMPRODUCT(E38:E41,E65:E68)</f>
        <v>26912.775699999998</v>
      </c>
      <c r="T161" s="122">
        <f>Q76</f>
        <v>33621.355499999998</v>
      </c>
      <c r="U161" s="122">
        <f>T161-($Q$163*$Q161/($Q$161+$Q$162))</f>
        <v>32722.560757992807</v>
      </c>
      <c r="W161" s="122">
        <f>+T161-Q161</f>
        <v>7604.7131000000008</v>
      </c>
      <c r="X161" s="122">
        <f>-Q161+U161</f>
        <v>6705.9183579928103</v>
      </c>
      <c r="Z161" s="23">
        <f>+E150*Q161/1000</f>
        <v>1314.6981734140365</v>
      </c>
      <c r="AA161" s="23"/>
      <c r="AU161" s="23"/>
      <c r="AV161" s="23"/>
      <c r="AW161" s="23"/>
      <c r="AX161" s="23"/>
      <c r="AY161" s="23"/>
    </row>
    <row r="162" spans="1:51" ht="15.25" x14ac:dyDescent="1.05">
      <c r="A162" s="8"/>
      <c r="B162" s="5" t="s">
        <v>135</v>
      </c>
      <c r="C162" s="11"/>
      <c r="D162" s="11"/>
      <c r="E162" s="11" t="str">
        <f>+E$13</f>
        <v>RT{1}</v>
      </c>
      <c r="F162" s="11" t="str">
        <f>+F$13</f>
        <v>RS{2}</v>
      </c>
      <c r="G162" s="11" t="str">
        <f>+G$13</f>
        <v>GS{3}</v>
      </c>
      <c r="H162" s="11" t="str">
        <f>+H$58</f>
        <v>GST {4}</v>
      </c>
      <c r="I162" s="11" t="str">
        <f>+I$13</f>
        <v>OL/SL</v>
      </c>
      <c r="J162" s="11" t="s">
        <v>136</v>
      </c>
      <c r="K162" s="11"/>
      <c r="L162" s="11"/>
      <c r="M162" s="11"/>
      <c r="P162" t="s">
        <v>86</v>
      </c>
      <c r="Q162" s="122">
        <f>SUMPRODUCT(Q38:Q41,M65:M68)</f>
        <v>36277.357600000003</v>
      </c>
      <c r="R162" s="31">
        <f>SUMPRODUCT(Q38:Q41,E65:E68)</f>
        <v>37534.224300000002</v>
      </c>
      <c r="T162" s="122">
        <f>Q77</f>
        <v>30825.644500000002</v>
      </c>
      <c r="U162" s="122">
        <f>T162-($Q$163*$Q162/($Q$161+$Q$162))</f>
        <v>29572.373698814892</v>
      </c>
      <c r="W162" s="122">
        <f>+T162-Q162</f>
        <v>-5451.7131000000008</v>
      </c>
      <c r="X162" s="122">
        <f>-Q162+U162</f>
        <v>-6704.9839011851109</v>
      </c>
      <c r="Z162" s="23">
        <f>+E151*Q162/1000</f>
        <v>1260.2074423019214</v>
      </c>
      <c r="AA162" s="22"/>
      <c r="AU162" s="23"/>
      <c r="AV162" s="23"/>
      <c r="AW162" s="23"/>
      <c r="AX162" s="23"/>
      <c r="AY162" s="23"/>
    </row>
    <row r="163" spans="1:51" ht="15.25" x14ac:dyDescent="1.05">
      <c r="A163" s="8"/>
      <c r="P163" t="s">
        <v>141</v>
      </c>
      <c r="Q163" s="31">
        <f>SUM(W65:W68)/1000</f>
        <v>2152.0655431923001</v>
      </c>
      <c r="R163" s="122">
        <f>SUM(R161:R162)</f>
        <v>64447</v>
      </c>
      <c r="T163" s="122">
        <v>0</v>
      </c>
      <c r="U163" s="122">
        <v>0</v>
      </c>
      <c r="W163" s="122">
        <f>+T163-Q163</f>
        <v>-2152.0655431923001</v>
      </c>
      <c r="X163" s="122"/>
      <c r="Z163" s="22">
        <f>+E149*Q163/1000</f>
        <v>88.954716185822249</v>
      </c>
      <c r="AU163" s="23"/>
      <c r="AV163" s="23"/>
      <c r="AW163" s="23"/>
      <c r="AX163" s="23"/>
      <c r="AY163" s="23"/>
    </row>
    <row r="164" spans="1:51" x14ac:dyDescent="0.6">
      <c r="A164" s="8"/>
      <c r="B164" t="s">
        <v>140</v>
      </c>
      <c r="C164" s="169"/>
      <c r="D164" s="169"/>
      <c r="E164" s="169">
        <v>48.418413300000005</v>
      </c>
      <c r="F164" s="169">
        <v>3346.708828672</v>
      </c>
      <c r="G164" s="169">
        <v>1302.9674843560001</v>
      </c>
      <c r="H164" s="169">
        <v>24.217017399999996</v>
      </c>
      <c r="I164" s="169">
        <v>5.0061351999999996E-2</v>
      </c>
      <c r="J164" s="169">
        <f>SUM(E164:I164)</f>
        <v>4722.3618050799996</v>
      </c>
      <c r="K164" s="169"/>
      <c r="L164" s="169"/>
      <c r="M164" s="169"/>
      <c r="Q164" s="122">
        <f>SUM(Q161:Q163)</f>
        <v>64446.065543192301</v>
      </c>
      <c r="Z164" s="23">
        <f>SUM(Z161:Z163)</f>
        <v>2663.8603319017802</v>
      </c>
      <c r="AA164" s="23"/>
      <c r="AC164" s="148">
        <f>+E130</f>
        <v>2663.8894025150148</v>
      </c>
      <c r="AU164" s="23"/>
      <c r="AV164" s="23"/>
      <c r="AW164" s="23"/>
      <c r="AX164" s="23"/>
      <c r="AY164" s="23"/>
    </row>
    <row r="165" spans="1:51" x14ac:dyDescent="0.6">
      <c r="A165" s="8"/>
      <c r="E165" s="191"/>
      <c r="F165" s="191"/>
      <c r="G165" s="191"/>
      <c r="H165" s="43"/>
      <c r="I165" s="43"/>
      <c r="J165" s="43"/>
      <c r="P165" s="19" t="s">
        <v>88</v>
      </c>
      <c r="Q165" s="122"/>
      <c r="R165" s="122"/>
      <c r="T165" s="122"/>
      <c r="U165" s="122"/>
      <c r="W165" s="122"/>
      <c r="X165" s="122"/>
      <c r="AU165" s="23"/>
      <c r="AV165" s="23"/>
      <c r="AW165" s="23"/>
      <c r="AX165" s="23"/>
      <c r="AY165" s="23"/>
    </row>
    <row r="166" spans="1:51" x14ac:dyDescent="0.6">
      <c r="A166" s="8"/>
      <c r="B166" t="s">
        <v>142</v>
      </c>
      <c r="C166" s="169" t="s">
        <v>143</v>
      </c>
      <c r="D166" s="169"/>
      <c r="E166" s="141"/>
      <c r="F166" s="141"/>
      <c r="G166" s="141"/>
      <c r="H166" s="141"/>
      <c r="I166" s="169"/>
      <c r="J166" s="169"/>
      <c r="K166" s="169"/>
      <c r="L166" s="169"/>
      <c r="M166" s="169"/>
      <c r="P166" t="s">
        <v>85</v>
      </c>
      <c r="Q166" s="122">
        <f>SUMPRODUCT(E33:E37,M60:M64)+SUMPRODUCT(E42:E44,M69:M71)</f>
        <v>45239.026299999998</v>
      </c>
      <c r="R166" s="122">
        <f>SUMPRODUCT(E33:E37,E60:E64)+SUMPRODUCT(E42:E44,E69:E71)</f>
        <v>47145.863499999999</v>
      </c>
      <c r="T166" s="122">
        <f>Q72</f>
        <v>62022.930899999992</v>
      </c>
      <c r="U166" s="122">
        <f>T166-($Q$168*$Q166/($Q$166+$Q$167))</f>
        <v>60122.898748740183</v>
      </c>
      <c r="W166" s="122">
        <f>+T166-Q166</f>
        <v>16783.904599999994</v>
      </c>
      <c r="X166" s="122">
        <f>-Q166+U166</f>
        <v>14883.872448740185</v>
      </c>
      <c r="Z166" s="23">
        <f>+E154*Q166/1000</f>
        <v>2422.6415721234348</v>
      </c>
      <c r="AA166" s="23"/>
      <c r="AC166" s="148"/>
      <c r="AU166" s="23"/>
      <c r="AV166" s="23"/>
      <c r="AW166" s="23"/>
      <c r="AX166" s="23"/>
      <c r="AY166" s="23"/>
    </row>
    <row r="167" spans="1:51" ht="15.25" x14ac:dyDescent="1.05">
      <c r="A167" s="8"/>
      <c r="B167" t="s">
        <v>144</v>
      </c>
      <c r="I167" s="169"/>
      <c r="J167" s="169"/>
      <c r="K167" s="169"/>
      <c r="L167" s="169"/>
      <c r="M167" s="169"/>
      <c r="P167" t="s">
        <v>86</v>
      </c>
      <c r="Q167" s="122">
        <f>SUMPRODUCT(Q33:Q37,M60:M64)+SUMPRODUCT(Q42:Q44,M69:M71)</f>
        <v>80332.973700000002</v>
      </c>
      <c r="R167" s="31">
        <f>SUMPRODUCT(Q33:Q37,E60:E64)+SUMPRODUCT(Q42:Q44,E69:E71)</f>
        <v>83700.136499999993</v>
      </c>
      <c r="T167" s="122">
        <f>Q73</f>
        <v>68823.069100000008</v>
      </c>
      <c r="U167" s="122">
        <f>T167-($Q$168*$Q167/($Q$166+$Q$167))</f>
        <v>65449.096551958915</v>
      </c>
      <c r="W167" s="122">
        <f>+T167-Q167</f>
        <v>-11509.904599999994</v>
      </c>
      <c r="X167" s="122">
        <f>-Q167+U167</f>
        <v>-14883.877148041087</v>
      </c>
      <c r="Z167" s="23">
        <f>+E155*Q167/1000</f>
        <v>3569.2473364208886</v>
      </c>
      <c r="AA167" s="22"/>
      <c r="AC167" s="148"/>
      <c r="AU167" s="23"/>
      <c r="AV167" s="23"/>
      <c r="AW167" s="23"/>
      <c r="AX167" s="23"/>
      <c r="AY167" s="23"/>
    </row>
    <row r="168" spans="1:51" ht="15.25" x14ac:dyDescent="1.05">
      <c r="A168" s="8"/>
      <c r="D168" s="126" t="s">
        <v>145</v>
      </c>
      <c r="E168">
        <v>122</v>
      </c>
      <c r="G168" s="126" t="s">
        <v>146</v>
      </c>
      <c r="H168">
        <v>4</v>
      </c>
      <c r="I168" s="169"/>
      <c r="J168" s="169"/>
      <c r="K168" s="169"/>
      <c r="L168" s="169"/>
      <c r="M168" s="169"/>
      <c r="P168" t="s">
        <v>141</v>
      </c>
      <c r="Q168" s="31">
        <f>SUM(W60:W64,W69:W71)/1000</f>
        <v>5274.0046993009</v>
      </c>
      <c r="R168" s="122">
        <f>SUM(R166:R167)</f>
        <v>130846</v>
      </c>
      <c r="T168">
        <v>0</v>
      </c>
      <c r="U168" s="122">
        <v>0</v>
      </c>
      <c r="W168" s="122">
        <f>+T168-Q168</f>
        <v>-5274.0046993009</v>
      </c>
      <c r="X168" s="122"/>
      <c r="Z168" s="22">
        <f>+E153*Q168/1000</f>
        <v>251.66090795424049</v>
      </c>
      <c r="AU168" s="23"/>
      <c r="AV168" s="23"/>
      <c r="AW168" s="23"/>
      <c r="AX168" s="23"/>
      <c r="AY168" s="23"/>
    </row>
    <row r="169" spans="1:51" x14ac:dyDescent="0.6">
      <c r="A169" s="8"/>
      <c r="D169" s="170" t="s">
        <v>147</v>
      </c>
      <c r="E169">
        <v>243</v>
      </c>
      <c r="G169" s="170" t="s">
        <v>148</v>
      </c>
      <c r="H169">
        <v>8</v>
      </c>
      <c r="I169" s="169"/>
      <c r="J169" s="169"/>
      <c r="K169" s="169"/>
      <c r="L169" s="169"/>
      <c r="M169" s="249"/>
      <c r="N169" s="249"/>
      <c r="Q169" s="128">
        <f>SUM(Q166:Q168)</f>
        <v>130846.0046993009</v>
      </c>
      <c r="R169" s="11"/>
      <c r="S169" s="11"/>
      <c r="T169" s="11"/>
      <c r="U169" s="11"/>
      <c r="V169" s="11"/>
      <c r="W169" s="11"/>
      <c r="X169" s="11"/>
      <c r="Z169" s="23">
        <f>SUM(Z166:Z168)</f>
        <v>6243.5498164985638</v>
      </c>
      <c r="AA169" s="23"/>
      <c r="AC169" s="148">
        <f>+E134</f>
        <v>6243.6089915781558</v>
      </c>
      <c r="AU169" s="148"/>
      <c r="AV169" s="148"/>
      <c r="AW169" s="148"/>
      <c r="AX169" s="148"/>
      <c r="AY169" s="148"/>
    </row>
    <row r="170" spans="1:51" ht="15.25" x14ac:dyDescent="1.05">
      <c r="A170" s="8"/>
      <c r="D170" s="250"/>
      <c r="E170" s="250"/>
      <c r="F170" s="196"/>
      <c r="G170" s="126" t="s">
        <v>149</v>
      </c>
      <c r="H170">
        <f>+H168+H169</f>
        <v>12</v>
      </c>
      <c r="I170" s="169"/>
      <c r="J170" s="169"/>
      <c r="K170" s="169"/>
      <c r="L170" s="169"/>
      <c r="M170" s="249"/>
      <c r="N170" s="249"/>
      <c r="Q170" s="122"/>
      <c r="R170" s="122"/>
      <c r="T170" s="122"/>
      <c r="U170" s="122"/>
      <c r="W170" s="122"/>
      <c r="X170" s="122"/>
      <c r="Z170" s="22"/>
      <c r="AA170" s="22"/>
      <c r="AX170" s="148"/>
    </row>
    <row r="171" spans="1:51" x14ac:dyDescent="0.6">
      <c r="A171" s="8"/>
      <c r="B171" t="s">
        <v>150</v>
      </c>
      <c r="C171" s="23"/>
      <c r="D171" s="171"/>
      <c r="L171" s="172"/>
      <c r="M171" s="169"/>
      <c r="N171" s="169"/>
      <c r="O171" s="169" t="s">
        <v>3</v>
      </c>
      <c r="Q171" s="122"/>
      <c r="R171" s="122"/>
      <c r="T171" s="122"/>
      <c r="U171" s="122"/>
      <c r="W171" s="122"/>
      <c r="X171" s="122"/>
      <c r="Z171" s="23"/>
      <c r="AA171" s="23"/>
      <c r="AC171" s="148">
        <f>SUM(AC164:AC169)</f>
        <v>8907.4983940931706</v>
      </c>
    </row>
    <row r="172" spans="1:51" x14ac:dyDescent="0.6">
      <c r="A172" s="8"/>
      <c r="C172" s="23"/>
      <c r="D172" s="66"/>
      <c r="E172" s="171"/>
      <c r="G172" s="126"/>
      <c r="H172" s="23"/>
      <c r="L172" s="172"/>
      <c r="N172" s="188" t="s">
        <v>3</v>
      </c>
      <c r="Q172" s="122"/>
      <c r="R172" s="122"/>
      <c r="T172" s="122"/>
      <c r="U172" s="122"/>
      <c r="W172" s="122"/>
      <c r="X172" s="122"/>
      <c r="Z172" s="23"/>
      <c r="AA172" s="23"/>
      <c r="AC172" s="148"/>
    </row>
    <row r="173" spans="1:51" x14ac:dyDescent="0.6">
      <c r="A173" s="8"/>
      <c r="B173" t="s">
        <v>151</v>
      </c>
      <c r="C173" t="s">
        <v>91</v>
      </c>
      <c r="D173" s="49">
        <v>54.5</v>
      </c>
      <c r="E173" s="171" t="s">
        <v>152</v>
      </c>
      <c r="G173" s="126" t="s">
        <v>153</v>
      </c>
      <c r="H173" s="148">
        <f>ROUND(D173*E168*J$164,0)</f>
        <v>31398984</v>
      </c>
      <c r="I173" s="126"/>
      <c r="J173" s="251"/>
      <c r="K173" s="252"/>
      <c r="L173" s="49"/>
      <c r="Q173" s="122"/>
      <c r="R173" s="122"/>
      <c r="T173" s="122"/>
      <c r="U173" s="122"/>
      <c r="W173" s="122"/>
      <c r="X173" s="122"/>
      <c r="Z173" s="23"/>
      <c r="AA173" s="23"/>
      <c r="AC173" s="148"/>
    </row>
    <row r="174" spans="1:51" ht="15.25" x14ac:dyDescent="1.05">
      <c r="A174" s="8"/>
      <c r="C174" t="s">
        <v>88</v>
      </c>
      <c r="D174" s="49">
        <v>54.5</v>
      </c>
      <c r="E174" s="171" t="s">
        <v>152</v>
      </c>
      <c r="G174" s="24" t="s">
        <v>154</v>
      </c>
      <c r="H174" s="25">
        <f>ROUND(D174*E169*J$164,0)</f>
        <v>62540599</v>
      </c>
      <c r="I174" s="126"/>
      <c r="J174" s="251"/>
      <c r="K174" s="252"/>
      <c r="L174" s="49"/>
      <c r="Q174" s="122"/>
      <c r="R174" s="122"/>
      <c r="T174" s="122"/>
      <c r="U174" s="122"/>
      <c r="W174" s="122"/>
      <c r="X174" s="122"/>
      <c r="Z174" s="22"/>
      <c r="AA174" s="22"/>
      <c r="AC174" s="148"/>
    </row>
    <row r="175" spans="1:51" x14ac:dyDescent="0.6">
      <c r="A175" s="8"/>
      <c r="B175" s="199"/>
      <c r="C175" s="199"/>
      <c r="D175" s="199"/>
      <c r="E175" s="199"/>
      <c r="F175" s="199"/>
      <c r="G175" s="126" t="s">
        <v>155</v>
      </c>
      <c r="H175" s="148">
        <f>SUM(H173:H174)</f>
        <v>93939583</v>
      </c>
      <c r="I175" s="126"/>
      <c r="J175" s="26"/>
      <c r="K175" s="252"/>
      <c r="L175" s="49"/>
      <c r="P175" t="s">
        <v>280</v>
      </c>
      <c r="Z175" s="23"/>
      <c r="AA175" s="23"/>
      <c r="AC175" s="148"/>
    </row>
    <row r="176" spans="1:51" x14ac:dyDescent="0.6">
      <c r="A176" s="8"/>
      <c r="B176" t="s">
        <v>156</v>
      </c>
      <c r="I176" s="126"/>
      <c r="J176" s="26"/>
      <c r="K176" s="252"/>
      <c r="L176" s="49"/>
      <c r="O176">
        <v>2015</v>
      </c>
      <c r="P176" s="44">
        <f>E72</f>
        <v>195293</v>
      </c>
      <c r="Q176" s="44">
        <f>F72</f>
        <v>9463477</v>
      </c>
      <c r="R176" s="44">
        <f>G72</f>
        <v>5530918</v>
      </c>
      <c r="S176" s="44">
        <f>H72</f>
        <v>153204</v>
      </c>
      <c r="T176" s="44">
        <f>I72</f>
        <v>117049</v>
      </c>
      <c r="U176" s="44">
        <f>SUM(P176:T176)</f>
        <v>15459941</v>
      </c>
    </row>
    <row r="177" spans="1:50" x14ac:dyDescent="0.6">
      <c r="A177" s="8"/>
      <c r="B177" s="5" t="s">
        <v>157</v>
      </c>
      <c r="I177" s="126"/>
      <c r="J177" s="126"/>
      <c r="K177" s="126"/>
      <c r="L177" s="49"/>
      <c r="O177">
        <v>2014</v>
      </c>
      <c r="P177" s="44">
        <v>300812</v>
      </c>
      <c r="Q177" s="44">
        <v>9139433</v>
      </c>
      <c r="R177" s="44">
        <v>6011880</v>
      </c>
      <c r="S177" s="44">
        <v>242920</v>
      </c>
      <c r="T177" s="44">
        <v>114222</v>
      </c>
      <c r="U177" s="44">
        <f>SUM(P177:T177)</f>
        <v>15809267</v>
      </c>
    </row>
    <row r="178" spans="1:50" x14ac:dyDescent="0.6">
      <c r="A178" s="8"/>
      <c r="B178" s="5"/>
      <c r="C178" s="27" t="str">
        <f>" ---------- Rate "&amp;C30&amp;" ----------"</f>
        <v xml:space="preserve"> ---------- Rate  ----------</v>
      </c>
      <c r="D178" s="173"/>
      <c r="E178" s="173"/>
      <c r="I178" s="126"/>
      <c r="J178" s="126"/>
      <c r="K178" s="126"/>
      <c r="L178" s="49"/>
      <c r="O178">
        <v>2013</v>
      </c>
      <c r="P178" s="44">
        <v>298034</v>
      </c>
      <c r="Q178" s="44">
        <v>8751355</v>
      </c>
      <c r="R178" s="44">
        <v>5786197</v>
      </c>
      <c r="S178" s="44">
        <v>228915</v>
      </c>
      <c r="T178" s="44">
        <v>115314</v>
      </c>
      <c r="U178" s="44">
        <f>SUM(P178:T178)</f>
        <v>15179815</v>
      </c>
    </row>
    <row r="179" spans="1:50" x14ac:dyDescent="0.6">
      <c r="A179" s="8"/>
      <c r="C179" s="20" t="s">
        <v>158</v>
      </c>
      <c r="E179" s="20" t="s">
        <v>159</v>
      </c>
      <c r="I179" s="126"/>
      <c r="J179" s="126"/>
      <c r="K179" s="126"/>
      <c r="L179" s="49"/>
      <c r="P179" s="40">
        <f t="shared" ref="P179:U179" si="17">(P176-P177)/P177</f>
        <v>-0.35078055396726193</v>
      </c>
      <c r="Q179" s="40">
        <f t="shared" si="17"/>
        <v>3.5455591172887858E-2</v>
      </c>
      <c r="R179" s="40">
        <f t="shared" si="17"/>
        <v>-8.0001929512897793E-2</v>
      </c>
      <c r="S179" s="40">
        <f t="shared" si="17"/>
        <v>-0.36932323398649763</v>
      </c>
      <c r="T179" s="40">
        <f t="shared" si="17"/>
        <v>2.4750048151844655E-2</v>
      </c>
      <c r="U179" s="40">
        <f t="shared" si="17"/>
        <v>-2.209628061819691E-2</v>
      </c>
    </row>
    <row r="180" spans="1:50" x14ac:dyDescent="0.6">
      <c r="A180" s="8"/>
      <c r="B180" s="126" t="s">
        <v>160</v>
      </c>
      <c r="C180" s="174"/>
      <c r="E180" s="160">
        <f>SUM(R65/(R65+R66))</f>
        <v>0.52871114202853675</v>
      </c>
      <c r="F180" s="4"/>
      <c r="I180" s="126"/>
      <c r="J180" s="126"/>
      <c r="K180" s="126"/>
      <c r="L180" s="49"/>
      <c r="P180" s="40">
        <f t="shared" ref="P180:U180" si="18">(P176-P178)/P178</f>
        <v>-0.34472912486494828</v>
      </c>
      <c r="Q180" s="40">
        <f t="shared" si="18"/>
        <v>8.1372770273860445E-2</v>
      </c>
      <c r="R180" s="40">
        <f t="shared" si="18"/>
        <v>-4.4118615387619881E-2</v>
      </c>
      <c r="S180" s="40">
        <f t="shared" si="18"/>
        <v>-0.33073848371666337</v>
      </c>
      <c r="T180" s="40">
        <f t="shared" si="18"/>
        <v>1.5045874742008776E-2</v>
      </c>
      <c r="U180" s="40">
        <f t="shared" si="18"/>
        <v>1.8453848087081431E-2</v>
      </c>
    </row>
    <row r="181" spans="1:50" x14ac:dyDescent="0.6">
      <c r="A181" s="8"/>
      <c r="B181" s="126" t="s">
        <v>161</v>
      </c>
      <c r="C181" s="19"/>
      <c r="E181" s="160">
        <f>1-E180</f>
        <v>0.47128885797146325</v>
      </c>
      <c r="G181" s="122"/>
      <c r="I181" s="126"/>
      <c r="J181" s="126"/>
      <c r="K181" s="126"/>
      <c r="L181" s="49"/>
      <c r="AX181" s="160">
        <f>(37892894+37550803+37185127+37530967+385012043+415293692+408537249+370243592)/(37892894+37550803+37185127+37530967+385012043+415293692+408537249+370243592+28757462+38416028+35549073+25251802+243248593+403536675+352244990+172217638)</f>
        <v>0.5709969556930804</v>
      </c>
    </row>
    <row r="182" spans="1:50" x14ac:dyDescent="0.6">
      <c r="A182" s="8"/>
      <c r="B182" s="126" t="s">
        <v>162</v>
      </c>
      <c r="C182" s="174">
        <v>0.86519999999999997</v>
      </c>
      <c r="D182" t="s">
        <v>163</v>
      </c>
      <c r="J182" s="126"/>
      <c r="K182" s="126"/>
      <c r="L182" s="49"/>
    </row>
    <row r="183" spans="1:50" x14ac:dyDescent="0.6">
      <c r="A183"/>
      <c r="J183" s="126"/>
      <c r="K183" s="126"/>
      <c r="L183" s="49"/>
      <c r="P183" t="s">
        <v>281</v>
      </c>
    </row>
    <row r="184" spans="1:50" x14ac:dyDescent="0.6">
      <c r="A184" s="6" t="s">
        <v>164</v>
      </c>
      <c r="B184" s="4" t="s">
        <v>165</v>
      </c>
      <c r="P184" s="169">
        <f>E164</f>
        <v>48.418413300000005</v>
      </c>
      <c r="Q184" s="169">
        <f>F164</f>
        <v>3346.708828672</v>
      </c>
      <c r="R184" s="169">
        <f>G164</f>
        <v>1302.9674843560001</v>
      </c>
      <c r="S184" s="169">
        <f>H164</f>
        <v>24.217017399999996</v>
      </c>
      <c r="T184" s="169">
        <f>I164</f>
        <v>5.0061351999999996E-2</v>
      </c>
      <c r="U184" s="43">
        <f>SUM(P184:T184)</f>
        <v>4722.3618050799996</v>
      </c>
    </row>
    <row r="185" spans="1:50" x14ac:dyDescent="0.6">
      <c r="A185" s="6"/>
      <c r="B185" s="5" t="s">
        <v>166</v>
      </c>
      <c r="F185" s="200">
        <v>2</v>
      </c>
      <c r="G185" t="s">
        <v>169</v>
      </c>
      <c r="O185">
        <v>2014</v>
      </c>
      <c r="P185">
        <v>103.3</v>
      </c>
      <c r="Q185" s="43">
        <v>3286</v>
      </c>
      <c r="R185" s="43">
        <v>1769</v>
      </c>
      <c r="S185" s="43">
        <v>44.1</v>
      </c>
      <c r="T185" s="43">
        <v>2</v>
      </c>
      <c r="U185" s="43">
        <f>SUM(P185:T185)</f>
        <v>5204.4000000000005</v>
      </c>
    </row>
    <row r="186" spans="1:50" x14ac:dyDescent="0.6">
      <c r="A186" s="6"/>
      <c r="B186" s="5" t="s">
        <v>167</v>
      </c>
      <c r="F186" s="201">
        <v>17.22</v>
      </c>
      <c r="G186" t="s">
        <v>169</v>
      </c>
      <c r="Q186" s="43"/>
      <c r="R186" s="43"/>
      <c r="S186" s="43"/>
      <c r="T186" s="43"/>
      <c r="U186" s="43"/>
    </row>
    <row r="187" spans="1:50" x14ac:dyDescent="0.6">
      <c r="A187" s="8"/>
      <c r="B187" s="5" t="s">
        <v>282</v>
      </c>
      <c r="F187" s="202">
        <f>F185+F186</f>
        <v>19.22</v>
      </c>
      <c r="G187" t="s">
        <v>169</v>
      </c>
      <c r="Q187" s="43"/>
      <c r="R187" s="43"/>
      <c r="S187" s="43"/>
      <c r="T187" s="43"/>
      <c r="U187" s="43"/>
    </row>
    <row r="188" spans="1:50" x14ac:dyDescent="0.6">
      <c r="A188" s="8"/>
      <c r="B188" s="4"/>
      <c r="E188" s="23"/>
      <c r="F188" s="171"/>
      <c r="P188" s="45">
        <f>(P184-P185)/P185</f>
        <v>-0.5312835111326234</v>
      </c>
      <c r="Q188" s="45">
        <f t="shared" ref="Q188:U188" si="19">(Q184-Q185)/Q185</f>
        <v>1.8474993509433955E-2</v>
      </c>
      <c r="R188" s="45">
        <f t="shared" si="19"/>
        <v>-0.26344404502204627</v>
      </c>
      <c r="S188" s="45">
        <f t="shared" si="19"/>
        <v>-0.45086128344671211</v>
      </c>
      <c r="T188" s="45">
        <f t="shared" si="19"/>
        <v>-0.97496932400000003</v>
      </c>
      <c r="U188" s="45">
        <f t="shared" si="19"/>
        <v>-9.2621281016063498E-2</v>
      </c>
    </row>
    <row r="189" spans="1:50" x14ac:dyDescent="0.6">
      <c r="A189" s="6" t="s">
        <v>170</v>
      </c>
      <c r="B189" s="4" t="s">
        <v>171</v>
      </c>
    </row>
    <row r="190" spans="1:50" x14ac:dyDescent="0.6">
      <c r="A190" s="6"/>
      <c r="B190" s="4"/>
    </row>
    <row r="191" spans="1:50" x14ac:dyDescent="0.6">
      <c r="A191" s="6"/>
      <c r="B191" s="4"/>
      <c r="C191" s="11"/>
      <c r="D191" s="11"/>
      <c r="E191" s="11" t="str">
        <f>+E$13</f>
        <v>RT{1}</v>
      </c>
      <c r="F191" s="11" t="str">
        <f>+F$13</f>
        <v>RS{2}</v>
      </c>
      <c r="G191" s="11" t="str">
        <f>+G$13</f>
        <v>GS{3}</v>
      </c>
      <c r="H191" s="28" t="str">
        <f>+H$58</f>
        <v>GST {4}</v>
      </c>
      <c r="I191" s="11" t="str">
        <f>+I$13</f>
        <v>OL/SL</v>
      </c>
      <c r="J191" s="11"/>
      <c r="K191" s="11"/>
    </row>
    <row r="192" spans="1:50" x14ac:dyDescent="0.6">
      <c r="A192" s="8"/>
      <c r="B192" s="126" t="s">
        <v>172</v>
      </c>
      <c r="C192" s="66"/>
      <c r="D192" s="66"/>
      <c r="E192" s="162">
        <v>0</v>
      </c>
      <c r="F192" s="162">
        <v>0</v>
      </c>
      <c r="G192" s="162">
        <f>E192</f>
        <v>0</v>
      </c>
      <c r="H192" s="162">
        <f>E192</f>
        <v>0</v>
      </c>
      <c r="I192" s="162">
        <v>0</v>
      </c>
      <c r="J192" s="66"/>
      <c r="K192" s="66"/>
      <c r="L192" s="66"/>
    </row>
    <row r="193" spans="1:18" x14ac:dyDescent="0.6">
      <c r="A193" s="8"/>
      <c r="B193" s="12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</row>
    <row r="194" spans="1:18" x14ac:dyDescent="0.6">
      <c r="A194" s="8"/>
      <c r="B194" s="126" t="s">
        <v>173</v>
      </c>
      <c r="C194" s="66"/>
      <c r="D194" s="66"/>
      <c r="E194" s="162">
        <f>$H$175*(E$164/$J$164)/E$72</f>
        <v>4.9318884685841597</v>
      </c>
      <c r="F194" s="162">
        <f>$H$175*(F$164/$J$164)/F$72</f>
        <v>7.0348779772972927</v>
      </c>
      <c r="G194" s="162">
        <f>$H$175*(G$164/$J$164)/G$72</f>
        <v>4.6862529694345509</v>
      </c>
      <c r="H194" s="162">
        <f>$H$175*(H$164/$J$164)/H$72</f>
        <v>3.1444154375426798</v>
      </c>
      <c r="I194" s="162">
        <f>$H$175*(I$164/$J$164)/I$72</f>
        <v>8.5079364459384795E-3</v>
      </c>
      <c r="J194" s="66"/>
      <c r="K194" s="66"/>
      <c r="L194" s="66"/>
      <c r="M194" s="66"/>
    </row>
    <row r="195" spans="1:18" x14ac:dyDescent="0.6">
      <c r="A195" s="8"/>
      <c r="B195" s="126" t="s">
        <v>174</v>
      </c>
      <c r="C195" s="66"/>
      <c r="D195" s="66"/>
      <c r="E195" s="162">
        <f>$H$173*(E$164/$J$164)/SUM(E65:E68)</f>
        <v>4.995330018503787</v>
      </c>
      <c r="F195" s="162">
        <f>$H$173*(F$164/$J$164)/SUM(F65:F68)</f>
        <v>5.6530851282024352</v>
      </c>
      <c r="G195" s="162">
        <f>$H$173*(G$164/$J$164)/SUM(G65:G68)</f>
        <v>4.2752416466025833</v>
      </c>
      <c r="H195" s="162"/>
      <c r="I195" s="162">
        <f>$H$173*(I$164/$J$164)/SUM(I65:I68)</f>
        <v>8.5311001164459568E-3</v>
      </c>
      <c r="J195" s="66"/>
      <c r="K195" s="66"/>
      <c r="L195" s="66"/>
      <c r="M195" s="66"/>
    </row>
    <row r="196" spans="1:18" x14ac:dyDescent="0.6">
      <c r="A196" s="8"/>
      <c r="B196" s="126" t="s">
        <v>175</v>
      </c>
      <c r="C196" s="66"/>
      <c r="D196" s="66"/>
      <c r="E196" s="162">
        <f>$H$173*(E$164/$J$164)/R161</f>
        <v>11.962126734572145</v>
      </c>
      <c r="F196" s="162"/>
      <c r="G196" s="162"/>
      <c r="H196" s="162">
        <f>$H$173*(H$164/$J$164)/Q150</f>
        <v>7.0343059478121903</v>
      </c>
      <c r="I196" s="162"/>
      <c r="J196" s="66"/>
      <c r="K196" s="66"/>
      <c r="L196" s="66"/>
      <c r="M196" s="66"/>
    </row>
    <row r="197" spans="1:18" x14ac:dyDescent="0.6">
      <c r="A197" s="8"/>
      <c r="B197" s="126" t="s">
        <v>176</v>
      </c>
      <c r="C197" s="66"/>
      <c r="D197" s="66"/>
      <c r="E197" s="162">
        <f>$H$174*(E$164/$J$164)/(E72-SUM(E65:E68))</f>
        <v>4.9006409136900846</v>
      </c>
      <c r="F197" s="162">
        <f>$H$174*(F$164/$J$164)/(F72-SUM(F65:F68))</f>
        <v>8.0189541198266596</v>
      </c>
      <c r="G197" s="162">
        <f>$H$174*(G$164/$J$164)/(G72-SUM(G65:G68))</f>
        <v>4.9239135177188658</v>
      </c>
      <c r="H197" s="162"/>
      <c r="I197" s="162">
        <f>$H$174*(I$164/$J$164)/(I72-SUM(I65:I68))</f>
        <v>8.4963543138363903E-3</v>
      </c>
      <c r="J197" s="66"/>
      <c r="K197" s="66"/>
      <c r="L197" s="66"/>
      <c r="M197" s="49"/>
    </row>
    <row r="198" spans="1:18" x14ac:dyDescent="0.6">
      <c r="A198" s="8"/>
      <c r="B198" s="126" t="s">
        <v>177</v>
      </c>
      <c r="C198" s="66"/>
      <c r="D198" s="66"/>
      <c r="E198" s="162">
        <f>$H$174*(E$164/$J$164)/R166</f>
        <v>13.600965458882577</v>
      </c>
      <c r="F198" s="179"/>
      <c r="G198" s="179"/>
      <c r="H198" s="162">
        <f>$H$174*(H$164/$J$164)/Q154</f>
        <v>7.3387461678335661</v>
      </c>
      <c r="I198" s="162"/>
      <c r="J198" s="66"/>
      <c r="K198" s="66"/>
      <c r="L198" s="66"/>
      <c r="M198" s="66"/>
    </row>
    <row r="199" spans="1:18" x14ac:dyDescent="0.6">
      <c r="A199" s="8"/>
      <c r="B199" s="126"/>
      <c r="C199" s="66"/>
      <c r="D199" s="66"/>
      <c r="E199" s="162"/>
      <c r="F199" s="162"/>
      <c r="G199" s="162"/>
      <c r="H199" s="162"/>
      <c r="I199" s="162"/>
      <c r="J199" s="66"/>
      <c r="K199" s="66"/>
      <c r="L199" s="66"/>
      <c r="M199" s="49" t="s">
        <v>3</v>
      </c>
    </row>
    <row r="200" spans="1:18" ht="15.5" x14ac:dyDescent="0.7">
      <c r="A200" s="8"/>
      <c r="B200" s="340" t="str">
        <f>$B$1</f>
        <v xml:space="preserve">Jersey Central Power &amp; Light </v>
      </c>
      <c r="C200" s="340"/>
      <c r="D200" s="340"/>
      <c r="E200" s="340"/>
      <c r="F200" s="340"/>
      <c r="G200" s="340"/>
      <c r="H200" s="340"/>
      <c r="I200" s="340"/>
      <c r="J200" s="340"/>
      <c r="K200" s="340"/>
      <c r="L200" s="340"/>
      <c r="M200" s="66"/>
    </row>
    <row r="201" spans="1:18" ht="15.5" x14ac:dyDescent="0.7">
      <c r="A201" s="8"/>
      <c r="B201" s="340" t="str">
        <f>$B$2</f>
        <v>Attachment 2</v>
      </c>
      <c r="C201" s="340"/>
      <c r="D201" s="340"/>
      <c r="E201" s="340"/>
      <c r="F201" s="340"/>
      <c r="G201" s="340"/>
      <c r="H201" s="340"/>
      <c r="I201" s="340"/>
      <c r="J201" s="340"/>
      <c r="K201" s="340"/>
      <c r="L201" s="340"/>
      <c r="M201" s="66"/>
    </row>
    <row r="202" spans="1:18" x14ac:dyDescent="0.6">
      <c r="A202" s="8"/>
      <c r="E202" s="66"/>
      <c r="F202" s="66"/>
      <c r="G202" s="66"/>
      <c r="H202" s="66"/>
      <c r="L202" s="66"/>
      <c r="M202" s="66"/>
      <c r="N202" s="66"/>
      <c r="O202" s="66"/>
      <c r="P202" s="66"/>
      <c r="Q202" s="66"/>
      <c r="R202" s="66"/>
    </row>
    <row r="203" spans="1:18" x14ac:dyDescent="0.6">
      <c r="A203" s="8"/>
      <c r="M203" s="66"/>
      <c r="N203" s="66"/>
      <c r="O203" s="66"/>
      <c r="P203" s="66"/>
      <c r="Q203" s="66"/>
      <c r="R203" s="66"/>
    </row>
    <row r="204" spans="1:18" x14ac:dyDescent="0.6">
      <c r="A204" s="6" t="s">
        <v>178</v>
      </c>
      <c r="B204" s="4" t="s">
        <v>179</v>
      </c>
      <c r="F204" s="191"/>
      <c r="M204" s="66"/>
      <c r="N204" s="66"/>
      <c r="O204" s="66"/>
      <c r="P204" s="66"/>
      <c r="Q204" s="66"/>
      <c r="R204" s="66"/>
    </row>
    <row r="205" spans="1:18" x14ac:dyDescent="0.6">
      <c r="A205" s="8"/>
      <c r="B205" s="4"/>
      <c r="M205" s="66"/>
      <c r="N205" s="66"/>
      <c r="O205" s="66"/>
      <c r="P205" s="66"/>
      <c r="Q205" s="66"/>
      <c r="R205" s="66"/>
    </row>
    <row r="206" spans="1:18" x14ac:dyDescent="0.6">
      <c r="A206" s="8"/>
      <c r="B206" s="4" t="s">
        <v>180</v>
      </c>
      <c r="M206" s="66"/>
      <c r="N206" s="66"/>
      <c r="O206" s="66"/>
      <c r="P206" s="66"/>
      <c r="Q206" s="66"/>
      <c r="R206" s="66"/>
    </row>
    <row r="207" spans="1:18" x14ac:dyDescent="0.6">
      <c r="A207" s="8"/>
      <c r="B207" s="5" t="s">
        <v>283</v>
      </c>
      <c r="M207" s="66"/>
      <c r="N207" s="66"/>
      <c r="O207" s="66"/>
      <c r="P207" s="66"/>
      <c r="Q207" s="66"/>
      <c r="R207" s="66"/>
    </row>
    <row r="208" spans="1:18" x14ac:dyDescent="0.6">
      <c r="A208" s="8"/>
      <c r="B208" s="5" t="s">
        <v>81</v>
      </c>
      <c r="M208" s="66"/>
      <c r="N208" s="66"/>
      <c r="O208" s="66"/>
      <c r="P208" s="66"/>
      <c r="Q208" s="66"/>
      <c r="R208" s="66"/>
    </row>
    <row r="209" spans="1:18" x14ac:dyDescent="0.6">
      <c r="A209" s="8"/>
      <c r="C209" s="11"/>
      <c r="D209" s="11"/>
      <c r="E209" s="11" t="str">
        <f>+E$13</f>
        <v>RT{1}</v>
      </c>
      <c r="F209" s="11" t="str">
        <f>+F$13</f>
        <v>RS{2}</v>
      </c>
      <c r="G209" s="11" t="str">
        <f>+G$13</f>
        <v>GS{3}</v>
      </c>
      <c r="H209" s="28" t="str">
        <f>+H$58</f>
        <v>GST {4}</v>
      </c>
      <c r="I209" s="11" t="str">
        <f>+I$13</f>
        <v>OL/SL</v>
      </c>
      <c r="J209" s="11"/>
      <c r="K209" s="11"/>
      <c r="M209" s="66"/>
      <c r="N209" s="66"/>
      <c r="O209" s="66"/>
      <c r="P209" s="66"/>
      <c r="Q209" s="66"/>
      <c r="R209" s="66"/>
    </row>
    <row r="210" spans="1:18" x14ac:dyDescent="0.6">
      <c r="A210" s="8"/>
      <c r="C210" s="11"/>
      <c r="D210" s="11"/>
      <c r="E210" s="66"/>
      <c r="F210" s="11"/>
      <c r="G210" s="11"/>
      <c r="M210" s="66"/>
      <c r="N210" s="66"/>
      <c r="O210" s="66"/>
      <c r="P210" s="66"/>
      <c r="Q210" s="66"/>
      <c r="R210" s="66"/>
    </row>
    <row r="211" spans="1:18" x14ac:dyDescent="0.6">
      <c r="A211" s="8"/>
      <c r="B211" s="99" t="s">
        <v>108</v>
      </c>
      <c r="C211" s="66"/>
      <c r="D211" s="66"/>
      <c r="E211" s="66">
        <f>+E149+(E$95*$F$187)+E$192+E195</f>
        <v>67.81785092870642</v>
      </c>
      <c r="F211" s="66">
        <f>+F149+(F$95*$F$187)+F$192+F195</f>
        <v>68.69433746911993</v>
      </c>
      <c r="G211" s="66">
        <f>+G149+(G$95*$F$187)+G$192+G195</f>
        <v>67.826231595406654</v>
      </c>
      <c r="H211" s="66"/>
      <c r="I211" s="66">
        <f>+I149+(I$95*$F$187)+I$192+I195</f>
        <v>59.140736817092602</v>
      </c>
      <c r="J211" s="66"/>
      <c r="K211" s="66"/>
      <c r="L211" s="66"/>
      <c r="M211" s="66"/>
      <c r="N211" s="66"/>
      <c r="O211" s="66"/>
      <c r="P211" s="66"/>
      <c r="Q211" s="66"/>
      <c r="R211" s="66"/>
    </row>
    <row r="212" spans="1:18" x14ac:dyDescent="0.6">
      <c r="A212" s="8"/>
      <c r="B212" s="164" t="s">
        <v>128</v>
      </c>
      <c r="C212" s="66"/>
      <c r="D212" s="66"/>
      <c r="E212" s="66">
        <f>+E150+(E$95*$F$187)+E$192+E$196</f>
        <v>83.983040505484126</v>
      </c>
      <c r="F212" s="66"/>
      <c r="G212" s="66"/>
      <c r="H212" s="66">
        <f>+H150+(H$95*$F$187)+H$192+H$196</f>
        <v>78.634084512766691</v>
      </c>
      <c r="I212" s="66"/>
      <c r="J212" s="66"/>
      <c r="K212" s="66"/>
      <c r="M212" s="66"/>
      <c r="N212" s="66"/>
      <c r="O212" s="66"/>
      <c r="P212" s="66"/>
      <c r="Q212" s="66"/>
      <c r="R212" s="66"/>
    </row>
    <row r="213" spans="1:18" x14ac:dyDescent="0.6">
      <c r="A213" s="8"/>
      <c r="B213" s="164" t="s">
        <v>129</v>
      </c>
      <c r="C213" s="66"/>
      <c r="D213" s="66"/>
      <c r="E213" s="66">
        <f>+E151+(E$95*$F$187)+E$192</f>
        <v>56.226071808591882</v>
      </c>
      <c r="F213" s="66"/>
      <c r="G213" s="66"/>
      <c r="H213" s="66">
        <f>+H151+(H$95*$F$187)+H$192</f>
        <v>56.369431480219887</v>
      </c>
      <c r="I213" s="66"/>
      <c r="J213" s="66"/>
      <c r="K213" s="66"/>
      <c r="M213" s="66"/>
      <c r="N213" s="66"/>
      <c r="O213" s="66"/>
      <c r="P213" s="66"/>
      <c r="Q213" s="66"/>
      <c r="R213" s="66"/>
    </row>
    <row r="214" spans="1:18" x14ac:dyDescent="0.6">
      <c r="A214" s="8"/>
      <c r="B214" s="126" t="s">
        <v>160</v>
      </c>
      <c r="C214" s="66"/>
      <c r="D214" s="66"/>
      <c r="E214" s="66"/>
      <c r="F214" s="66">
        <f>(F211*SUM(F65:F68)-C182*10*E181*SUM(F65:F68))/SUM(F65:F68)</f>
        <v>64.616746269950838</v>
      </c>
      <c r="G214" s="66"/>
      <c r="H214" s="66"/>
      <c r="I214" s="66"/>
      <c r="J214" s="66"/>
      <c r="K214" s="66"/>
      <c r="M214" s="66"/>
      <c r="N214" s="66"/>
      <c r="O214" s="66"/>
      <c r="P214" s="66"/>
      <c r="Q214" s="66"/>
      <c r="R214" s="66"/>
    </row>
    <row r="215" spans="1:18" x14ac:dyDescent="0.6">
      <c r="A215" s="8"/>
      <c r="B215" s="126" t="s">
        <v>161</v>
      </c>
      <c r="C215" s="66"/>
      <c r="D215" s="66"/>
      <c r="E215" s="66"/>
      <c r="F215" s="66">
        <f>+F214+C182*10</f>
        <v>73.268746269950839</v>
      </c>
      <c r="G215" s="180"/>
      <c r="H215" s="66"/>
      <c r="I215" s="66"/>
      <c r="J215" s="66"/>
      <c r="K215" s="66"/>
      <c r="M215" s="66"/>
      <c r="N215" s="66"/>
      <c r="O215" s="66"/>
      <c r="P215" s="66"/>
      <c r="Q215" s="66"/>
      <c r="R215" s="66"/>
    </row>
    <row r="216" spans="1:18" x14ac:dyDescent="0.6">
      <c r="A216" s="8"/>
      <c r="C216" s="66"/>
      <c r="D216" s="66"/>
      <c r="E216" s="66"/>
      <c r="F216" s="66"/>
      <c r="G216" s="66"/>
      <c r="H216" s="66"/>
      <c r="I216" s="66"/>
      <c r="J216" s="66"/>
      <c r="K216" s="66"/>
      <c r="M216" s="66"/>
      <c r="N216" s="66"/>
      <c r="O216" s="66"/>
      <c r="P216" s="66"/>
      <c r="Q216" s="66"/>
      <c r="R216" s="66"/>
    </row>
    <row r="217" spans="1:18" x14ac:dyDescent="0.6">
      <c r="A217" s="8"/>
      <c r="B217" s="99" t="s">
        <v>111</v>
      </c>
      <c r="C217" s="66"/>
      <c r="D217" s="66"/>
      <c r="E217" s="66">
        <f>+E153+(E$95*$F$187)+E$192+E197</f>
        <v>74.105818494404062</v>
      </c>
      <c r="F217" s="66">
        <f>+F153+(F$95*$F$187)+F$192+F197</f>
        <v>76.225813671592988</v>
      </c>
      <c r="G217" s="66">
        <f>+G153+(G$95*$F$187)+G$192+G197</f>
        <v>72.890925769708133</v>
      </c>
      <c r="H217" s="66"/>
      <c r="I217" s="66">
        <f>+I153+(I$95*$F$187)+I$192+I197</f>
        <v>66.209573545524634</v>
      </c>
      <c r="J217" s="66"/>
      <c r="K217" s="66"/>
      <c r="L217" s="66"/>
      <c r="M217" s="66"/>
      <c r="N217" s="66"/>
      <c r="O217" s="66"/>
      <c r="P217" s="66"/>
      <c r="Q217" s="66"/>
      <c r="R217" s="66"/>
    </row>
    <row r="218" spans="1:18" x14ac:dyDescent="0.6">
      <c r="A218" s="8"/>
      <c r="B218" s="164" t="s">
        <v>128</v>
      </c>
      <c r="C218" s="66"/>
      <c r="D218" s="66"/>
      <c r="E218" s="66">
        <f>+E154+(E$95*$F$187)+E$192+E$198</f>
        <v>88.6409379472409</v>
      </c>
      <c r="F218" s="66"/>
      <c r="G218" s="66"/>
      <c r="H218" s="66">
        <f>+H154+(H$95*$F$187)+H$192+H$198</f>
        <v>78.570339919294383</v>
      </c>
      <c r="I218" s="66"/>
      <c r="J218" s="66"/>
      <c r="K218" s="66"/>
      <c r="M218" s="66"/>
      <c r="N218" s="66"/>
      <c r="O218" s="66"/>
      <c r="P218" s="66"/>
      <c r="Q218" s="66"/>
      <c r="R218" s="66"/>
    </row>
    <row r="219" spans="1:18" x14ac:dyDescent="0.6">
      <c r="A219" s="8"/>
      <c r="B219" s="164" t="s">
        <v>129</v>
      </c>
      <c r="C219" s="66"/>
      <c r="D219" s="66"/>
      <c r="E219" s="66">
        <f>+E155+(E$95*$F$187)+E$192</f>
        <v>65.91860884761536</v>
      </c>
      <c r="F219" s="66"/>
      <c r="G219" s="66"/>
      <c r="H219" s="66">
        <f>+H155+(H$95*$F$187)+H$192</f>
        <v>65.91181270026965</v>
      </c>
      <c r="I219" s="66"/>
      <c r="J219" s="66"/>
      <c r="K219" s="66"/>
      <c r="M219" s="66"/>
      <c r="N219" s="66"/>
      <c r="O219" s="66"/>
      <c r="P219" s="66"/>
      <c r="Q219" s="66"/>
      <c r="R219" s="66"/>
    </row>
    <row r="220" spans="1:18" x14ac:dyDescent="0.6">
      <c r="A220" s="8"/>
      <c r="C220" s="66"/>
      <c r="D220" s="66"/>
      <c r="E220" s="66"/>
      <c r="F220" s="66"/>
      <c r="G220" s="66"/>
      <c r="H220" s="66"/>
      <c r="I220" s="66"/>
      <c r="J220" s="66"/>
      <c r="K220" s="66"/>
      <c r="M220" s="66"/>
      <c r="N220" s="66"/>
      <c r="O220" s="66"/>
      <c r="P220" s="66"/>
      <c r="Q220" s="66"/>
      <c r="R220" s="66"/>
    </row>
    <row r="221" spans="1:18" x14ac:dyDescent="0.6">
      <c r="A221" s="8"/>
      <c r="B221" t="s">
        <v>182</v>
      </c>
      <c r="C221" s="66"/>
      <c r="D221" s="66"/>
      <c r="E221" s="66">
        <f>+E157+(E$95*$F$187)+E$192+E194</f>
        <v>72.030779216465191</v>
      </c>
      <c r="F221" s="66">
        <f>+F157+(F$95*$F$187)+F$192+F194</f>
        <v>73.093118634327553</v>
      </c>
      <c r="G221" s="66">
        <f>+G157+(G$95*$F$187)+G$192+G194</f>
        <v>71.035321961444509</v>
      </c>
      <c r="H221" s="66">
        <f>((H212*SUMPRODUCT(H38:H41,H65:H68)+H213*SUMPRODUCT(T38:T41,H65:H68))+(H218*(SUMPRODUCT(H33:H37,H60:H64)+SUMPRODUCT(H42:H44,H69:H71))+H219*(SUMPRODUCT(T33:T37,H60:H64)+SUMPRODUCT(T42:T44,H69:H71))))/H72</f>
        <v>69.681661899091537</v>
      </c>
      <c r="I221" s="66">
        <f>+I157+(I$95*$F$187)+I$192+I194</f>
        <v>63.853254374636947</v>
      </c>
      <c r="J221" s="66"/>
      <c r="K221" s="66"/>
      <c r="L221" s="66"/>
      <c r="M221" s="66"/>
      <c r="N221" s="66"/>
      <c r="O221" s="66"/>
      <c r="P221" s="66"/>
      <c r="Q221" s="66"/>
      <c r="R221" s="66"/>
    </row>
    <row r="222" spans="1:18" x14ac:dyDescent="0.6">
      <c r="A222" s="8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</row>
    <row r="223" spans="1:18" x14ac:dyDescent="0.6">
      <c r="A223" s="8"/>
      <c r="B223" s="4" t="s">
        <v>183</v>
      </c>
      <c r="M223" s="66"/>
      <c r="N223" s="66"/>
      <c r="O223" s="66"/>
      <c r="P223" s="66"/>
      <c r="Q223" s="66"/>
      <c r="R223" s="66"/>
    </row>
    <row r="224" spans="1:18" x14ac:dyDescent="0.6">
      <c r="A224" s="8"/>
      <c r="B224" s="5" t="s">
        <v>284</v>
      </c>
      <c r="M224" s="66"/>
      <c r="N224" s="66"/>
      <c r="O224" s="66"/>
      <c r="P224" s="66"/>
      <c r="Q224" s="66"/>
      <c r="R224" s="66"/>
    </row>
    <row r="225" spans="1:18" x14ac:dyDescent="0.6">
      <c r="A225" s="8"/>
      <c r="B225" s="5"/>
      <c r="M225" s="66"/>
      <c r="N225" s="66"/>
      <c r="O225" s="66"/>
      <c r="P225" s="66"/>
      <c r="Q225" s="66"/>
      <c r="R225" s="66"/>
    </row>
    <row r="226" spans="1:18" x14ac:dyDescent="0.6">
      <c r="A226" s="8"/>
      <c r="B226" s="164"/>
      <c r="C226" s="66"/>
      <c r="D226" s="66"/>
      <c r="I226" s="126"/>
      <c r="J226" s="66"/>
      <c r="K226" s="66"/>
      <c r="L226" s="171"/>
      <c r="M226" s="66"/>
      <c r="N226" s="66"/>
      <c r="O226" s="66"/>
      <c r="P226" s="66"/>
      <c r="Q226" s="66"/>
      <c r="R226" s="66"/>
    </row>
    <row r="227" spans="1:18" x14ac:dyDescent="0.6">
      <c r="A227" s="8"/>
      <c r="C227" s="66"/>
      <c r="D227" s="66"/>
    </row>
    <row r="228" spans="1:18" x14ac:dyDescent="0.6">
      <c r="A228" s="8"/>
      <c r="B228" s="14" t="s">
        <v>185</v>
      </c>
      <c r="C228" s="66"/>
      <c r="D228" s="66"/>
      <c r="I228" s="29"/>
      <c r="L228" s="171"/>
    </row>
    <row r="229" spans="1:18" x14ac:dyDescent="0.6">
      <c r="A229" s="8"/>
      <c r="B229" s="164"/>
      <c r="C229" s="66"/>
      <c r="D229" s="66"/>
      <c r="I229" s="126"/>
      <c r="J229" s="49"/>
      <c r="K229" s="49"/>
      <c r="L229" s="171"/>
    </row>
    <row r="230" spans="1:18" ht="15.5" x14ac:dyDescent="0.7">
      <c r="A230" s="8"/>
      <c r="B230" s="340" t="str">
        <f>$B$1</f>
        <v xml:space="preserve">Jersey Central Power &amp; Light </v>
      </c>
      <c r="C230" s="340"/>
      <c r="D230" s="340"/>
      <c r="E230" s="340"/>
      <c r="F230" s="340"/>
      <c r="G230" s="340"/>
      <c r="H230" s="340"/>
      <c r="I230" s="340"/>
      <c r="J230" s="340"/>
      <c r="K230" s="340"/>
      <c r="L230" s="340"/>
    </row>
    <row r="231" spans="1:18" ht="15.5" x14ac:dyDescent="0.7">
      <c r="A231" s="8"/>
      <c r="B231" s="340" t="str">
        <f>$B$2</f>
        <v>Attachment 2</v>
      </c>
      <c r="C231" s="340"/>
      <c r="D231" s="340"/>
      <c r="E231" s="340"/>
      <c r="F231" s="340"/>
      <c r="G231" s="340"/>
      <c r="H231" s="340"/>
      <c r="I231" s="340"/>
      <c r="J231" s="340"/>
      <c r="K231" s="340"/>
      <c r="L231" s="340"/>
    </row>
    <row r="232" spans="1:18" ht="15.5" x14ac:dyDescent="0.7">
      <c r="A232" s="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8" ht="15.5" x14ac:dyDescent="0.7">
      <c r="A233" s="6" t="s">
        <v>186</v>
      </c>
      <c r="B233" s="4" t="s">
        <v>187</v>
      </c>
      <c r="C233" s="98"/>
      <c r="E233" s="30"/>
      <c r="F233" s="20"/>
      <c r="L233" s="1"/>
    </row>
    <row r="234" spans="1:18" ht="15.5" x14ac:dyDescent="0.7">
      <c r="B234" t="s">
        <v>188</v>
      </c>
      <c r="L234" s="1"/>
    </row>
    <row r="235" spans="1:18" ht="15.5" x14ac:dyDescent="0.7">
      <c r="E235" s="11" t="s">
        <v>13</v>
      </c>
      <c r="F235" s="11" t="s">
        <v>14</v>
      </c>
      <c r="G235" s="11" t="s">
        <v>15</v>
      </c>
      <c r="H235" s="11" t="s">
        <v>46</v>
      </c>
      <c r="I235" s="11" t="s">
        <v>17</v>
      </c>
      <c r="L235" s="1"/>
    </row>
    <row r="236" spans="1:18" ht="15.5" x14ac:dyDescent="0.7">
      <c r="L236" s="1"/>
    </row>
    <row r="237" spans="1:18" ht="15.5" x14ac:dyDescent="0.7">
      <c r="B237" s="99" t="s">
        <v>108</v>
      </c>
      <c r="E237" s="122">
        <f>'Composite Cost Allocation'!E110</f>
        <v>2152065.5431923</v>
      </c>
      <c r="G237" s="122">
        <f>'Composite Cost Allocation'!G110</f>
        <v>2026419000</v>
      </c>
      <c r="I237" s="122">
        <f>'Composite Cost Allocation'!I110</f>
        <v>39017000</v>
      </c>
      <c r="L237" s="1"/>
    </row>
    <row r="238" spans="1:18" ht="15.5" x14ac:dyDescent="0.7">
      <c r="B238" s="164" t="s">
        <v>128</v>
      </c>
      <c r="E238" s="122">
        <f>'Composite Cost Allocation'!E111</f>
        <v>26015580</v>
      </c>
      <c r="H238" s="122">
        <f>'Composite Cost Allocation'!H111</f>
        <v>22890524.199999999</v>
      </c>
      <c r="L238" s="1"/>
    </row>
    <row r="239" spans="1:18" ht="15.5" x14ac:dyDescent="0.7">
      <c r="B239" s="164" t="s">
        <v>129</v>
      </c>
      <c r="E239" s="122">
        <f>'Composite Cost Allocation'!E112</f>
        <v>36279354.456807703</v>
      </c>
      <c r="H239" s="122">
        <f>'Composite Cost Allocation'!H112</f>
        <v>27966475.800000001</v>
      </c>
      <c r="L239" s="1"/>
    </row>
    <row r="240" spans="1:18" ht="15.5" x14ac:dyDescent="0.7">
      <c r="B240" s="126" t="s">
        <v>160</v>
      </c>
      <c r="F240" s="122">
        <f>'Composite Cost Allocation'!F113</f>
        <v>2081168000</v>
      </c>
      <c r="L240" s="1"/>
    </row>
    <row r="241" spans="1:14" ht="15.5" x14ac:dyDescent="0.7">
      <c r="B241" s="126" t="s">
        <v>161</v>
      </c>
      <c r="F241" s="122">
        <f>'Composite Cost Allocation'!F114</f>
        <v>1855137000</v>
      </c>
      <c r="L241" s="1"/>
    </row>
    <row r="242" spans="1:14" ht="15.5" x14ac:dyDescent="0.7">
      <c r="L242" s="1"/>
    </row>
    <row r="243" spans="1:14" ht="15.5" x14ac:dyDescent="0.7">
      <c r="B243" s="99" t="s">
        <v>111</v>
      </c>
      <c r="E243" s="122">
        <f>'Composite Cost Allocation'!E116</f>
        <v>5274004.6993009001</v>
      </c>
      <c r="F243" s="122">
        <f>'Composite Cost Allocation'!F116</f>
        <v>5527172000</v>
      </c>
      <c r="G243" s="122">
        <f>'Composite Cost Allocation'!G116</f>
        <v>3504499000</v>
      </c>
      <c r="I243" s="122">
        <f>'Composite Cost Allocation'!I116</f>
        <v>78032000</v>
      </c>
      <c r="L243" s="1"/>
    </row>
    <row r="244" spans="1:14" ht="15.5" x14ac:dyDescent="0.7">
      <c r="B244" s="164" t="s">
        <v>128</v>
      </c>
      <c r="E244" s="122">
        <f>'Composite Cost Allocation'!E117</f>
        <v>45240474.137929991</v>
      </c>
      <c r="H244" s="122">
        <f>'Composite Cost Allocation'!H117</f>
        <v>43702025.5</v>
      </c>
      <c r="L244" s="1"/>
    </row>
    <row r="245" spans="1:14" ht="15.5" x14ac:dyDescent="0.7">
      <c r="B245" s="164" t="s">
        <v>129</v>
      </c>
      <c r="E245" s="122">
        <f>'Composite Cost Allocation'!E118</f>
        <v>80331521.162769109</v>
      </c>
      <c r="H245" s="122">
        <f>'Composite Cost Allocation'!H118</f>
        <v>58644974.5</v>
      </c>
      <c r="L245" s="1"/>
    </row>
    <row r="246" spans="1:14" ht="15.5" x14ac:dyDescent="0.7">
      <c r="J246" s="11" t="s">
        <v>44</v>
      </c>
      <c r="K246" s="11"/>
      <c r="M246" s="46" t="s">
        <v>285</v>
      </c>
      <c r="N246" s="46" t="s">
        <v>286</v>
      </c>
    </row>
    <row r="247" spans="1:14" x14ac:dyDescent="0.6">
      <c r="B247" s="126" t="s">
        <v>153</v>
      </c>
      <c r="E247" s="122">
        <f>SUM(E237:E241)</f>
        <v>64447000</v>
      </c>
      <c r="F247" s="122">
        <f>SUM(F237:F241)</f>
        <v>3936305000</v>
      </c>
      <c r="G247" s="122">
        <f>SUM(G237:G241)</f>
        <v>2026419000</v>
      </c>
      <c r="H247" s="122">
        <f>SUM(H237:H241)</f>
        <v>50857000</v>
      </c>
      <c r="I247" s="122">
        <f>SUM(I237:I241)</f>
        <v>39017000</v>
      </c>
      <c r="J247" s="122">
        <f>SUM(E247:I247)</f>
        <v>6117045000</v>
      </c>
      <c r="K247" s="122"/>
      <c r="M247" s="47">
        <f>ROUND(J247*$E$95/1000,0)</f>
        <v>6838852</v>
      </c>
      <c r="N247" s="47">
        <f>ROUND(J247*$E$98/1000,0)</f>
        <v>6774232</v>
      </c>
    </row>
    <row r="248" spans="1:14" x14ac:dyDescent="0.6">
      <c r="B248" s="126" t="s">
        <v>154</v>
      </c>
      <c r="E248" s="31">
        <f>SUM(E243:E245)</f>
        <v>130846000</v>
      </c>
      <c r="F248" s="31">
        <f>SUM(F243:F245)</f>
        <v>5527172000</v>
      </c>
      <c r="G248" s="19">
        <f>SUM(G243:G245)</f>
        <v>3504499000</v>
      </c>
      <c r="H248" s="19">
        <f>SUM(H243:H245)</f>
        <v>102347000</v>
      </c>
      <c r="I248" s="19">
        <f>SUM(I243:I245)</f>
        <v>78032000</v>
      </c>
      <c r="J248" s="31">
        <f>SUM(E248:I248)</f>
        <v>9342896000</v>
      </c>
      <c r="K248" s="31"/>
      <c r="M248" s="47">
        <f>ROUND(J248*$E$95/1000,0)</f>
        <v>10445351</v>
      </c>
      <c r="N248" s="47">
        <f>ROUND(J248*$E$98/1000,0)</f>
        <v>10346653</v>
      </c>
    </row>
    <row r="249" spans="1:14" x14ac:dyDescent="0.6">
      <c r="B249" s="126" t="s">
        <v>155</v>
      </c>
      <c r="E249" s="122">
        <f>SUM(E247:E248)</f>
        <v>195293000</v>
      </c>
      <c r="F249" s="122">
        <f>SUM(F247:F248)</f>
        <v>9463477000</v>
      </c>
      <c r="G249" s="122">
        <f>SUM(G247:G248)</f>
        <v>5530918000</v>
      </c>
      <c r="H249" s="122">
        <f>SUM(H247:H248)</f>
        <v>153204000</v>
      </c>
      <c r="I249" s="122">
        <f>SUM(I247:I248)</f>
        <v>117049000</v>
      </c>
      <c r="J249" s="122">
        <f>SUM(E249:I249)</f>
        <v>15459941000</v>
      </c>
      <c r="K249" s="122"/>
      <c r="M249" s="48">
        <f>SUM(M247:M248)</f>
        <v>17284203</v>
      </c>
      <c r="N249" s="48">
        <f>SUM(N247:N248)</f>
        <v>17120885</v>
      </c>
    </row>
    <row r="250" spans="1:14" ht="15.5" x14ac:dyDescent="0.7">
      <c r="A250" s="8"/>
      <c r="B250" s="1"/>
      <c r="C250" s="1"/>
      <c r="D250" s="1"/>
      <c r="E250" s="1"/>
      <c r="F250" s="1"/>
      <c r="G250" s="1"/>
      <c r="H250" s="1"/>
      <c r="I250" s="1"/>
      <c r="J250" s="253" t="s">
        <v>3</v>
      </c>
      <c r="K250" s="253"/>
      <c r="L250" s="1"/>
    </row>
    <row r="251" spans="1:14" ht="15.5" x14ac:dyDescent="0.7">
      <c r="A251" s="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3" spans="1:14" x14ac:dyDescent="0.6">
      <c r="A253" s="6" t="s">
        <v>189</v>
      </c>
      <c r="B253" s="4" t="s">
        <v>190</v>
      </c>
    </row>
    <row r="254" spans="1:14" x14ac:dyDescent="0.6">
      <c r="A254" s="8"/>
      <c r="B254" s="4"/>
    </row>
    <row r="255" spans="1:14" x14ac:dyDescent="0.6">
      <c r="A255" s="8"/>
      <c r="C255" s="11"/>
      <c r="D255" s="11"/>
      <c r="E255" s="11" t="str">
        <f>+E$13</f>
        <v>RT{1}</v>
      </c>
      <c r="F255" s="11" t="str">
        <f>+F$13</f>
        <v>RS{2}</v>
      </c>
      <c r="G255" s="11" t="str">
        <f>+G$13</f>
        <v>GS{3}</v>
      </c>
      <c r="H255" s="28" t="str">
        <f>+H$58</f>
        <v>GST {4}</v>
      </c>
      <c r="I255" s="11" t="str">
        <f>+I$13</f>
        <v>OL/SL</v>
      </c>
      <c r="J255" s="11" t="s">
        <v>44</v>
      </c>
      <c r="K255" s="11"/>
      <c r="L255" s="11"/>
    </row>
    <row r="256" spans="1:14" x14ac:dyDescent="0.6">
      <c r="A256" s="8"/>
      <c r="B256" t="s">
        <v>191</v>
      </c>
    </row>
    <row r="257" spans="1:15" x14ac:dyDescent="0.6">
      <c r="A257" s="8"/>
      <c r="B257" s="99" t="s">
        <v>108</v>
      </c>
      <c r="C257" s="181"/>
      <c r="D257" s="181"/>
      <c r="E257" s="181">
        <f>+E211*E237/1000000</f>
        <v>145.94846019702101</v>
      </c>
      <c r="F257" s="181"/>
      <c r="G257" s="181">
        <f>+G211*G237/1000000</f>
        <v>137444.36440333238</v>
      </c>
      <c r="H257" s="23"/>
      <c r="I257" s="181">
        <f>+I211*I237/1000000</f>
        <v>2307.4941283925018</v>
      </c>
      <c r="J257" s="181"/>
      <c r="K257" s="181"/>
      <c r="L257" s="181"/>
    </row>
    <row r="258" spans="1:15" x14ac:dyDescent="0.6">
      <c r="A258" s="8"/>
      <c r="B258" s="164" t="s">
        <v>128</v>
      </c>
      <c r="C258" s="181"/>
      <c r="D258" s="181"/>
      <c r="E258" s="181">
        <f>+E212*E238/1000000</f>
        <v>2184.8675089136627</v>
      </c>
      <c r="F258" s="181"/>
      <c r="G258" s="181"/>
      <c r="H258" s="181">
        <f>+H212*H238/1000000</f>
        <v>1799.9754144843312</v>
      </c>
      <c r="I258" s="181"/>
      <c r="J258" s="181"/>
      <c r="K258" s="181"/>
      <c r="L258" s="181"/>
    </row>
    <row r="259" spans="1:15" x14ac:dyDescent="0.6">
      <c r="A259" s="8"/>
      <c r="B259" s="164" t="s">
        <v>129</v>
      </c>
      <c r="C259" s="181"/>
      <c r="D259" s="181"/>
      <c r="E259" s="181">
        <f>+E213*E239/1000000</f>
        <v>2039.8455888578278</v>
      </c>
      <c r="F259" s="181"/>
      <c r="G259" s="181"/>
      <c r="H259" s="181">
        <f>+H213*H239/1000000</f>
        <v>1576.4543413513277</v>
      </c>
      <c r="I259" s="181"/>
      <c r="J259" s="181"/>
      <c r="K259" s="181"/>
      <c r="L259" s="148"/>
      <c r="M259" s="148"/>
      <c r="N259" s="148"/>
    </row>
    <row r="260" spans="1:15" x14ac:dyDescent="0.6">
      <c r="A260" s="8"/>
      <c r="B260" s="126" t="s">
        <v>160</v>
      </c>
      <c r="C260" s="181"/>
      <c r="D260" s="181"/>
      <c r="E260" s="181"/>
      <c r="F260" s="181">
        <f>+F214*F240/1000000</f>
        <v>134478.30460114105</v>
      </c>
      <c r="G260" s="181"/>
      <c r="H260" s="23"/>
      <c r="I260" s="181"/>
      <c r="J260" s="181"/>
      <c r="K260" s="181"/>
      <c r="L260" s="181"/>
      <c r="O260" s="148"/>
    </row>
    <row r="261" spans="1:15" x14ac:dyDescent="0.6">
      <c r="A261" s="8"/>
      <c r="B261" s="126" t="s">
        <v>161</v>
      </c>
      <c r="C261" s="181"/>
      <c r="D261" s="181"/>
      <c r="E261" s="181"/>
      <c r="F261" s="181">
        <f>+F215*F241/1000000</f>
        <v>135923.56214899779</v>
      </c>
      <c r="G261" s="181"/>
      <c r="H261" s="23"/>
      <c r="I261" s="181"/>
      <c r="J261" s="181"/>
      <c r="K261" s="181"/>
      <c r="L261" s="181"/>
    </row>
    <row r="262" spans="1:15" x14ac:dyDescent="0.6">
      <c r="A262" s="8"/>
      <c r="C262" s="181"/>
      <c r="D262" s="181"/>
      <c r="E262" s="181"/>
      <c r="F262" s="181"/>
      <c r="G262" s="181"/>
      <c r="H262" s="23"/>
      <c r="I262" s="181"/>
      <c r="J262" s="181"/>
      <c r="K262" s="181"/>
      <c r="L262" s="181"/>
    </row>
    <row r="263" spans="1:15" x14ac:dyDescent="0.6">
      <c r="A263" s="8"/>
      <c r="B263" s="99" t="s">
        <v>111</v>
      </c>
      <c r="C263" s="181"/>
      <c r="D263" s="181"/>
      <c r="E263" s="181">
        <f>+E217*E243/1000000</f>
        <v>390.83443498502658</v>
      </c>
      <c r="F263" s="181">
        <f>+F217*F243/1000000</f>
        <v>421313.18300284597</v>
      </c>
      <c r="G263" s="181">
        <f>+G217*G243/1000000</f>
        <v>255446.17646901638</v>
      </c>
      <c r="I263" s="181">
        <f>+I217*I243/1000000</f>
        <v>5166.4654429043776</v>
      </c>
      <c r="J263" s="181"/>
      <c r="K263" s="181"/>
      <c r="L263" s="181"/>
    </row>
    <row r="264" spans="1:15" x14ac:dyDescent="0.6">
      <c r="A264" s="8"/>
      <c r="B264" s="164" t="s">
        <v>128</v>
      </c>
      <c r="C264" s="181"/>
      <c r="D264" s="181"/>
      <c r="E264" s="181">
        <f>+E218*E244/1000000</f>
        <v>4010.158060764009</v>
      </c>
      <c r="F264" s="148"/>
      <c r="G264" s="148"/>
      <c r="H264" s="181">
        <f>+H218*H244/1000000</f>
        <v>3433.6829986966709</v>
      </c>
      <c r="I264" s="148"/>
      <c r="J264" s="181"/>
      <c r="K264" s="181"/>
      <c r="L264" s="181"/>
    </row>
    <row r="265" spans="1:15" x14ac:dyDescent="0.6">
      <c r="A265" s="8"/>
      <c r="B265" s="164" t="s">
        <v>129</v>
      </c>
      <c r="C265" s="148"/>
      <c r="D265" s="148"/>
      <c r="E265" s="181">
        <f>+E219*E245/1000000</f>
        <v>5295.3421216625129</v>
      </c>
      <c r="H265" s="181">
        <f>+H219*H245/1000000</f>
        <v>3865.3965750560897</v>
      </c>
      <c r="J265" s="181"/>
      <c r="K265" s="181"/>
      <c r="L265" s="181"/>
    </row>
    <row r="266" spans="1:15" x14ac:dyDescent="0.6">
      <c r="A266" s="8"/>
      <c r="B266" s="127"/>
    </row>
    <row r="267" spans="1:15" x14ac:dyDescent="0.6">
      <c r="A267" s="8"/>
      <c r="B267" t="s">
        <v>192</v>
      </c>
    </row>
    <row r="268" spans="1:15" x14ac:dyDescent="0.6">
      <c r="A268" s="8"/>
      <c r="B268" s="127" t="s">
        <v>91</v>
      </c>
      <c r="E268" s="148">
        <f>SUM(E257:E261)</f>
        <v>4370.6615579685113</v>
      </c>
      <c r="F268" s="148">
        <f>SUM(F257:F261)</f>
        <v>270401.86675013881</v>
      </c>
      <c r="G268" s="148">
        <f>SUM(G257:G261)</f>
        <v>137444.36440333238</v>
      </c>
      <c r="H268" s="148">
        <f>SUM(H257:H261)</f>
        <v>3376.4297558356589</v>
      </c>
      <c r="I268" s="148">
        <f>SUM(I257:I261)</f>
        <v>2307.4941283925018</v>
      </c>
      <c r="J268" s="182">
        <f>SUM(E268:I268)</f>
        <v>417900.81659566791</v>
      </c>
      <c r="K268" s="182"/>
    </row>
    <row r="269" spans="1:15" x14ac:dyDescent="0.6">
      <c r="A269" s="8"/>
      <c r="B269" s="127" t="s">
        <v>88</v>
      </c>
      <c r="E269" s="148">
        <f>SUM(E263:E265)</f>
        <v>9696.3346174115486</v>
      </c>
      <c r="F269" s="148">
        <f>SUM(F263:F265)</f>
        <v>421313.18300284597</v>
      </c>
      <c r="G269" s="148">
        <f>SUM(G263:G265)</f>
        <v>255446.17646901638</v>
      </c>
      <c r="H269" s="148">
        <f>SUM(H263:H265)</f>
        <v>7299.0795737527606</v>
      </c>
      <c r="I269" s="148">
        <f>SUM(I263:I265)</f>
        <v>5166.4654429043776</v>
      </c>
      <c r="J269" s="182">
        <f>SUM(E269:I269)</f>
        <v>698921.23910593102</v>
      </c>
      <c r="K269" s="182"/>
    </row>
    <row r="270" spans="1:15" x14ac:dyDescent="0.6">
      <c r="A270" s="8"/>
      <c r="B270" s="127" t="s">
        <v>44</v>
      </c>
      <c r="E270" s="148">
        <f>SUM(E268:E269)</f>
        <v>14066.99617538006</v>
      </c>
      <c r="F270" s="148">
        <f>SUM(F268:F269)</f>
        <v>691715.04975298478</v>
      </c>
      <c r="G270" s="148">
        <f>SUM(G268:G269)</f>
        <v>392890.54087234876</v>
      </c>
      <c r="H270" s="148">
        <f>SUM(H268:H269)</f>
        <v>10675.50932958842</v>
      </c>
      <c r="I270" s="148">
        <f>SUM(I268:I269)</f>
        <v>7473.9595712968794</v>
      </c>
      <c r="J270" s="148">
        <f>SUM(E270:I270)</f>
        <v>1116822.0557015988</v>
      </c>
      <c r="K270" s="148"/>
    </row>
    <row r="271" spans="1:15" x14ac:dyDescent="0.6">
      <c r="A271" s="8"/>
    </row>
    <row r="272" spans="1:15" x14ac:dyDescent="0.6">
      <c r="A272" s="8"/>
      <c r="B272" t="s">
        <v>193</v>
      </c>
    </row>
    <row r="273" spans="1:14" x14ac:dyDescent="0.6">
      <c r="A273" s="8"/>
      <c r="B273" s="127" t="s">
        <v>91</v>
      </c>
      <c r="E273" s="183">
        <f t="shared" ref="E273:J273" si="20">+E268/E270</f>
        <v>0.31070325913772601</v>
      </c>
      <c r="F273" s="183">
        <f t="shared" si="20"/>
        <v>0.39091511287299707</v>
      </c>
      <c r="G273" s="183">
        <f t="shared" si="20"/>
        <v>0.34982864208988029</v>
      </c>
      <c r="H273" s="183">
        <f t="shared" si="20"/>
        <v>0.31627809517972971</v>
      </c>
      <c r="I273" s="183">
        <f t="shared" si="20"/>
        <v>0.30873783921099079</v>
      </c>
      <c r="J273" s="183">
        <f t="shared" si="20"/>
        <v>0.37418746743243575</v>
      </c>
      <c r="K273" s="183"/>
    </row>
    <row r="274" spans="1:14" x14ac:dyDescent="0.6">
      <c r="A274" s="8"/>
      <c r="B274" s="127" t="s">
        <v>88</v>
      </c>
      <c r="E274" s="183">
        <f t="shared" ref="E274:J274" si="21">+E269/E270</f>
        <v>0.68929674086227399</v>
      </c>
      <c r="F274" s="183">
        <f t="shared" si="21"/>
        <v>0.60908488712700293</v>
      </c>
      <c r="G274" s="183">
        <f t="shared" si="21"/>
        <v>0.65017135791011971</v>
      </c>
      <c r="H274" s="183">
        <f t="shared" si="21"/>
        <v>0.68372190482027029</v>
      </c>
      <c r="I274" s="183">
        <f t="shared" si="21"/>
        <v>0.69126216078900915</v>
      </c>
      <c r="J274" s="183">
        <f t="shared" si="21"/>
        <v>0.62581253256756442</v>
      </c>
      <c r="K274" s="183"/>
    </row>
    <row r="275" spans="1:14" x14ac:dyDescent="0.6">
      <c r="A275" s="8"/>
      <c r="B275" s="127"/>
      <c r="E275" s="183"/>
      <c r="F275" s="183"/>
      <c r="G275" s="183"/>
      <c r="H275" s="183"/>
      <c r="I275" s="183"/>
      <c r="J275" s="183"/>
      <c r="K275" s="183"/>
    </row>
    <row r="276" spans="1:14" ht="15.5" x14ac:dyDescent="0.7">
      <c r="A276" s="8"/>
      <c r="B276" s="340" t="str">
        <f>$B$1</f>
        <v xml:space="preserve">Jersey Central Power &amp; Light </v>
      </c>
      <c r="C276" s="340"/>
      <c r="D276" s="340"/>
      <c r="E276" s="340"/>
      <c r="F276" s="340"/>
      <c r="G276" s="340"/>
      <c r="H276" s="340"/>
      <c r="I276" s="340"/>
      <c r="J276" s="340"/>
      <c r="K276" s="340"/>
      <c r="L276" s="340"/>
    </row>
    <row r="277" spans="1:14" ht="15.5" x14ac:dyDescent="0.7">
      <c r="A277" s="8"/>
      <c r="B277" s="340" t="str">
        <f>$B$2</f>
        <v>Attachment 2</v>
      </c>
      <c r="C277" s="340"/>
      <c r="D277" s="340"/>
      <c r="E277" s="340"/>
      <c r="F277" s="340"/>
      <c r="G277" s="340"/>
      <c r="H277" s="340"/>
      <c r="I277" s="340"/>
      <c r="J277" s="340"/>
      <c r="K277" s="340"/>
      <c r="L277" s="340"/>
    </row>
    <row r="280" spans="1:14" x14ac:dyDescent="0.6">
      <c r="A280" s="6" t="s">
        <v>287</v>
      </c>
      <c r="C280" s="4" t="s">
        <v>288</v>
      </c>
    </row>
    <row r="282" spans="1:14" x14ac:dyDescent="0.6">
      <c r="A282"/>
    </row>
    <row r="283" spans="1:14" x14ac:dyDescent="0.6">
      <c r="A283"/>
    </row>
    <row r="284" spans="1:14" x14ac:dyDescent="0.6">
      <c r="A284" s="6" t="s">
        <v>289</v>
      </c>
      <c r="B284" s="4" t="s">
        <v>290</v>
      </c>
      <c r="G284" s="148"/>
    </row>
    <row r="285" spans="1:14" x14ac:dyDescent="0.6">
      <c r="A285" s="8"/>
      <c r="C285" s="66"/>
      <c r="D285" s="66"/>
    </row>
    <row r="286" spans="1:14" x14ac:dyDescent="0.6">
      <c r="A286" s="8"/>
      <c r="B286" s="4" t="s">
        <v>291</v>
      </c>
      <c r="C286" s="66"/>
      <c r="D286" s="66"/>
    </row>
    <row r="287" spans="1:14" x14ac:dyDescent="0.6">
      <c r="A287" s="8"/>
      <c r="B287" s="126" t="s">
        <v>197</v>
      </c>
      <c r="C287" s="23">
        <f>(+SUMPRODUCT(C221:I221,C72:I72))/1000</f>
        <v>1116822.1637929855</v>
      </c>
    </row>
    <row r="288" spans="1:14" x14ac:dyDescent="0.6">
      <c r="A288" s="8"/>
      <c r="C288" s="126" t="s">
        <v>292</v>
      </c>
      <c r="D288" s="66">
        <f>+C287/SUMPRODUCT(E72:I72,E95:I95)*1000</f>
        <v>64.615199276339723</v>
      </c>
      <c r="E288" t="s">
        <v>293</v>
      </c>
      <c r="M288" s="254" t="s">
        <v>294</v>
      </c>
      <c r="N288" s="255">
        <f>C287/SUMPRODUCT(E72:I72,E98:I98)*1000</f>
        <v>65.231569698174681</v>
      </c>
    </row>
    <row r="289" spans="1:21" x14ac:dyDescent="0.6">
      <c r="A289" s="8"/>
      <c r="O289" s="254" t="s">
        <v>295</v>
      </c>
      <c r="P289" s="254"/>
      <c r="Q289" s="254"/>
      <c r="R289" s="254"/>
    </row>
    <row r="290" spans="1:21" x14ac:dyDescent="0.6">
      <c r="A290" s="8"/>
      <c r="C290" s="126"/>
      <c r="D290" s="49"/>
      <c r="I290" t="s">
        <v>3</v>
      </c>
    </row>
    <row r="291" spans="1:21" x14ac:dyDescent="0.6">
      <c r="A291" s="6" t="s">
        <v>296</v>
      </c>
      <c r="B291" s="4" t="s">
        <v>297</v>
      </c>
      <c r="C291" s="126"/>
      <c r="D291" s="101"/>
    </row>
    <row r="292" spans="1:21" x14ac:dyDescent="0.6">
      <c r="A292" s="8"/>
    </row>
    <row r="293" spans="1:21" x14ac:dyDescent="0.6">
      <c r="A293" s="8"/>
      <c r="B293" t="s">
        <v>298</v>
      </c>
      <c r="G293" s="50" t="s">
        <v>299</v>
      </c>
      <c r="H293" s="19"/>
      <c r="I293" s="19"/>
      <c r="J293" s="19"/>
      <c r="K293" s="19"/>
      <c r="M293" t="s">
        <v>300</v>
      </c>
    </row>
    <row r="294" spans="1:21" x14ac:dyDescent="0.6">
      <c r="A294" s="8"/>
      <c r="B294" s="127" t="s">
        <v>91</v>
      </c>
      <c r="C294" s="49">
        <f>+J268/SUMPRODUCT(Q64:U64,E$95:I$95)*1000</f>
        <v>61.106870213980464</v>
      </c>
      <c r="D294" t="s">
        <v>214</v>
      </c>
      <c r="H294" s="11" t="s">
        <v>91</v>
      </c>
      <c r="I294" s="51">
        <f>ROUND(C294/$D$288,4)</f>
        <v>0.94569999999999999</v>
      </c>
      <c r="M294" s="256" t="s">
        <v>91</v>
      </c>
      <c r="N294" s="257">
        <f>J268/SUMPRODUCT(Q64:U64,E$98:I$98)*1000</f>
        <v>61.689774357163941</v>
      </c>
      <c r="R294" s="50" t="s">
        <v>299</v>
      </c>
      <c r="S294" s="19"/>
      <c r="T294" s="19"/>
      <c r="U294" s="19"/>
    </row>
    <row r="295" spans="1:21" x14ac:dyDescent="0.6">
      <c r="A295" s="8"/>
      <c r="B295" s="127" t="s">
        <v>88</v>
      </c>
      <c r="C295" s="49">
        <f>+J269/SUMPRODUCT(Q60:U60,E$95:I$95)*1000</f>
        <v>66.912186213407011</v>
      </c>
      <c r="D295" t="s">
        <v>214</v>
      </c>
      <c r="H295" s="11" t="s">
        <v>88</v>
      </c>
      <c r="I295" s="51">
        <f>ROUND(C295/$D$288,4)</f>
        <v>1.0355000000000001</v>
      </c>
      <c r="M295" s="256" t="s">
        <v>88</v>
      </c>
      <c r="N295" s="257">
        <f>J269/SUMPRODUCT(Q60:U60,E$98:I$98)*1000</f>
        <v>67.550467808204445</v>
      </c>
      <c r="O295" s="198" t="s">
        <v>301</v>
      </c>
      <c r="P295" s="198"/>
      <c r="Q295" s="52"/>
      <c r="S295" s="53" t="s">
        <v>91</v>
      </c>
      <c r="T295" s="54">
        <f>ROUND(N294/N288,4)</f>
        <v>0.94569999999999999</v>
      </c>
    </row>
    <row r="296" spans="1:21" x14ac:dyDescent="0.6">
      <c r="A296" s="8"/>
      <c r="O296" s="198" t="s">
        <v>301</v>
      </c>
      <c r="P296" s="198"/>
      <c r="Q296" s="52"/>
      <c r="S296" s="53" t="s">
        <v>88</v>
      </c>
      <c r="T296" s="54">
        <f>ROUND(N295/N288,4)</f>
        <v>1.0355000000000001</v>
      </c>
    </row>
    <row r="297" spans="1:21" x14ac:dyDescent="0.6">
      <c r="A297" s="8"/>
      <c r="G297" s="50" t="s">
        <v>302</v>
      </c>
    </row>
    <row r="298" spans="1:21" x14ac:dyDescent="0.6">
      <c r="A298" s="8"/>
      <c r="E298" s="196"/>
      <c r="F298" s="122"/>
      <c r="H298" s="11" t="s">
        <v>91</v>
      </c>
      <c r="I298" s="55">
        <f>IF(I295&gt;I294,1,I294)</f>
        <v>1</v>
      </c>
    </row>
    <row r="299" spans="1:21" x14ac:dyDescent="0.6">
      <c r="A299" s="4" t="s">
        <v>215</v>
      </c>
      <c r="E299" s="33"/>
      <c r="F299" s="34"/>
      <c r="H299" s="11" t="s">
        <v>88</v>
      </c>
      <c r="I299" s="55">
        <f>IF(I295&gt;I294,1,I295)</f>
        <v>1</v>
      </c>
    </row>
    <row r="300" spans="1:21" x14ac:dyDescent="0.6">
      <c r="A300" s="8"/>
      <c r="B300" s="126" t="s">
        <v>216</v>
      </c>
      <c r="C300" s="191">
        <f>D173</f>
        <v>54.5</v>
      </c>
      <c r="D300" s="171" t="s">
        <v>217</v>
      </c>
      <c r="E300" s="33"/>
      <c r="F300" s="34"/>
    </row>
    <row r="301" spans="1:21" x14ac:dyDescent="0.6">
      <c r="A301" s="8"/>
      <c r="B301" s="126"/>
      <c r="C301" s="191">
        <f>D174</f>
        <v>54.5</v>
      </c>
      <c r="D301" s="171" t="s">
        <v>218</v>
      </c>
      <c r="E301" s="33"/>
      <c r="F301" s="34"/>
    </row>
    <row r="302" spans="1:21" x14ac:dyDescent="0.6">
      <c r="A302" s="8"/>
      <c r="B302" s="126" t="s">
        <v>219</v>
      </c>
      <c r="C302" s="148" t="s">
        <v>220</v>
      </c>
      <c r="D302" s="171"/>
      <c r="E302" s="33"/>
      <c r="F302" s="34"/>
    </row>
    <row r="303" spans="1:21" x14ac:dyDescent="0.6">
      <c r="A303" s="8"/>
      <c r="B303" s="126" t="s">
        <v>221</v>
      </c>
      <c r="C303" s="44">
        <f>+H168</f>
        <v>4</v>
      </c>
      <c r="D303" t="s">
        <v>222</v>
      </c>
      <c r="E303" s="33"/>
      <c r="F303" s="34"/>
    </row>
    <row r="304" spans="1:21" x14ac:dyDescent="0.6">
      <c r="A304" s="8"/>
      <c r="B304" s="126"/>
      <c r="C304" s="44">
        <f>+H169</f>
        <v>8</v>
      </c>
      <c r="D304" t="s">
        <v>223</v>
      </c>
      <c r="E304" s="33"/>
      <c r="F304" s="34"/>
    </row>
    <row r="305" spans="1:13" x14ac:dyDescent="0.6">
      <c r="A305" s="8"/>
      <c r="B305" s="126" t="s">
        <v>303</v>
      </c>
      <c r="C305" s="191">
        <f>+F187</f>
        <v>19.22</v>
      </c>
      <c r="D305" t="s">
        <v>225</v>
      </c>
      <c r="E305" s="33"/>
      <c r="F305" s="34"/>
    </row>
    <row r="306" spans="1:13" x14ac:dyDescent="0.6">
      <c r="A306" s="8"/>
      <c r="B306" s="126" t="s">
        <v>226</v>
      </c>
      <c r="C306" t="s">
        <v>400</v>
      </c>
      <c r="E306" s="33"/>
      <c r="F306" s="34"/>
      <c r="M306" t="s">
        <v>3</v>
      </c>
    </row>
    <row r="307" spans="1:13" x14ac:dyDescent="0.6">
      <c r="A307" s="8"/>
      <c r="B307" s="126" t="s">
        <v>228</v>
      </c>
      <c r="C307" s="96" t="s">
        <v>401</v>
      </c>
      <c r="E307" s="33"/>
      <c r="F307" s="34"/>
    </row>
    <row r="308" spans="1:13" x14ac:dyDescent="0.6">
      <c r="A308" s="8"/>
      <c r="B308" s="126"/>
      <c r="C308" s="96" t="s">
        <v>402</v>
      </c>
      <c r="E308" s="33"/>
      <c r="F308" s="34"/>
    </row>
    <row r="309" spans="1:13" x14ac:dyDescent="0.6">
      <c r="A309" s="8"/>
      <c r="B309" s="126" t="s">
        <v>229</v>
      </c>
      <c r="C309" t="s">
        <v>403</v>
      </c>
      <c r="E309" s="33"/>
      <c r="F309" s="34"/>
    </row>
    <row r="310" spans="1:13" x14ac:dyDescent="0.6">
      <c r="A310" s="8"/>
      <c r="B310" s="126" t="s">
        <v>304</v>
      </c>
      <c r="C310" t="s">
        <v>305</v>
      </c>
      <c r="E310" s="33"/>
      <c r="F310" s="34"/>
    </row>
    <row r="311" spans="1:13" x14ac:dyDescent="0.6">
      <c r="A311" s="8"/>
      <c r="B311" s="126" t="s">
        <v>306</v>
      </c>
      <c r="C311" t="s">
        <v>307</v>
      </c>
      <c r="E311" s="33"/>
      <c r="F311" s="34"/>
    </row>
    <row r="312" spans="1:13" x14ac:dyDescent="0.6">
      <c r="A312" s="8"/>
      <c r="B312" s="126" t="s">
        <v>232</v>
      </c>
      <c r="C312" t="s">
        <v>233</v>
      </c>
      <c r="E312" s="192"/>
      <c r="F312" s="34"/>
    </row>
    <row r="313" spans="1:13" x14ac:dyDescent="0.6">
      <c r="C313" t="s">
        <v>234</v>
      </c>
      <c r="E313" s="33"/>
      <c r="F313" s="34"/>
    </row>
    <row r="314" spans="1:13" x14ac:dyDescent="0.6">
      <c r="B314" s="126" t="s">
        <v>235</v>
      </c>
      <c r="C314" s="193" t="s">
        <v>236</v>
      </c>
      <c r="E314" s="33"/>
      <c r="F314" s="34"/>
    </row>
    <row r="315" spans="1:13" x14ac:dyDescent="0.6">
      <c r="A315" s="8"/>
      <c r="C315" s="193" t="s">
        <v>237</v>
      </c>
      <c r="E315" s="194"/>
    </row>
    <row r="316" spans="1:13" x14ac:dyDescent="0.6">
      <c r="C316" s="193" t="s">
        <v>238</v>
      </c>
    </row>
    <row r="317" spans="1:13" x14ac:dyDescent="0.6">
      <c r="A317" s="8"/>
      <c r="B317" s="126" t="s">
        <v>239</v>
      </c>
      <c r="C317" s="195" t="s">
        <v>240</v>
      </c>
      <c r="E317" s="196"/>
      <c r="F317" s="122"/>
    </row>
    <row r="318" spans="1:13" x14ac:dyDescent="0.6">
      <c r="A318" s="8"/>
      <c r="B318" t="s">
        <v>3</v>
      </c>
      <c r="C318" s="197"/>
      <c r="E318" s="196"/>
      <c r="F318" s="196"/>
    </row>
  </sheetData>
  <mergeCells count="17">
    <mergeCell ref="M30:N30"/>
    <mergeCell ref="B52:L52"/>
    <mergeCell ref="B200:L200"/>
    <mergeCell ref="B1:L1"/>
    <mergeCell ref="B2:L2"/>
    <mergeCell ref="B3:L3"/>
    <mergeCell ref="B5:L5"/>
    <mergeCell ref="B53:L53"/>
    <mergeCell ref="B103:L103"/>
    <mergeCell ref="B104:L104"/>
    <mergeCell ref="B143:L143"/>
    <mergeCell ref="B144:L144"/>
    <mergeCell ref="B201:L201"/>
    <mergeCell ref="B230:L230"/>
    <mergeCell ref="B231:L231"/>
    <mergeCell ref="B276:L276"/>
    <mergeCell ref="B277:L277"/>
  </mergeCells>
  <pageMargins left="0.7" right="0.7" top="0.75" bottom="0.75" header="0.3" footer="0.3"/>
  <pageSetup scale="65" fitToHeight="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198" max="9" man="1"/>
    <brk id="229" max="9" man="1"/>
    <brk id="275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7D9D-3EFF-4CB2-866F-8C7B801F846F}">
  <dimension ref="A1:AF184"/>
  <sheetViews>
    <sheetView view="pageBreakPreview" zoomScale="80" zoomScaleNormal="88" zoomScaleSheetLayoutView="80" workbookViewId="0"/>
  </sheetViews>
  <sheetFormatPr defaultColWidth="9.08984375" defaultRowHeight="13" x14ac:dyDescent="0.6"/>
  <cols>
    <col min="1" max="1" width="16.08984375" style="96" customWidth="1"/>
    <col min="2" max="2" width="31.6328125" customWidth="1"/>
    <col min="3" max="3" width="11.90625" customWidth="1"/>
    <col min="4" max="4" width="9.54296875" customWidth="1"/>
    <col min="5" max="5" width="14.453125" customWidth="1"/>
    <col min="6" max="6" width="15" customWidth="1"/>
    <col min="7" max="7" width="15.1796875" customWidth="1"/>
    <col min="8" max="9" width="14.08984375" customWidth="1"/>
    <col min="10" max="10" width="16.7265625" customWidth="1"/>
    <col min="11" max="11" width="3.08984375" customWidth="1"/>
    <col min="12" max="12" width="5.54296875" customWidth="1"/>
    <col min="13" max="14" width="4.54296875" customWidth="1"/>
    <col min="15" max="15" width="20.1796875" hidden="1" customWidth="1"/>
    <col min="16" max="16" width="21.453125" hidden="1" customWidth="1"/>
    <col min="17" max="17" width="18.26953125" hidden="1" customWidth="1"/>
    <col min="18" max="19" width="13.6328125" hidden="1" customWidth="1"/>
    <col min="20" max="20" width="14.1796875" hidden="1" customWidth="1"/>
    <col min="21" max="21" width="14.08984375" hidden="1" customWidth="1"/>
    <col min="22" max="22" width="13.6328125" hidden="1" customWidth="1"/>
    <col min="23" max="23" width="14.90625" hidden="1" customWidth="1"/>
    <col min="24" max="24" width="17.90625" hidden="1" customWidth="1"/>
    <col min="25" max="25" width="16.453125" hidden="1" customWidth="1"/>
    <col min="26" max="26" width="14.08984375" customWidth="1"/>
    <col min="27" max="27" width="13.6328125" customWidth="1"/>
    <col min="28" max="28" width="13.54296875" customWidth="1"/>
    <col min="29" max="29" width="13.6328125" customWidth="1"/>
    <col min="30" max="30" width="17.54296875" customWidth="1"/>
    <col min="31" max="31" width="16.6328125" customWidth="1"/>
    <col min="32" max="32" width="14.453125" customWidth="1"/>
  </cols>
  <sheetData>
    <row r="1" spans="1:16" ht="15.5" x14ac:dyDescent="0.7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1:16" ht="15.5" x14ac:dyDescent="0.7">
      <c r="B2" s="340" t="s">
        <v>1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16" ht="15.5" x14ac:dyDescent="0.7">
      <c r="B3" s="340" t="str">
        <f>'BGS PTY22 Cost Alloc'!$B$3</f>
        <v>2024 BGS Auction Cost and Bid Factor Tables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1:16" ht="15.5" x14ac:dyDescent="0.7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15.5" x14ac:dyDescent="0.7">
      <c r="B5" s="340" t="s">
        <v>308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</row>
    <row r="6" spans="1:16" x14ac:dyDescent="0.6">
      <c r="N6" s="97" t="s">
        <v>3</v>
      </c>
    </row>
    <row r="7" spans="1:16" x14ac:dyDescent="0.6">
      <c r="A7" s="6" t="s">
        <v>309</v>
      </c>
      <c r="B7" s="4" t="s">
        <v>310</v>
      </c>
      <c r="C7" s="98"/>
      <c r="E7" s="30" t="s">
        <v>311</v>
      </c>
      <c r="F7" s="258">
        <v>18</v>
      </c>
      <c r="G7" s="4"/>
      <c r="P7" s="259" t="s">
        <v>3</v>
      </c>
    </row>
    <row r="8" spans="1:16" ht="14.25" customHeight="1" x14ac:dyDescent="0.6">
      <c r="A8" s="8"/>
      <c r="B8" t="s">
        <v>312</v>
      </c>
      <c r="C8" s="9"/>
      <c r="D8" s="9"/>
      <c r="M8" s="9"/>
      <c r="N8" s="9"/>
    </row>
    <row r="9" spans="1:16" x14ac:dyDescent="0.6">
      <c r="A9" s="8"/>
    </row>
    <row r="10" spans="1:16" x14ac:dyDescent="0.6">
      <c r="A10" s="8"/>
      <c r="B10" t="s">
        <v>191</v>
      </c>
      <c r="E10" s="11" t="s">
        <v>13</v>
      </c>
      <c r="F10" s="11" t="s">
        <v>14</v>
      </c>
      <c r="G10" s="11" t="s">
        <v>15</v>
      </c>
      <c r="H10" s="11" t="s">
        <v>46</v>
      </c>
      <c r="I10" s="11" t="s">
        <v>17</v>
      </c>
      <c r="M10" s="100"/>
      <c r="N10" s="100"/>
    </row>
    <row r="11" spans="1:16" x14ac:dyDescent="0.6">
      <c r="A11" s="8"/>
      <c r="B11" s="99" t="s">
        <v>108</v>
      </c>
      <c r="C11" s="181"/>
      <c r="D11" s="181"/>
      <c r="E11" s="181">
        <f>'BGS PTY20 Cost Alloc'!E265</f>
        <v>176.81740384077457</v>
      </c>
      <c r="F11" s="181"/>
      <c r="G11" s="181">
        <f>'BGS PTY20 Cost Alloc'!G265</f>
        <v>166017.67272419052</v>
      </c>
      <c r="H11" s="23"/>
      <c r="I11" s="181">
        <f>'BGS PTY20 Cost Alloc'!I265</f>
        <v>2656.5262349490417</v>
      </c>
      <c r="J11" s="181"/>
      <c r="K11" s="181"/>
      <c r="L11" s="181"/>
      <c r="M11" s="100"/>
      <c r="N11" s="100"/>
    </row>
    <row r="12" spans="1:16" x14ac:dyDescent="0.6">
      <c r="A12" s="8"/>
      <c r="B12" s="164" t="s">
        <v>128</v>
      </c>
      <c r="C12" s="181"/>
      <c r="D12" s="181"/>
      <c r="E12" s="181">
        <f>'BGS PTY20 Cost Alloc'!E266</f>
        <v>2798.0875786875658</v>
      </c>
      <c r="F12" s="181"/>
      <c r="G12" s="181"/>
      <c r="H12" s="181">
        <f>'BGS PTY20 Cost Alloc'!H266</f>
        <v>2240.7581197259769</v>
      </c>
      <c r="I12" s="181"/>
      <c r="J12" s="181"/>
      <c r="K12" s="181"/>
      <c r="L12" s="181"/>
      <c r="M12" s="100"/>
      <c r="N12" s="100"/>
    </row>
    <row r="13" spans="1:16" x14ac:dyDescent="0.6">
      <c r="A13" s="8"/>
      <c r="B13" s="164" t="s">
        <v>129</v>
      </c>
      <c r="C13" s="181"/>
      <c r="D13" s="181"/>
      <c r="E13" s="181">
        <f>'BGS PTY20 Cost Alloc'!E267</f>
        <v>2320.1909561997254</v>
      </c>
      <c r="F13" s="181"/>
      <c r="G13" s="181"/>
      <c r="H13" s="181">
        <f>'BGS PTY20 Cost Alloc'!H267</f>
        <v>1793.8980246614399</v>
      </c>
      <c r="I13" s="181"/>
      <c r="J13" s="181"/>
      <c r="K13" s="181"/>
      <c r="L13" s="181"/>
      <c r="M13" s="100"/>
      <c r="N13" s="100"/>
    </row>
    <row r="14" spans="1:16" x14ac:dyDescent="0.6">
      <c r="A14" s="8"/>
      <c r="B14" s="126" t="s">
        <v>160</v>
      </c>
      <c r="C14" s="181"/>
      <c r="D14" s="181"/>
      <c r="E14" s="181"/>
      <c r="F14" s="181">
        <f>'BGS PTY20 Cost Alloc'!F268</f>
        <v>165438.56483076303</v>
      </c>
      <c r="G14" s="181"/>
      <c r="H14" s="23"/>
      <c r="I14" s="181"/>
      <c r="J14" s="181"/>
      <c r="K14" s="181"/>
      <c r="L14" s="181"/>
      <c r="M14" s="100"/>
      <c r="N14" s="100"/>
    </row>
    <row r="15" spans="1:16" x14ac:dyDescent="0.6">
      <c r="A15" s="8"/>
      <c r="B15" s="126" t="s">
        <v>161</v>
      </c>
      <c r="C15" s="181"/>
      <c r="D15" s="181"/>
      <c r="E15" s="181"/>
      <c r="F15" s="181">
        <f>'BGS PTY20 Cost Alloc'!F269</f>
        <v>163521.29778667827</v>
      </c>
      <c r="G15" s="181"/>
      <c r="H15" s="23"/>
      <c r="I15" s="181"/>
      <c r="J15" s="181"/>
      <c r="K15" s="181"/>
      <c r="L15" s="181"/>
      <c r="M15" s="100"/>
      <c r="N15" s="100"/>
    </row>
    <row r="16" spans="1:16" x14ac:dyDescent="0.6">
      <c r="A16" s="8"/>
      <c r="C16" s="181"/>
      <c r="D16" s="181"/>
      <c r="E16" s="181"/>
      <c r="F16" s="181"/>
      <c r="G16" s="181"/>
      <c r="H16" s="23"/>
      <c r="I16" s="181"/>
      <c r="J16" s="181"/>
      <c r="K16" s="181"/>
      <c r="L16" s="181"/>
      <c r="M16" s="100"/>
      <c r="N16" s="100"/>
    </row>
    <row r="17" spans="1:16" x14ac:dyDescent="0.6">
      <c r="A17" s="8"/>
      <c r="B17" s="99" t="s">
        <v>111</v>
      </c>
      <c r="C17" s="181"/>
      <c r="D17" s="181"/>
      <c r="E17" s="181">
        <f>'BGS PTY20 Cost Alloc'!E271</f>
        <v>421.04630956540473</v>
      </c>
      <c r="F17" s="181">
        <f>'BGS PTY20 Cost Alloc'!F271</f>
        <v>471837.37466316251</v>
      </c>
      <c r="G17" s="181">
        <f>'BGS PTY20 Cost Alloc'!G271</f>
        <v>278981.88883659046</v>
      </c>
      <c r="I17" s="181">
        <f>'BGS PTY20 Cost Alloc'!I271</f>
        <v>5246.77203348684</v>
      </c>
      <c r="J17" s="181"/>
      <c r="K17" s="181"/>
      <c r="L17" s="181"/>
      <c r="M17" s="100"/>
      <c r="N17" s="100"/>
    </row>
    <row r="18" spans="1:16" x14ac:dyDescent="0.6">
      <c r="A18" s="8"/>
      <c r="B18" s="164" t="s">
        <v>128</v>
      </c>
      <c r="C18" s="181"/>
      <c r="D18" s="181"/>
      <c r="E18" s="181">
        <f>'BGS PTY20 Cost Alloc'!E272</f>
        <v>4660.7432090283892</v>
      </c>
      <c r="F18" s="148"/>
      <c r="G18" s="148"/>
      <c r="H18" s="181">
        <f>'BGS PTY20 Cost Alloc'!H272</f>
        <v>3941.947110259177</v>
      </c>
      <c r="I18" s="148"/>
      <c r="J18" s="181"/>
      <c r="K18" s="181"/>
      <c r="L18" s="181"/>
      <c r="M18" s="100"/>
      <c r="N18" s="100"/>
    </row>
    <row r="19" spans="1:16" x14ac:dyDescent="0.6">
      <c r="A19" s="8"/>
      <c r="B19" s="164" t="s">
        <v>129</v>
      </c>
      <c r="C19" s="148"/>
      <c r="D19" s="148"/>
      <c r="E19" s="181">
        <f>'BGS PTY20 Cost Alloc'!E273</f>
        <v>5364.021220069304</v>
      </c>
      <c r="H19" s="181">
        <f>'BGS PTY20 Cost Alloc'!H273</f>
        <v>3859.0205336540903</v>
      </c>
      <c r="J19" s="181"/>
      <c r="K19" s="181"/>
      <c r="L19" s="181"/>
      <c r="M19" s="100"/>
      <c r="N19" s="100"/>
    </row>
    <row r="20" spans="1:16" x14ac:dyDescent="0.6">
      <c r="A20" s="8"/>
      <c r="B20" s="127"/>
      <c r="M20" s="100"/>
      <c r="N20" s="100"/>
    </row>
    <row r="21" spans="1:16" x14ac:dyDescent="0.6">
      <c r="A21" s="8"/>
      <c r="B21" t="s">
        <v>192</v>
      </c>
      <c r="M21" s="100"/>
      <c r="N21" s="100"/>
    </row>
    <row r="22" spans="1:16" x14ac:dyDescent="0.6">
      <c r="A22" s="8"/>
      <c r="B22" s="127" t="s">
        <v>91</v>
      </c>
      <c r="E22" s="148">
        <f>SUM(E11:E15)</f>
        <v>5295.0959387280654</v>
      </c>
      <c r="F22" s="148">
        <f>SUM(F11:F15)</f>
        <v>328959.86261744134</v>
      </c>
      <c r="G22" s="148">
        <f>SUM(G11:G15)</f>
        <v>166017.67272419052</v>
      </c>
      <c r="H22" s="148">
        <f>SUM(H11:H15)</f>
        <v>4034.656144387417</v>
      </c>
      <c r="I22" s="148">
        <f>SUM(I11:I15)</f>
        <v>2656.5262349490417</v>
      </c>
      <c r="J22" s="182">
        <f>SUM(E22:I22)</f>
        <v>506963.81365969643</v>
      </c>
      <c r="K22" s="182"/>
      <c r="L22" s="182"/>
      <c r="M22" s="101"/>
      <c r="N22" s="101"/>
    </row>
    <row r="23" spans="1:16" x14ac:dyDescent="0.6">
      <c r="A23" s="8"/>
      <c r="B23" s="127" t="s">
        <v>88</v>
      </c>
      <c r="E23" s="148">
        <f>SUM(E17:E19)</f>
        <v>10445.810738663098</v>
      </c>
      <c r="F23" s="148">
        <f>SUM(F17:F19)</f>
        <v>471837.37466316251</v>
      </c>
      <c r="G23" s="148">
        <f>SUM(G17:G19)</f>
        <v>278981.88883659046</v>
      </c>
      <c r="H23" s="148">
        <f>SUM(H17:H19)</f>
        <v>7800.9676439132672</v>
      </c>
      <c r="I23" s="148">
        <f>SUM(I17:I19)</f>
        <v>5246.77203348684</v>
      </c>
      <c r="J23" s="182">
        <f>SUM(E23:I23)</f>
        <v>774312.81391581614</v>
      </c>
      <c r="K23" s="182"/>
      <c r="L23" s="182"/>
      <c r="M23" s="101"/>
      <c r="N23" s="101"/>
    </row>
    <row r="24" spans="1:16" x14ac:dyDescent="0.6">
      <c r="A24" s="6"/>
      <c r="B24" s="127" t="s">
        <v>44</v>
      </c>
      <c r="E24" s="148">
        <f>SUM(E22:E23)</f>
        <v>15740.906677391164</v>
      </c>
      <c r="F24" s="148">
        <f>SUM(F22:F23)</f>
        <v>800797.23728060385</v>
      </c>
      <c r="G24" s="148">
        <f>SUM(G22:G23)</f>
        <v>444999.56156078097</v>
      </c>
      <c r="H24" s="148">
        <f>SUM(H22:H23)</f>
        <v>11835.623788300683</v>
      </c>
      <c r="I24" s="148">
        <f>SUM(I22:I23)</f>
        <v>7903.2982684358813</v>
      </c>
      <c r="J24" s="148">
        <f>SUM(E24:I24)</f>
        <v>1281276.6275755127</v>
      </c>
      <c r="K24" s="148"/>
      <c r="L24" s="148"/>
      <c r="M24" s="101"/>
      <c r="N24" s="101"/>
    </row>
    <row r="25" spans="1:16" x14ac:dyDescent="0.6">
      <c r="A25" s="8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6" x14ac:dyDescent="0.6">
      <c r="A26" s="8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6" x14ac:dyDescent="0.6">
      <c r="A27" s="8"/>
    </row>
    <row r="28" spans="1:16" x14ac:dyDescent="0.6">
      <c r="A28" s="6" t="s">
        <v>313</v>
      </c>
      <c r="B28" s="4" t="s">
        <v>314</v>
      </c>
      <c r="C28" s="98"/>
      <c r="E28" s="30" t="s">
        <v>311</v>
      </c>
      <c r="F28" s="258">
        <v>15</v>
      </c>
      <c r="G28" s="4" t="s">
        <v>3</v>
      </c>
      <c r="P28" s="259" t="s">
        <v>3</v>
      </c>
    </row>
    <row r="29" spans="1:16" x14ac:dyDescent="0.6">
      <c r="A29" s="8"/>
      <c r="B29" t="s">
        <v>312</v>
      </c>
      <c r="C29" s="9"/>
      <c r="D29" s="9"/>
    </row>
    <row r="30" spans="1:16" x14ac:dyDescent="0.6">
      <c r="A30" s="8"/>
    </row>
    <row r="31" spans="1:16" x14ac:dyDescent="0.6">
      <c r="A31" s="8"/>
      <c r="B31" t="s">
        <v>191</v>
      </c>
      <c r="E31" s="11" t="s">
        <v>13</v>
      </c>
      <c r="F31" s="11" t="s">
        <v>14</v>
      </c>
      <c r="G31" s="11" t="s">
        <v>15</v>
      </c>
      <c r="H31" s="11" t="s">
        <v>46</v>
      </c>
      <c r="I31" s="11" t="s">
        <v>17</v>
      </c>
    </row>
    <row r="32" spans="1:16" x14ac:dyDescent="0.6">
      <c r="A32" s="8"/>
      <c r="B32" s="99" t="s">
        <v>108</v>
      </c>
      <c r="C32" s="181"/>
      <c r="D32" s="181"/>
      <c r="E32" s="181">
        <f>'BGS PTY21 Cost Alloc'!E262</f>
        <v>220.83355828038088</v>
      </c>
      <c r="F32" s="181"/>
      <c r="G32" s="181">
        <f>'BGS PTY21 Cost Alloc'!G262</f>
        <v>212951.43757175954</v>
      </c>
      <c r="H32" s="23"/>
      <c r="I32" s="181">
        <f>'BGS PTY21 Cost Alloc'!I262</f>
        <v>3214.3894985341913</v>
      </c>
      <c r="J32" s="181"/>
      <c r="K32" s="181"/>
      <c r="L32" s="181"/>
    </row>
    <row r="33" spans="1:12" x14ac:dyDescent="0.6">
      <c r="A33" s="8"/>
      <c r="B33" s="164" t="s">
        <v>128</v>
      </c>
      <c r="C33" s="181"/>
      <c r="D33" s="181"/>
      <c r="E33" s="181">
        <f>'BGS PTY21 Cost Alloc'!E263</f>
        <v>3861.8053079828919</v>
      </c>
      <c r="F33" s="181"/>
      <c r="G33" s="181"/>
      <c r="H33" s="181">
        <f>'BGS PTY21 Cost Alloc'!H263</f>
        <v>3231.2604258898241</v>
      </c>
      <c r="I33" s="181"/>
      <c r="J33" s="181"/>
      <c r="K33" s="181"/>
      <c r="L33" s="181"/>
    </row>
    <row r="34" spans="1:12" x14ac:dyDescent="0.6">
      <c r="A34" s="8"/>
      <c r="B34" s="164" t="s">
        <v>129</v>
      </c>
      <c r="C34" s="181"/>
      <c r="D34" s="181"/>
      <c r="E34" s="181">
        <f>'BGS PTY21 Cost Alloc'!E264</f>
        <v>2530.6297301422587</v>
      </c>
      <c r="F34" s="181"/>
      <c r="G34" s="181"/>
      <c r="H34" s="181">
        <f>'BGS PTY21 Cost Alloc'!H264</f>
        <v>1966.3819970822692</v>
      </c>
      <c r="I34" s="181"/>
      <c r="J34" s="181"/>
      <c r="K34" s="181"/>
      <c r="L34" s="181"/>
    </row>
    <row r="35" spans="1:12" x14ac:dyDescent="0.6">
      <c r="A35" s="8"/>
      <c r="B35" s="126" t="s">
        <v>160</v>
      </c>
      <c r="C35" s="181"/>
      <c r="D35" s="181"/>
      <c r="E35" s="181"/>
      <c r="F35" s="181">
        <f>'BGS PTY21 Cost Alloc'!F265</f>
        <v>207535.56761981887</v>
      </c>
      <c r="G35" s="181"/>
      <c r="H35" s="23"/>
      <c r="I35" s="181"/>
      <c r="J35" s="181"/>
      <c r="K35" s="181"/>
      <c r="L35" s="181"/>
    </row>
    <row r="36" spans="1:12" x14ac:dyDescent="0.6">
      <c r="A36" s="8"/>
      <c r="B36" s="126" t="s">
        <v>161</v>
      </c>
      <c r="C36" s="181"/>
      <c r="D36" s="181"/>
      <c r="E36" s="181"/>
      <c r="F36" s="181">
        <f>'BGS PTY21 Cost Alloc'!F266</f>
        <v>201046.23929216014</v>
      </c>
      <c r="G36" s="181"/>
      <c r="H36" s="23"/>
      <c r="I36" s="181"/>
      <c r="J36" s="181"/>
      <c r="K36" s="181"/>
      <c r="L36" s="181"/>
    </row>
    <row r="37" spans="1:12" x14ac:dyDescent="0.6">
      <c r="A37" s="8"/>
      <c r="C37" s="181"/>
      <c r="D37" s="181"/>
      <c r="E37" s="181"/>
      <c r="F37" s="181"/>
      <c r="G37" s="181"/>
      <c r="H37" s="23"/>
      <c r="I37" s="181"/>
      <c r="J37" s="181"/>
      <c r="K37" s="181"/>
      <c r="L37" s="181"/>
    </row>
    <row r="38" spans="1:12" x14ac:dyDescent="0.6">
      <c r="A38" s="8"/>
      <c r="B38" s="99" t="s">
        <v>111</v>
      </c>
      <c r="C38" s="181"/>
      <c r="D38" s="181"/>
      <c r="E38" s="181">
        <f>'BGS PTY21 Cost Alloc'!E268</f>
        <v>533.42218510632506</v>
      </c>
      <c r="F38" s="181">
        <f>'BGS PTY21 Cost Alloc'!F268</f>
        <v>579894.59635709517</v>
      </c>
      <c r="G38" s="181">
        <f>'BGS PTY21 Cost Alloc'!G268</f>
        <v>362334.70942828519</v>
      </c>
      <c r="I38" s="181">
        <f>'BGS PTY21 Cost Alloc'!I268</f>
        <v>6536.4341154478361</v>
      </c>
      <c r="J38" s="181"/>
      <c r="K38" s="181"/>
      <c r="L38" s="181"/>
    </row>
    <row r="39" spans="1:12" x14ac:dyDescent="0.6">
      <c r="A39" s="8"/>
      <c r="B39" s="164" t="s">
        <v>128</v>
      </c>
      <c r="C39" s="181"/>
      <c r="D39" s="181"/>
      <c r="E39" s="181">
        <f>'BGS PTY21 Cost Alloc'!E269</f>
        <v>6780.5058325851915</v>
      </c>
      <c r="F39" s="148"/>
      <c r="G39" s="148"/>
      <c r="H39" s="181">
        <f>'BGS PTY21 Cost Alloc'!H269</f>
        <v>5946.359419981547</v>
      </c>
      <c r="I39" s="148"/>
      <c r="J39" s="181"/>
      <c r="K39" s="181"/>
      <c r="L39" s="181"/>
    </row>
    <row r="40" spans="1:12" x14ac:dyDescent="0.6">
      <c r="A40" s="8"/>
      <c r="B40" s="164" t="s">
        <v>129</v>
      </c>
      <c r="C40" s="148"/>
      <c r="D40" s="148"/>
      <c r="E40" s="181">
        <f>'BGS PTY21 Cost Alloc'!E270</f>
        <v>5919.6814370150114</v>
      </c>
      <c r="H40" s="181">
        <f>'BGS PTY21 Cost Alloc'!H270</f>
        <v>4308.6138002091448</v>
      </c>
      <c r="J40" s="181"/>
      <c r="K40" s="181"/>
      <c r="L40" s="181"/>
    </row>
    <row r="41" spans="1:12" x14ac:dyDescent="0.6">
      <c r="A41" s="8"/>
      <c r="B41" s="127"/>
    </row>
    <row r="42" spans="1:12" x14ac:dyDescent="0.6">
      <c r="A42" s="8"/>
      <c r="B42" t="s">
        <v>192</v>
      </c>
    </row>
    <row r="43" spans="1:12" x14ac:dyDescent="0.6">
      <c r="A43" s="8"/>
      <c r="B43" s="127" t="s">
        <v>91</v>
      </c>
      <c r="E43" s="148">
        <f>SUM(E32:E36)</f>
        <v>6613.2685964055308</v>
      </c>
      <c r="F43" s="148">
        <f>SUM(F32:F36)</f>
        <v>408581.80691197899</v>
      </c>
      <c r="G43" s="148">
        <f>SUM(G32:G36)</f>
        <v>212951.43757175954</v>
      </c>
      <c r="H43" s="148">
        <f>SUM(H32:H36)</f>
        <v>5197.6424229720933</v>
      </c>
      <c r="I43" s="148">
        <f>SUM(I32:I36)</f>
        <v>3214.3894985341913</v>
      </c>
      <c r="J43" s="182">
        <f>SUM(E43:I43)</f>
        <v>636558.54500165035</v>
      </c>
      <c r="K43" s="182"/>
      <c r="L43" s="182"/>
    </row>
    <row r="44" spans="1:12" x14ac:dyDescent="0.6">
      <c r="A44" s="8"/>
      <c r="B44" s="127" t="s">
        <v>88</v>
      </c>
      <c r="E44" s="148">
        <f>SUM(E38:E40)</f>
        <v>13233.609454706528</v>
      </c>
      <c r="F44" s="148">
        <f>SUM(F38:F40)</f>
        <v>579894.59635709517</v>
      </c>
      <c r="G44" s="148">
        <f>SUM(G38:G40)</f>
        <v>362334.70942828519</v>
      </c>
      <c r="H44" s="148">
        <f>SUM(H38:H40)</f>
        <v>10254.973220190692</v>
      </c>
      <c r="I44" s="148">
        <f>SUM(I38:I40)</f>
        <v>6536.4341154478361</v>
      </c>
      <c r="J44" s="182">
        <f>SUM(E44:I44)</f>
        <v>972254.32257572538</v>
      </c>
      <c r="K44" s="182"/>
      <c r="L44" s="182"/>
    </row>
    <row r="45" spans="1:12" x14ac:dyDescent="0.6">
      <c r="A45" s="6"/>
      <c r="B45" s="127" t="s">
        <v>44</v>
      </c>
      <c r="E45" s="148">
        <f>SUM(E43:E44)</f>
        <v>19846.878051112057</v>
      </c>
      <c r="F45" s="148">
        <f>SUM(F43:F44)</f>
        <v>988476.40326907416</v>
      </c>
      <c r="G45" s="148">
        <f>SUM(G43:G44)</f>
        <v>575286.1470000447</v>
      </c>
      <c r="H45" s="148">
        <f>SUM(H43:H44)</f>
        <v>15452.615643162786</v>
      </c>
      <c r="I45" s="148">
        <f>SUM(I43:I44)</f>
        <v>9750.8236139820274</v>
      </c>
      <c r="J45" s="148">
        <f>SUM(E45:I45)</f>
        <v>1608812.8675773756</v>
      </c>
      <c r="K45" s="148"/>
      <c r="L45" s="148"/>
    </row>
    <row r="46" spans="1:12" x14ac:dyDescent="0.6">
      <c r="A46" s="6"/>
      <c r="B46" s="127"/>
      <c r="E46" s="148"/>
      <c r="F46" s="148"/>
      <c r="G46" s="148"/>
      <c r="H46" s="148"/>
      <c r="I46" s="148"/>
      <c r="J46" s="148"/>
      <c r="K46" s="148"/>
      <c r="L46" s="148"/>
    </row>
    <row r="47" spans="1:12" x14ac:dyDescent="0.6">
      <c r="A47"/>
      <c r="B47" s="114" t="str">
        <f>'BGS PTY22 Cost Alloc'!B46</f>
        <v>{1} For BGS purposes the RT rate class includes the RS and GS rate class Off-Peak (OPWH) and Controlled Water Heating (CTWH) provisions.  The RT rate class also includes the</v>
      </c>
      <c r="E47" s="148"/>
      <c r="F47" s="148"/>
      <c r="G47" s="148"/>
      <c r="H47" s="148"/>
      <c r="I47" s="148"/>
      <c r="J47" s="148"/>
      <c r="K47" s="148"/>
      <c r="L47" s="148"/>
    </row>
    <row r="48" spans="1:12" x14ac:dyDescent="0.6">
      <c r="A48"/>
      <c r="B48" s="114" t="str">
        <f>'BGS PTY22 Cost Alloc'!B47</f>
        <v xml:space="preserve">  summer billing month RGT rate class usage.  OPWH and CTWH is billed on the average RT rates, while RT and Summer RGT use is billed at on-peak and off-peak rates.</v>
      </c>
      <c r="E48" s="148"/>
      <c r="F48" s="148"/>
      <c r="G48" s="148"/>
      <c r="H48" s="148"/>
      <c r="I48" s="148"/>
      <c r="J48" s="148"/>
      <c r="K48" s="148"/>
      <c r="L48" s="148"/>
    </row>
    <row r="49" spans="1:16" x14ac:dyDescent="0.6">
      <c r="A49"/>
      <c r="B49" s="114" t="str">
        <f>'BGS PTY22 Cost Alloc'!B48</f>
        <v xml:space="preserve">{2} For BGS purposes the RS rate class excludes the Off-Peak and Controlled Water Heating provisions and includes  </v>
      </c>
      <c r="E49" s="148"/>
      <c r="F49" s="148"/>
      <c r="G49" s="148"/>
      <c r="H49" s="148"/>
      <c r="I49" s="148"/>
      <c r="J49" s="148"/>
      <c r="K49" s="148"/>
      <c r="L49" s="148"/>
    </row>
    <row r="50" spans="1:16" x14ac:dyDescent="0.6">
      <c r="A50"/>
      <c r="B50" s="114" t="str">
        <f>'BGS PTY22 Cost Alloc'!B49</f>
        <v xml:space="preserve">     the winter billing month RGT rate class usage</v>
      </c>
      <c r="E50" s="148"/>
      <c r="F50" s="148"/>
      <c r="G50" s="148"/>
      <c r="H50" s="148"/>
      <c r="I50" s="148"/>
      <c r="J50" s="148"/>
      <c r="K50" s="148"/>
      <c r="L50" s="148"/>
    </row>
    <row r="51" spans="1:16" x14ac:dyDescent="0.6">
      <c r="A51"/>
      <c r="B51" s="114" t="str">
        <f>'BGS PTY22 Cost Alloc'!B50</f>
        <v>{3} For BGS purposes the GS rate class excludes the Off-Peak and Controlled Water Heating provisions</v>
      </c>
      <c r="E51" s="148"/>
      <c r="F51" s="148"/>
      <c r="G51" s="148"/>
      <c r="H51" s="148"/>
      <c r="I51" s="148"/>
      <c r="J51" s="148"/>
      <c r="K51" s="148"/>
      <c r="L51" s="148"/>
    </row>
    <row r="52" spans="1:16" x14ac:dyDescent="0.6">
      <c r="A52" s="114"/>
      <c r="B52" s="260" t="str">
        <f>'BGS PTY22 Cost Alloc'!B101</f>
        <v>{4} The GS and GST units exclude the units associated with the 500 kW and above PLS accounts that will be required to take service under BGS-CIEP</v>
      </c>
      <c r="E52" s="148"/>
      <c r="F52" s="148"/>
      <c r="G52" s="148"/>
      <c r="H52" s="148"/>
      <c r="I52" s="148"/>
      <c r="J52" s="148"/>
      <c r="K52" s="148"/>
      <c r="L52" s="148"/>
    </row>
    <row r="53" spans="1:16" x14ac:dyDescent="0.6">
      <c r="A53"/>
      <c r="B53" s="260" t="str">
        <f>'BGS PTY22 Cost Alloc'!B102</f>
        <v xml:space="preserve"> </v>
      </c>
    </row>
    <row r="54" spans="1:16" ht="15.5" x14ac:dyDescent="0.7">
      <c r="B54" s="340" t="s">
        <v>0</v>
      </c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</row>
    <row r="55" spans="1:16" ht="15.5" x14ac:dyDescent="0.7">
      <c r="B55" s="340" t="s">
        <v>1</v>
      </c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</row>
    <row r="56" spans="1:16" ht="15.5" x14ac:dyDescent="0.7"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</row>
    <row r="57" spans="1:16" x14ac:dyDescent="0.6">
      <c r="N57" s="97" t="s">
        <v>3</v>
      </c>
    </row>
    <row r="59" spans="1:16" x14ac:dyDescent="0.6">
      <c r="E59" s="5"/>
    </row>
    <row r="60" spans="1:16" x14ac:dyDescent="0.6">
      <c r="A60" s="6" t="s">
        <v>315</v>
      </c>
      <c r="B60" s="4" t="s">
        <v>316</v>
      </c>
      <c r="C60" s="98"/>
      <c r="E60" s="30" t="s">
        <v>311</v>
      </c>
      <c r="F60" s="258">
        <v>20</v>
      </c>
      <c r="G60" t="s">
        <v>3</v>
      </c>
      <c r="P60" s="259" t="s">
        <v>3</v>
      </c>
    </row>
    <row r="61" spans="1:16" x14ac:dyDescent="0.6">
      <c r="A61" s="8"/>
      <c r="B61" t="s">
        <v>312</v>
      </c>
      <c r="C61" s="9"/>
      <c r="D61" s="9"/>
    </row>
    <row r="62" spans="1:16" x14ac:dyDescent="0.6">
      <c r="A62" s="8"/>
    </row>
    <row r="63" spans="1:16" x14ac:dyDescent="0.6">
      <c r="A63" s="8"/>
      <c r="B63" t="s">
        <v>191</v>
      </c>
      <c r="E63" s="11" t="s">
        <v>13</v>
      </c>
      <c r="F63" s="11" t="s">
        <v>14</v>
      </c>
      <c r="G63" s="11" t="s">
        <v>15</v>
      </c>
      <c r="H63" s="11" t="s">
        <v>46</v>
      </c>
      <c r="I63" s="11" t="s">
        <v>17</v>
      </c>
    </row>
    <row r="64" spans="1:16" x14ac:dyDescent="0.6">
      <c r="A64" s="8"/>
      <c r="B64" s="99" t="s">
        <v>108</v>
      </c>
      <c r="C64" s="181"/>
      <c r="D64" s="181"/>
      <c r="E64" s="181">
        <f>'BGS PTY22 Cost Alloc'!E257</f>
        <v>145.94846019702101</v>
      </c>
      <c r="F64" s="181"/>
      <c r="G64" s="181">
        <f>'BGS PTY22 Cost Alloc'!G257</f>
        <v>137444.36440333238</v>
      </c>
      <c r="H64" s="23"/>
      <c r="I64" s="181">
        <f>'BGS PTY22 Cost Alloc'!I257</f>
        <v>2307.4941283925018</v>
      </c>
      <c r="J64" s="181"/>
      <c r="K64" s="181"/>
      <c r="L64" s="181"/>
    </row>
    <row r="65" spans="1:12" x14ac:dyDescent="0.6">
      <c r="A65" s="8"/>
      <c r="B65" s="164" t="s">
        <v>128</v>
      </c>
      <c r="C65" s="181"/>
      <c r="D65" s="181"/>
      <c r="E65" s="181">
        <f>'BGS PTY22 Cost Alloc'!E258</f>
        <v>2184.8675089136627</v>
      </c>
      <c r="F65" s="181"/>
      <c r="G65" s="181"/>
      <c r="H65" s="181">
        <f>'BGS PTY22 Cost Alloc'!H258</f>
        <v>1799.9754144843312</v>
      </c>
      <c r="I65" s="181"/>
      <c r="J65" s="181"/>
      <c r="K65" s="181"/>
      <c r="L65" s="181"/>
    </row>
    <row r="66" spans="1:12" x14ac:dyDescent="0.6">
      <c r="A66" s="8"/>
      <c r="B66" s="164" t="s">
        <v>129</v>
      </c>
      <c r="C66" s="181"/>
      <c r="D66" s="181"/>
      <c r="E66" s="181">
        <f>'BGS PTY22 Cost Alloc'!E259</f>
        <v>2039.8455888578278</v>
      </c>
      <c r="F66" s="181"/>
      <c r="G66" s="181"/>
      <c r="H66" s="181">
        <f>'BGS PTY22 Cost Alloc'!H259</f>
        <v>1576.4543413513277</v>
      </c>
      <c r="I66" s="181"/>
      <c r="J66" s="181"/>
      <c r="K66" s="181"/>
      <c r="L66" s="181"/>
    </row>
    <row r="67" spans="1:12" x14ac:dyDescent="0.6">
      <c r="A67" s="8"/>
      <c r="B67" s="126" t="s">
        <v>160</v>
      </c>
      <c r="C67" s="181"/>
      <c r="D67" s="181"/>
      <c r="E67" s="181"/>
      <c r="F67" s="181">
        <f>'BGS PTY22 Cost Alloc'!F260</f>
        <v>134478.30460114105</v>
      </c>
      <c r="G67" s="181"/>
      <c r="H67" s="23"/>
      <c r="I67" s="181"/>
      <c r="J67" s="181"/>
      <c r="K67" s="181"/>
      <c r="L67" s="181"/>
    </row>
    <row r="68" spans="1:12" x14ac:dyDescent="0.6">
      <c r="A68" s="8"/>
      <c r="B68" s="126" t="s">
        <v>161</v>
      </c>
      <c r="C68" s="181"/>
      <c r="D68" s="181"/>
      <c r="E68" s="181"/>
      <c r="F68" s="181">
        <f>'BGS PTY22 Cost Alloc'!F261</f>
        <v>135923.56214899779</v>
      </c>
      <c r="G68" s="181"/>
      <c r="H68" s="23"/>
      <c r="I68" s="181"/>
      <c r="J68" s="181"/>
      <c r="K68" s="181"/>
      <c r="L68" s="181"/>
    </row>
    <row r="69" spans="1:12" x14ac:dyDescent="0.6">
      <c r="A69" s="8"/>
      <c r="C69" s="181"/>
      <c r="D69" s="181"/>
      <c r="E69" s="181"/>
      <c r="F69" s="181"/>
      <c r="G69" s="181"/>
      <c r="H69" s="23"/>
      <c r="I69" s="181"/>
      <c r="J69" s="181"/>
      <c r="K69" s="181"/>
      <c r="L69" s="181"/>
    </row>
    <row r="70" spans="1:12" x14ac:dyDescent="0.6">
      <c r="A70" s="8"/>
      <c r="B70" s="99" t="s">
        <v>111</v>
      </c>
      <c r="C70" s="181"/>
      <c r="D70" s="181"/>
      <c r="E70" s="181">
        <f>'BGS PTY22 Cost Alloc'!E263</f>
        <v>390.83443498502658</v>
      </c>
      <c r="F70" s="181">
        <f>'BGS PTY22 Cost Alloc'!F263</f>
        <v>421313.18300284597</v>
      </c>
      <c r="G70" s="181">
        <f>'BGS PTY22 Cost Alloc'!G263</f>
        <v>255446.17646901638</v>
      </c>
      <c r="I70" s="181">
        <f>'BGS PTY22 Cost Alloc'!I263</f>
        <v>5166.4654429043776</v>
      </c>
      <c r="J70" s="181"/>
      <c r="K70" s="181"/>
      <c r="L70" s="181"/>
    </row>
    <row r="71" spans="1:12" x14ac:dyDescent="0.6">
      <c r="A71" s="8"/>
      <c r="B71" s="164" t="s">
        <v>128</v>
      </c>
      <c r="C71" s="181"/>
      <c r="D71" s="181"/>
      <c r="E71" s="181">
        <f>'BGS PTY22 Cost Alloc'!E264</f>
        <v>4010.158060764009</v>
      </c>
      <c r="F71" s="148"/>
      <c r="G71" s="148"/>
      <c r="H71" s="181">
        <f>'BGS PTY22 Cost Alloc'!H264</f>
        <v>3433.6829986966709</v>
      </c>
      <c r="I71" s="148"/>
      <c r="J71" s="181"/>
      <c r="K71" s="181"/>
      <c r="L71" s="181"/>
    </row>
    <row r="72" spans="1:12" x14ac:dyDescent="0.6">
      <c r="A72" s="8"/>
      <c r="B72" s="164" t="s">
        <v>129</v>
      </c>
      <c r="C72" s="148"/>
      <c r="D72" s="148"/>
      <c r="E72" s="181">
        <f>'BGS PTY22 Cost Alloc'!E265</f>
        <v>5295.3421216625129</v>
      </c>
      <c r="H72" s="181">
        <f>'BGS PTY22 Cost Alloc'!H265</f>
        <v>3865.3965750560897</v>
      </c>
      <c r="J72" s="181"/>
      <c r="K72" s="181"/>
      <c r="L72" s="181"/>
    </row>
    <row r="73" spans="1:12" x14ac:dyDescent="0.6">
      <c r="A73" s="8"/>
      <c r="B73" s="127"/>
    </row>
    <row r="74" spans="1:12" x14ac:dyDescent="0.6">
      <c r="A74" s="8"/>
      <c r="B74" t="s">
        <v>192</v>
      </c>
    </row>
    <row r="75" spans="1:12" x14ac:dyDescent="0.6">
      <c r="A75" s="8"/>
      <c r="B75" s="127" t="s">
        <v>91</v>
      </c>
      <c r="E75" s="148">
        <f>SUM(E64:E68)</f>
        <v>4370.6615579685113</v>
      </c>
      <c r="F75" s="148">
        <f>SUM(F64:F68)</f>
        <v>270401.86675013881</v>
      </c>
      <c r="G75" s="148">
        <f>SUM(G64:G68)</f>
        <v>137444.36440333238</v>
      </c>
      <c r="H75" s="148">
        <f>SUM(H64:H68)</f>
        <v>3376.4297558356589</v>
      </c>
      <c r="I75" s="148">
        <f>SUM(I64:I68)</f>
        <v>2307.4941283925018</v>
      </c>
      <c r="J75" s="182">
        <f>SUM(E75:I75)</f>
        <v>417900.81659566791</v>
      </c>
      <c r="K75" s="182"/>
      <c r="L75" s="182"/>
    </row>
    <row r="76" spans="1:12" x14ac:dyDescent="0.6">
      <c r="A76" s="8"/>
      <c r="B76" s="127" t="s">
        <v>88</v>
      </c>
      <c r="E76" s="148">
        <f>SUM(E70:E72)</f>
        <v>9696.3346174115486</v>
      </c>
      <c r="F76" s="148">
        <f>SUM(F70:F72)</f>
        <v>421313.18300284597</v>
      </c>
      <c r="G76" s="148">
        <f>SUM(G70:G72)</f>
        <v>255446.17646901638</v>
      </c>
      <c r="H76" s="148">
        <f>SUM(H70:H72)</f>
        <v>7299.0795737527606</v>
      </c>
      <c r="I76" s="148">
        <f>SUM(I70:I72)</f>
        <v>5166.4654429043776</v>
      </c>
      <c r="J76" s="182">
        <f>SUM(E76:I76)</f>
        <v>698921.23910593102</v>
      </c>
      <c r="K76" s="182"/>
      <c r="L76" s="182"/>
    </row>
    <row r="77" spans="1:12" x14ac:dyDescent="0.6">
      <c r="A77" s="6"/>
      <c r="B77" s="127" t="s">
        <v>44</v>
      </c>
      <c r="E77" s="148">
        <f>SUM(E75:E76)</f>
        <v>14066.99617538006</v>
      </c>
      <c r="F77" s="148">
        <f>SUM(F75:F76)</f>
        <v>691715.04975298478</v>
      </c>
      <c r="G77" s="148">
        <f>SUM(G75:G76)</f>
        <v>392890.54087234876</v>
      </c>
      <c r="H77" s="148">
        <f>SUM(H75:H76)</f>
        <v>10675.50932958842</v>
      </c>
      <c r="I77" s="148">
        <f>SUM(I75:I76)</f>
        <v>7473.9595712968794</v>
      </c>
      <c r="J77" s="148">
        <f>SUM(E77:I77)</f>
        <v>1116822.0557015988</v>
      </c>
      <c r="K77" s="148"/>
      <c r="L77" s="148"/>
    </row>
    <row r="81" spans="1:30" x14ac:dyDescent="0.6">
      <c r="A81" s="6" t="s">
        <v>317</v>
      </c>
      <c r="B81" s="4" t="s">
        <v>318</v>
      </c>
      <c r="C81" s="98"/>
      <c r="E81" s="5"/>
    </row>
    <row r="82" spans="1:30" x14ac:dyDescent="0.6">
      <c r="A82" s="8"/>
      <c r="B82" t="s">
        <v>312</v>
      </c>
      <c r="C82" s="9"/>
      <c r="D82" s="9"/>
    </row>
    <row r="83" spans="1:30" x14ac:dyDescent="0.6">
      <c r="A83" s="8"/>
    </row>
    <row r="84" spans="1:30" x14ac:dyDescent="0.6">
      <c r="A84" s="8"/>
      <c r="B84" t="s">
        <v>191</v>
      </c>
      <c r="E84" s="11" t="s">
        <v>13</v>
      </c>
      <c r="F84" s="11" t="s">
        <v>14</v>
      </c>
      <c r="G84" s="11" t="s">
        <v>15</v>
      </c>
      <c r="H84" s="11" t="s">
        <v>46</v>
      </c>
      <c r="I84" s="11" t="s">
        <v>17</v>
      </c>
    </row>
    <row r="85" spans="1:30" x14ac:dyDescent="0.6">
      <c r="A85" s="8"/>
      <c r="B85" s="99" t="s">
        <v>108</v>
      </c>
      <c r="C85" s="181"/>
      <c r="D85" s="181"/>
      <c r="E85" s="181">
        <f>(E11*$F$7+E32*$F$28+E64*$F$60)/($F$7+$F$28+$F$60)</f>
        <v>177.62614806188822</v>
      </c>
      <c r="F85" s="181"/>
      <c r="G85" s="181">
        <f>(G11*$F$7+G32*$F$28+G64*$F$60)/($F$7+$F$28+$F$60)</f>
        <v>168518.43322034852</v>
      </c>
      <c r="H85" s="23"/>
      <c r="I85" s="181">
        <f>(I11*$F$7+I32*$F$28+I64*$F$60)/($F$7+$F$28+$F$60)</f>
        <v>2682.7018353763328</v>
      </c>
      <c r="J85" s="181"/>
      <c r="K85" s="181"/>
      <c r="L85" s="181"/>
    </row>
    <row r="86" spans="1:30" x14ac:dyDescent="0.6">
      <c r="A86" s="8"/>
      <c r="B86" s="164" t="s">
        <v>128</v>
      </c>
      <c r="C86" s="181"/>
      <c r="D86" s="181"/>
      <c r="E86" s="181">
        <f>(E12*$F$7+E33*$F$28+E65*$F$60)/($F$7+$F$28+$F$60)</f>
        <v>2867.7359663092984</v>
      </c>
      <c r="F86" s="181"/>
      <c r="G86" s="181"/>
      <c r="H86" s="181">
        <f>(H12*$F$7+H33*$F$28+H65*$F$60)/($F$7+$F$28+$F$60)</f>
        <v>2354.7558647755018</v>
      </c>
      <c r="I86" s="181"/>
      <c r="J86" s="181"/>
      <c r="K86" s="181"/>
      <c r="L86" s="181"/>
    </row>
    <row r="87" spans="1:30" x14ac:dyDescent="0.6">
      <c r="A87" s="8"/>
      <c r="B87" s="164" t="s">
        <v>129</v>
      </c>
      <c r="C87" s="181"/>
      <c r="D87" s="181"/>
      <c r="E87" s="181">
        <f>(E13*$F$7+E34*$F$28+E66*$F$60)/($F$7+$F$28+$F$60)</f>
        <v>2273.9583951110467</v>
      </c>
      <c r="F87" s="181"/>
      <c r="G87" s="181"/>
      <c r="H87" s="181">
        <f>(H13*$F$7+H34*$F$28+H66*$F$60)/($F$7+$F$28+$F$60)</f>
        <v>1760.6600231540849</v>
      </c>
      <c r="I87" s="181"/>
      <c r="J87" s="181"/>
      <c r="K87" s="181"/>
      <c r="L87" s="181"/>
      <c r="Q87" s="11"/>
      <c r="R87" s="11"/>
      <c r="S87" s="11"/>
      <c r="V87" s="11"/>
      <c r="W87" s="11"/>
      <c r="X87" s="11"/>
      <c r="AA87" s="11"/>
      <c r="AB87" s="11"/>
      <c r="AC87" s="11"/>
    </row>
    <row r="88" spans="1:30" x14ac:dyDescent="0.6">
      <c r="A88" s="8"/>
      <c r="B88" s="126" t="s">
        <v>160</v>
      </c>
      <c r="C88" s="181"/>
      <c r="D88" s="181"/>
      <c r="E88" s="181"/>
      <c r="F88" s="181">
        <f>(F14*$F$7+F35*$F$28+F67*$F$60)/($F$7+$F$28+$F$60)</f>
        <v>165669.69383535546</v>
      </c>
      <c r="G88" s="181"/>
      <c r="H88" s="23"/>
      <c r="I88" s="181"/>
      <c r="J88" s="181"/>
      <c r="K88" s="181"/>
      <c r="L88" s="181"/>
      <c r="V88" s="239"/>
      <c r="W88" s="239"/>
      <c r="X88" s="239"/>
      <c r="AA88" s="239"/>
      <c r="AB88" s="239"/>
      <c r="AC88" s="239"/>
    </row>
    <row r="89" spans="1:30" x14ac:dyDescent="0.6">
      <c r="A89" s="8"/>
      <c r="B89" s="126" t="s">
        <v>161</v>
      </c>
      <c r="C89" s="181"/>
      <c r="D89" s="181"/>
      <c r="E89" s="181"/>
      <c r="F89" s="181">
        <f>(F15*$F$7+F36*$F$28+F68*$F$60)/($F$7+$F$28+$F$60)</f>
        <v>163727.32438721825</v>
      </c>
      <c r="G89" s="181"/>
      <c r="H89" s="23"/>
      <c r="I89" s="181"/>
      <c r="J89" s="181"/>
      <c r="K89" s="181"/>
      <c r="L89" s="181"/>
      <c r="O89" s="4"/>
    </row>
    <row r="90" spans="1:30" x14ac:dyDescent="0.6">
      <c r="A90" s="8"/>
      <c r="C90" s="181"/>
      <c r="D90" s="181"/>
      <c r="E90" s="181"/>
      <c r="F90" s="181"/>
      <c r="G90" s="181"/>
      <c r="H90" s="23"/>
      <c r="I90" s="181"/>
      <c r="J90" s="181"/>
      <c r="K90" s="181"/>
      <c r="L90" s="181"/>
      <c r="O90" s="171"/>
      <c r="Q90" s="56"/>
      <c r="R90" s="56"/>
      <c r="S90" s="56"/>
      <c r="T90" s="56"/>
    </row>
    <row r="91" spans="1:30" x14ac:dyDescent="0.6">
      <c r="A91" s="8"/>
      <c r="B91" s="99" t="s">
        <v>111</v>
      </c>
      <c r="C91" s="181"/>
      <c r="D91" s="181"/>
      <c r="E91" s="181">
        <f>(E17*$F$7+E38*$F$28+E70*$F$60)/($F$7+$F$28+$F$60)</f>
        <v>441.45009525420181</v>
      </c>
      <c r="F91" s="181">
        <f>(F17*$F$7+F38*$F$28+F70*$F$60)/($F$7+$F$28+$F$60)</f>
        <v>483353.87451604288</v>
      </c>
      <c r="G91" s="181">
        <f>(G17*$F$7+G38*$F$28+G70*$F$60)/($F$7+$F$28+$F$60)</f>
        <v>293690.90886534407</v>
      </c>
      <c r="I91" s="181">
        <f>(I17*$F$7+I38*$F$28+I70*$F$60)/($F$7+$F$28+$F$60)</f>
        <v>5581.4663621239288</v>
      </c>
      <c r="J91" s="181"/>
      <c r="K91" s="181"/>
      <c r="L91" s="181"/>
      <c r="O91" s="171"/>
      <c r="Q91" s="56"/>
      <c r="R91" s="56"/>
      <c r="S91" s="56"/>
      <c r="T91" s="56"/>
      <c r="V91" s="4"/>
      <c r="AA91" s="4"/>
    </row>
    <row r="92" spans="1:30" x14ac:dyDescent="0.6">
      <c r="A92" s="8"/>
      <c r="B92" s="164" t="s">
        <v>128</v>
      </c>
      <c r="C92" s="181"/>
      <c r="D92" s="181"/>
      <c r="E92" s="181">
        <f>(E18*$F$7+E39*$F$28+E71*$F$60)/($F$7+$F$28+$F$60)</f>
        <v>5015.1721974824359</v>
      </c>
      <c r="F92" s="148"/>
      <c r="G92" s="148"/>
      <c r="H92" s="181">
        <f>(H18*$F$7+H39*$F$28+H71*$F$60)/($F$7+$F$28+$F$60)</f>
        <v>4317.4358350626753</v>
      </c>
      <c r="I92" s="148"/>
      <c r="J92" s="181"/>
      <c r="K92" s="181"/>
      <c r="L92" s="181"/>
      <c r="Q92" s="11"/>
      <c r="R92" s="11"/>
      <c r="S92" s="11"/>
      <c r="V92" s="11"/>
      <c r="W92" s="11"/>
      <c r="X92" s="11"/>
      <c r="AA92" s="11"/>
      <c r="AB92" s="11"/>
      <c r="AC92" s="11"/>
    </row>
    <row r="93" spans="1:30" x14ac:dyDescent="0.6">
      <c r="A93" s="8"/>
      <c r="B93" s="164" t="s">
        <v>129</v>
      </c>
      <c r="C93" s="148"/>
      <c r="D93" s="148"/>
      <c r="E93" s="181">
        <f>(E19*$F$7+E40*$F$28+E72*$F$60)/($F$7+$F$28+$F$60)</f>
        <v>5495.3669047117528</v>
      </c>
      <c r="H93" s="181">
        <f>(H19*$F$7+H40*$F$28+H72*$F$60)/($F$7+$F$28+$F$60)</f>
        <v>3988.6699643402376</v>
      </c>
      <c r="J93" s="181"/>
      <c r="K93" s="181"/>
      <c r="L93" s="181"/>
      <c r="P93" s="126"/>
      <c r="Q93" s="122"/>
      <c r="R93" s="122"/>
      <c r="S93" s="122"/>
      <c r="V93" s="261"/>
      <c r="W93" s="261"/>
      <c r="X93" s="261"/>
      <c r="Y93" s="96"/>
      <c r="AA93" s="122"/>
      <c r="AB93" s="122"/>
      <c r="AC93" s="122"/>
      <c r="AD93" s="96"/>
    </row>
    <row r="94" spans="1:30" x14ac:dyDescent="0.6">
      <c r="A94" s="8"/>
      <c r="B94" s="127"/>
      <c r="T94" s="122"/>
      <c r="X94" s="262"/>
      <c r="Y94" s="262"/>
      <c r="AD94" s="262"/>
    </row>
    <row r="95" spans="1:30" x14ac:dyDescent="0.6">
      <c r="A95" s="8"/>
      <c r="B95" t="s">
        <v>192</v>
      </c>
      <c r="P95" s="171"/>
      <c r="R95" s="171"/>
      <c r="T95" s="56"/>
    </row>
    <row r="96" spans="1:30" x14ac:dyDescent="0.6">
      <c r="A96" s="8"/>
      <c r="B96" s="127" t="s">
        <v>91</v>
      </c>
      <c r="E96" s="148">
        <f>SUM(E85:E89)</f>
        <v>5319.3205094822333</v>
      </c>
      <c r="F96" s="148">
        <f>SUM(F85:F89)</f>
        <v>329397.01822257368</v>
      </c>
      <c r="G96" s="148">
        <f>SUM(G85:G89)</f>
        <v>168518.43322034852</v>
      </c>
      <c r="H96" s="148">
        <f>SUM(H85:H89)</f>
        <v>4115.4158879295865</v>
      </c>
      <c r="I96" s="148">
        <f>SUM(I85:I89)</f>
        <v>2682.7018353763328</v>
      </c>
      <c r="J96" s="182">
        <f>SUM(E96:I96)</f>
        <v>510032.88967571035</v>
      </c>
      <c r="K96" s="182"/>
      <c r="L96" s="182"/>
      <c r="P96" s="171"/>
      <c r="R96" s="171"/>
      <c r="T96" s="56"/>
      <c r="U96" s="171"/>
      <c r="Z96" s="171"/>
    </row>
    <row r="97" spans="1:30" x14ac:dyDescent="0.6">
      <c r="A97" s="8"/>
      <c r="B97" s="127" t="s">
        <v>88</v>
      </c>
      <c r="E97" s="148">
        <f>SUM(E91:E93)</f>
        <v>10951.989197448391</v>
      </c>
      <c r="F97" s="148">
        <f>SUM(F91:F93)</f>
        <v>483353.87451604288</v>
      </c>
      <c r="G97" s="148">
        <f>SUM(G91:G93)</f>
        <v>293690.90886534407</v>
      </c>
      <c r="H97" s="148">
        <f>SUM(H91:H93)</f>
        <v>8306.1057994029125</v>
      </c>
      <c r="I97" s="148">
        <f>SUM(I91:I93)</f>
        <v>5581.4663621239288</v>
      </c>
      <c r="J97" s="182">
        <f>SUM(E97:I97)</f>
        <v>801884.34474036214</v>
      </c>
      <c r="K97" s="182"/>
      <c r="L97" s="182"/>
      <c r="Q97" s="40"/>
      <c r="R97" s="40"/>
      <c r="S97" s="40"/>
      <c r="V97" s="56"/>
      <c r="W97" s="56"/>
      <c r="X97" s="56"/>
      <c r="AA97" s="56"/>
      <c r="AB97" s="56"/>
      <c r="AC97" s="56"/>
    </row>
    <row r="98" spans="1:30" x14ac:dyDescent="0.6">
      <c r="A98" s="6"/>
      <c r="B98" s="127" t="s">
        <v>44</v>
      </c>
      <c r="E98" s="148">
        <f>SUM(E96:E97)</f>
        <v>16271.309706930624</v>
      </c>
      <c r="F98" s="148">
        <f>SUM(F96:F97)</f>
        <v>812750.89273861656</v>
      </c>
      <c r="G98" s="148">
        <f>SUM(G96:G97)</f>
        <v>462209.34208569257</v>
      </c>
      <c r="H98" s="148">
        <f>SUM(H96:H97)</f>
        <v>12421.521687332499</v>
      </c>
      <c r="I98" s="148">
        <f>SUM(I96:I97)</f>
        <v>8264.1681975002612</v>
      </c>
      <c r="J98" s="148">
        <f>SUM(E98:I98)</f>
        <v>1311917.2344160725</v>
      </c>
      <c r="K98" s="148"/>
      <c r="L98" s="148"/>
      <c r="Q98" s="40"/>
      <c r="R98" s="40"/>
      <c r="S98" s="40"/>
      <c r="V98" s="56"/>
      <c r="W98" s="56"/>
      <c r="X98" s="56"/>
      <c r="AA98" s="56"/>
      <c r="AB98" s="56"/>
      <c r="AC98" s="56"/>
    </row>
    <row r="99" spans="1:30" x14ac:dyDescent="0.6">
      <c r="B99" s="171"/>
      <c r="U99" s="7"/>
      <c r="Z99" s="7"/>
    </row>
    <row r="100" spans="1:30" ht="15.5" x14ac:dyDescent="0.7">
      <c r="B100" s="340" t="s">
        <v>0</v>
      </c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Q100" s="11"/>
      <c r="R100" s="11"/>
      <c r="S100" s="11"/>
      <c r="U100" s="11"/>
      <c r="V100" s="11"/>
      <c r="W100" s="11"/>
      <c r="X100" s="11"/>
      <c r="Z100" s="11"/>
      <c r="AA100" s="11"/>
      <c r="AB100" s="11"/>
      <c r="AC100" s="11"/>
    </row>
    <row r="101" spans="1:30" ht="15.5" x14ac:dyDescent="0.7">
      <c r="B101" s="340" t="s">
        <v>1</v>
      </c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P101" s="126"/>
      <c r="Q101" s="263"/>
      <c r="R101" s="263"/>
      <c r="S101" s="263"/>
      <c r="T101" s="264"/>
      <c r="U101" s="57"/>
      <c r="V101" s="264"/>
      <c r="W101" s="264"/>
      <c r="X101" s="264"/>
      <c r="Y101" s="264"/>
      <c r="Z101" s="57"/>
      <c r="AA101" s="264"/>
      <c r="AB101" s="264"/>
      <c r="AC101" s="264"/>
      <c r="AD101" s="264"/>
    </row>
    <row r="102" spans="1:30" ht="15.5" x14ac:dyDescent="0.7">
      <c r="B102" s="340"/>
      <c r="C102" s="340"/>
      <c r="D102" s="340"/>
      <c r="E102" s="340"/>
      <c r="F102" s="340"/>
      <c r="G102" s="340"/>
      <c r="H102" s="340"/>
      <c r="I102" s="340"/>
      <c r="J102" s="340"/>
      <c r="K102" s="340"/>
      <c r="L102" s="340"/>
      <c r="M102" s="340"/>
      <c r="N102" s="340"/>
      <c r="P102" s="126"/>
      <c r="Q102" s="263"/>
      <c r="R102" s="263"/>
      <c r="S102" s="263"/>
      <c r="T102" s="264"/>
      <c r="U102" s="57"/>
      <c r="V102" s="264"/>
      <c r="W102" s="264"/>
      <c r="X102" s="264"/>
      <c r="Y102" s="264"/>
      <c r="Z102" s="57"/>
      <c r="AA102" s="264"/>
      <c r="AB102" s="264"/>
      <c r="AC102" s="264"/>
      <c r="AD102" s="264"/>
    </row>
    <row r="103" spans="1:30" x14ac:dyDescent="0.6">
      <c r="N103" s="97"/>
    </row>
    <row r="104" spans="1:30" x14ac:dyDescent="0.6">
      <c r="P104" s="126"/>
      <c r="Q104" s="40"/>
      <c r="R104" s="40"/>
      <c r="S104" s="40"/>
      <c r="T104" s="40"/>
      <c r="V104" s="58"/>
      <c r="W104" s="58"/>
      <c r="X104" s="58"/>
      <c r="AA104" s="58"/>
      <c r="AB104" s="58"/>
      <c r="AC104" s="58"/>
    </row>
    <row r="105" spans="1:30" x14ac:dyDescent="0.6">
      <c r="E105" s="5"/>
      <c r="O105" s="7"/>
      <c r="P105" s="4"/>
      <c r="Q105" s="59"/>
      <c r="R105" s="59"/>
      <c r="S105" s="59"/>
    </row>
    <row r="106" spans="1:30" x14ac:dyDescent="0.6">
      <c r="A106" s="6" t="s">
        <v>319</v>
      </c>
      <c r="B106" s="4" t="s">
        <v>187</v>
      </c>
      <c r="C106" s="98"/>
      <c r="E106" s="30"/>
      <c r="F106" s="20"/>
      <c r="P106" s="126"/>
      <c r="Q106" s="56"/>
      <c r="R106" s="56"/>
      <c r="S106" s="56"/>
      <c r="V106" s="58"/>
      <c r="W106" s="58"/>
      <c r="X106" s="58"/>
      <c r="AA106" s="58"/>
      <c r="AB106" s="58"/>
      <c r="AC106" s="58"/>
    </row>
    <row r="107" spans="1:30" x14ac:dyDescent="0.6">
      <c r="B107" s="5" t="s">
        <v>404</v>
      </c>
      <c r="P107" s="126"/>
      <c r="Q107" s="264"/>
      <c r="R107" s="264"/>
      <c r="S107" s="264"/>
      <c r="AA107" s="264"/>
      <c r="AB107" s="264"/>
      <c r="AC107" s="264"/>
    </row>
    <row r="108" spans="1:30" x14ac:dyDescent="0.6">
      <c r="E108" s="11" t="s">
        <v>13</v>
      </c>
      <c r="F108" s="11" t="s">
        <v>14</v>
      </c>
      <c r="G108" s="11" t="s">
        <v>15</v>
      </c>
      <c r="H108" s="11" t="s">
        <v>46</v>
      </c>
      <c r="I108" s="11" t="s">
        <v>17</v>
      </c>
      <c r="P108" s="126"/>
      <c r="Q108" s="122"/>
      <c r="R108" s="122"/>
      <c r="S108" s="122"/>
      <c r="V108" s="127"/>
      <c r="W108" s="127"/>
      <c r="X108" s="127"/>
      <c r="AA108" s="127"/>
      <c r="AB108" s="127"/>
      <c r="AC108" s="127"/>
    </row>
    <row r="109" spans="1:30" x14ac:dyDescent="0.6">
      <c r="P109" s="126"/>
      <c r="Q109" s="281"/>
      <c r="R109" s="281"/>
      <c r="S109" s="281"/>
      <c r="V109" s="188"/>
      <c r="W109" s="185"/>
      <c r="X109" s="185">
        <v>-0.155</v>
      </c>
      <c r="Y109" s="185">
        <v>0.71</v>
      </c>
      <c r="AA109" s="188"/>
      <c r="AB109" s="188"/>
      <c r="AC109" s="188"/>
    </row>
    <row r="110" spans="1:30" x14ac:dyDescent="0.6">
      <c r="B110" s="99" t="s">
        <v>108</v>
      </c>
      <c r="E110" s="122">
        <f>SUM('BGS PTY22 Cost Alloc'!W65:W68)</f>
        <v>2152065.5431923</v>
      </c>
      <c r="G110" s="122">
        <f>SUM('BGS PTY22 Cost Alloc'!G65:G68)*1000</f>
        <v>2026419000</v>
      </c>
      <c r="I110" s="122">
        <f>SUM('BGS PTY22 Cost Alloc'!I65:I68)*1000</f>
        <v>39017000</v>
      </c>
      <c r="P110" s="126"/>
      <c r="Q110" s="265"/>
      <c r="R110" s="265"/>
      <c r="S110" s="265"/>
      <c r="U110" s="126"/>
      <c r="V110" s="265"/>
      <c r="W110" s="141"/>
      <c r="X110" s="141"/>
      <c r="AA110" s="265"/>
      <c r="AB110" s="265"/>
      <c r="AC110" s="265"/>
    </row>
    <row r="111" spans="1:30" x14ac:dyDescent="0.6">
      <c r="B111" s="164" t="s">
        <v>128</v>
      </c>
      <c r="E111" s="122">
        <f>ROUND(SUMPRODUCT('BGS PTY22 Cost Alloc'!E65:E68,'BGS PTY22 Cost Alloc'!E38:E41)*1000-AVERAGE('BGS PTY22 Cost Alloc'!E38:E41)*E110,0)</f>
        <v>26015580</v>
      </c>
      <c r="H111" s="122">
        <f>SUMPRODUCT('BGS PTY22 Cost Alloc'!H65:H68,'BGS PTY22 Cost Alloc'!H38:H41)*1000</f>
        <v>22890524.199999999</v>
      </c>
      <c r="O111" s="122"/>
      <c r="P111" s="126"/>
      <c r="Q111" s="282"/>
      <c r="R111" s="282"/>
      <c r="S111" s="282"/>
      <c r="U111" s="126"/>
      <c r="V111" s="265"/>
      <c r="W111" s="265"/>
      <c r="X111" s="265"/>
      <c r="AA111" s="265"/>
      <c r="AB111" s="265"/>
      <c r="AC111" s="265"/>
    </row>
    <row r="112" spans="1:30" x14ac:dyDescent="0.6">
      <c r="B112" s="164" t="s">
        <v>129</v>
      </c>
      <c r="E112" s="122">
        <f>ROUND(SUM('BGS PTY22 Cost Alloc'!E65:E68)*1000,0)-E110-E111</f>
        <v>36279354.456807703</v>
      </c>
      <c r="H112" s="122">
        <f>SUM('BGS PTY22 Cost Alloc'!H65:H68)*1000-H111</f>
        <v>27966475.800000001</v>
      </c>
      <c r="P112" s="126"/>
      <c r="Q112" s="52"/>
      <c r="R112" s="52"/>
      <c r="S112" s="52"/>
      <c r="T112" s="4"/>
      <c r="V112" s="60"/>
      <c r="W112" s="60"/>
      <c r="X112" s="60"/>
      <c r="AA112" s="60"/>
      <c r="AB112" s="60"/>
      <c r="AC112" s="60"/>
    </row>
    <row r="113" spans="1:32" x14ac:dyDescent="0.6">
      <c r="B113" s="126" t="s">
        <v>160</v>
      </c>
      <c r="F113" s="122">
        <f>ROUND('BGS PTY22 Cost Alloc'!R65,0)*1000</f>
        <v>2081168000</v>
      </c>
      <c r="P113" s="126"/>
      <c r="Q113" s="160"/>
      <c r="R113" s="160"/>
      <c r="S113" s="160"/>
      <c r="V113" s="160"/>
      <c r="W113" s="160"/>
      <c r="X113" s="160"/>
      <c r="AA113" s="160"/>
      <c r="AB113" s="160"/>
      <c r="AC113" s="160"/>
    </row>
    <row r="114" spans="1:32" x14ac:dyDescent="0.6">
      <c r="B114" s="126" t="s">
        <v>161</v>
      </c>
      <c r="F114" s="122">
        <f>ROUND('BGS PTY22 Cost Alloc'!R66,0)*1000</f>
        <v>1855137000</v>
      </c>
      <c r="O114" s="7"/>
      <c r="P114" s="4"/>
      <c r="Q114" s="59"/>
      <c r="R114" s="59"/>
      <c r="S114" s="59"/>
    </row>
    <row r="115" spans="1:32" x14ac:dyDescent="0.6">
      <c r="O115" s="7"/>
      <c r="P115" s="4"/>
      <c r="Q115" s="59"/>
      <c r="R115" s="59"/>
      <c r="S115" s="59"/>
    </row>
    <row r="116" spans="1:32" x14ac:dyDescent="0.6">
      <c r="B116" s="99" t="s">
        <v>111</v>
      </c>
      <c r="E116" s="122">
        <f>'BGS PTY22 Cost Alloc'!W72-E110</f>
        <v>5274004.6993009001</v>
      </c>
      <c r="F116" s="122">
        <f>ROUND('BGS PTY22 Cost Alloc'!F72,0)*1000-SUM(F113:F114)</f>
        <v>5527172000</v>
      </c>
      <c r="G116" s="122">
        <f>'BGS PTY22 Cost Alloc'!G72*1000-G110</f>
        <v>3504499000</v>
      </c>
      <c r="I116" s="122">
        <f>'BGS PTY22 Cost Alloc'!I72*1000-'Composite Cost Allocation'!I110</f>
        <v>78032000</v>
      </c>
      <c r="P116" s="126"/>
      <c r="Q116" s="40"/>
      <c r="R116" s="40"/>
      <c r="S116" s="40"/>
      <c r="T116" s="266"/>
      <c r="U116" s="266"/>
      <c r="V116" s="56"/>
      <c r="W116" s="56"/>
      <c r="X116" s="56"/>
      <c r="AA116" s="56"/>
      <c r="AB116" s="56"/>
      <c r="AC116" s="56"/>
    </row>
    <row r="117" spans="1:32" x14ac:dyDescent="0.6">
      <c r="B117" s="164" t="s">
        <v>128</v>
      </c>
      <c r="E117" s="122">
        <f>SUMPRODUCT('BGS PTY22 Cost Alloc'!E60:E71,'BGS PTY22 Cost Alloc'!E33:E44)*1000-E111-SUMPRODUCT('BGS PTY22 Cost Alloc'!W60:W71,'BGS PTY22 Cost Alloc'!E33:E44)</f>
        <v>45240474.137929991</v>
      </c>
      <c r="H117" s="122">
        <f>SUMPRODUCT('BGS PTY22 Cost Alloc'!H60:H71,'BGS PTY22 Cost Alloc'!H33:H44)*1000-H111</f>
        <v>43702025.5</v>
      </c>
      <c r="P117" s="126"/>
      <c r="Q117" s="40"/>
      <c r="R117" s="40"/>
      <c r="S117" s="40"/>
      <c r="T117" s="266"/>
      <c r="U117" s="266"/>
      <c r="V117" s="56"/>
      <c r="W117" s="56"/>
      <c r="X117" s="56"/>
      <c r="Z117" s="188"/>
      <c r="AA117" s="56"/>
      <c r="AB117" s="56"/>
      <c r="AC117" s="56"/>
    </row>
    <row r="118" spans="1:32" x14ac:dyDescent="0.6">
      <c r="B118" s="164" t="s">
        <v>129</v>
      </c>
      <c r="E118" s="122">
        <f>'BGS PTY22 Cost Alloc'!E72*1000-E110-E111-E112-E116-E117</f>
        <v>80331521.162769109</v>
      </c>
      <c r="H118" s="122">
        <f>'BGS PTY22 Cost Alloc'!H72*1000-H111-H112-H117</f>
        <v>58644974.5</v>
      </c>
      <c r="Z118" s="188"/>
      <c r="AA118" s="188"/>
      <c r="AB118" s="188"/>
      <c r="AC118" s="188"/>
      <c r="AD118" s="188"/>
      <c r="AE118" s="188"/>
    </row>
    <row r="119" spans="1:32" x14ac:dyDescent="0.6">
      <c r="J119" s="11" t="s">
        <v>44</v>
      </c>
      <c r="K119" s="11"/>
      <c r="L119" s="11"/>
      <c r="Z119" s="188"/>
      <c r="AA119" s="188"/>
      <c r="AB119" s="188"/>
      <c r="AC119" s="188"/>
      <c r="AD119" s="188"/>
      <c r="AE119" s="188"/>
    </row>
    <row r="120" spans="1:32" x14ac:dyDescent="0.6">
      <c r="B120" s="126" t="s">
        <v>153</v>
      </c>
      <c r="E120" s="122">
        <f>SUM(E110:E114)</f>
        <v>64447000</v>
      </c>
      <c r="F120" s="122">
        <f>SUM(F110:F114)</f>
        <v>3936305000</v>
      </c>
      <c r="G120" s="122">
        <f>SUM(G110:G114)</f>
        <v>2026419000</v>
      </c>
      <c r="H120" s="122">
        <f>SUM(H110:H114)</f>
        <v>50857000</v>
      </c>
      <c r="I120" s="122">
        <f>SUM(I110:I114)</f>
        <v>39017000</v>
      </c>
      <c r="J120" s="122">
        <f>SUM(E120:I120)</f>
        <v>6117045000</v>
      </c>
      <c r="K120" s="122"/>
      <c r="L120" s="122"/>
      <c r="Q120" s="267"/>
      <c r="R120" s="4"/>
      <c r="W120" s="61"/>
      <c r="Z120" s="188"/>
      <c r="AA120" s="188"/>
      <c r="AB120" s="188"/>
      <c r="AC120" s="188"/>
      <c r="AD120" s="188"/>
      <c r="AE120" s="188"/>
    </row>
    <row r="121" spans="1:32" x14ac:dyDescent="0.6">
      <c r="B121" s="126" t="s">
        <v>154</v>
      </c>
      <c r="E121" s="31">
        <f>SUM(E116:E118)</f>
        <v>130846000</v>
      </c>
      <c r="F121" s="31">
        <f>SUM(F116:F118)</f>
        <v>5527172000</v>
      </c>
      <c r="G121" s="35">
        <f>SUM(G116:G118)</f>
        <v>3504499000</v>
      </c>
      <c r="H121" s="35">
        <f>SUM(H116:H118)</f>
        <v>102347000</v>
      </c>
      <c r="I121" s="35">
        <f>SUM(I116:I118)</f>
        <v>78032000</v>
      </c>
      <c r="J121" s="31">
        <f>SUM(E121:I121)</f>
        <v>9342896000</v>
      </c>
      <c r="K121" s="31"/>
      <c r="L121" s="31"/>
      <c r="W121" s="61"/>
      <c r="AA121" s="188"/>
      <c r="AB121" s="188"/>
      <c r="AC121" s="188"/>
      <c r="AD121" s="188"/>
      <c r="AE121" s="188"/>
    </row>
    <row r="122" spans="1:32" ht="13.75" thickBot="1" x14ac:dyDescent="0.75">
      <c r="B122" s="126" t="s">
        <v>155</v>
      </c>
      <c r="E122" s="122">
        <f>SUM(E120:E121)</f>
        <v>195293000</v>
      </c>
      <c r="F122" s="122">
        <f>SUM(F120:F121)</f>
        <v>9463477000</v>
      </c>
      <c r="G122" s="122">
        <f>SUM(G120:G121)</f>
        <v>5530918000</v>
      </c>
      <c r="H122" s="122">
        <f>SUM(H120:H121)</f>
        <v>153204000</v>
      </c>
      <c r="I122" s="122">
        <f>SUM(I120:I121)</f>
        <v>117049000</v>
      </c>
      <c r="J122" s="122">
        <f>SUM(E122:I122)</f>
        <v>15459941000</v>
      </c>
      <c r="K122" s="122"/>
      <c r="L122" s="122"/>
      <c r="O122" s="62"/>
      <c r="P122" s="63" t="s">
        <v>320</v>
      </c>
      <c r="Q122" s="62">
        <v>0.99341336540486913</v>
      </c>
      <c r="R122" s="62">
        <v>0.99334089585195551</v>
      </c>
      <c r="S122" s="62">
        <v>0.99335764800332227</v>
      </c>
      <c r="T122" s="7" t="s">
        <v>321</v>
      </c>
      <c r="U122" s="4"/>
      <c r="W122" s="56"/>
      <c r="AF122" s="264"/>
    </row>
    <row r="123" spans="1:32" ht="13.75" thickBot="1" x14ac:dyDescent="0.75">
      <c r="P123" s="30"/>
      <c r="Q123" s="64"/>
      <c r="R123" s="264"/>
      <c r="V123" s="122"/>
      <c r="W123" s="126"/>
      <c r="X123" s="268"/>
      <c r="Y123" s="45"/>
      <c r="AF123" s="264"/>
    </row>
    <row r="124" spans="1:32" x14ac:dyDescent="0.6">
      <c r="V124" s="65"/>
      <c r="W124" s="126"/>
      <c r="X124" s="268"/>
      <c r="Y124" s="45"/>
      <c r="AF124" s="264"/>
    </row>
    <row r="125" spans="1:32" x14ac:dyDescent="0.6">
      <c r="Q125" s="4"/>
      <c r="V125" s="264"/>
      <c r="X125" s="268"/>
    </row>
    <row r="126" spans="1:32" x14ac:dyDescent="0.6">
      <c r="A126" s="6" t="s">
        <v>322</v>
      </c>
      <c r="B126" s="4" t="s">
        <v>179</v>
      </c>
      <c r="P126" s="6"/>
      <c r="Q126" s="4"/>
    </row>
    <row r="127" spans="1:32" x14ac:dyDescent="0.6">
      <c r="A127" s="8"/>
      <c r="B127" s="4"/>
      <c r="P127" s="8"/>
      <c r="Q127" s="4"/>
    </row>
    <row r="128" spans="1:32" x14ac:dyDescent="0.6">
      <c r="A128" s="8"/>
      <c r="B128" s="4" t="s">
        <v>180</v>
      </c>
      <c r="P128" s="6"/>
      <c r="Q128" s="4"/>
    </row>
    <row r="129" spans="1:28" x14ac:dyDescent="0.6">
      <c r="A129" s="8"/>
      <c r="B129" s="5" t="s">
        <v>323</v>
      </c>
      <c r="P129" s="8"/>
      <c r="Q129" s="5"/>
    </row>
    <row r="130" spans="1:28" x14ac:dyDescent="0.6">
      <c r="A130" s="8"/>
      <c r="B130" s="5" t="s">
        <v>81</v>
      </c>
      <c r="P130" s="8"/>
      <c r="Q130" s="5"/>
    </row>
    <row r="131" spans="1:28" x14ac:dyDescent="0.6">
      <c r="A131" s="8"/>
      <c r="C131" s="11"/>
      <c r="D131" s="11"/>
      <c r="E131" s="11" t="str">
        <f>E108</f>
        <v>RT{1}</v>
      </c>
      <c r="F131" s="11" t="str">
        <f>F108</f>
        <v>RS{2}</v>
      </c>
      <c r="G131" s="11" t="str">
        <f>G108</f>
        <v>GS{3}</v>
      </c>
      <c r="H131" s="11" t="str">
        <f>H108</f>
        <v>GST {4}</v>
      </c>
      <c r="I131" s="11" t="str">
        <f>I108</f>
        <v>OL/SL</v>
      </c>
      <c r="J131" s="11"/>
      <c r="K131" s="11"/>
      <c r="L131" s="11"/>
      <c r="P131" s="8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8" x14ac:dyDescent="0.6">
      <c r="A132" s="8"/>
      <c r="C132" s="11"/>
      <c r="D132" s="11"/>
      <c r="E132" s="66"/>
      <c r="F132" s="11"/>
      <c r="G132" s="11"/>
      <c r="P132" s="8"/>
      <c r="R132" s="11"/>
      <c r="S132" s="11"/>
      <c r="T132" s="66"/>
      <c r="U132" s="11"/>
      <c r="V132" s="11"/>
      <c r="AA132" s="11"/>
    </row>
    <row r="133" spans="1:28" x14ac:dyDescent="0.6">
      <c r="A133" s="8"/>
      <c r="B133" s="99" t="s">
        <v>108</v>
      </c>
      <c r="C133" s="66"/>
      <c r="D133" s="66"/>
      <c r="E133" s="66">
        <f>E85*1000/(E110/1000)</f>
        <v>82.537517792512801</v>
      </c>
      <c r="F133" s="66"/>
      <c r="G133" s="66">
        <f>G85*1000/(G110/1000)*S122</f>
        <v>82.608322597138269</v>
      </c>
      <c r="H133" s="66"/>
      <c r="I133" s="66">
        <f>I85*1000/(I110/1000)</f>
        <v>68.757255436766869</v>
      </c>
      <c r="J133" s="66"/>
      <c r="K133" s="66"/>
      <c r="L133" s="66"/>
      <c r="M133" s="66"/>
      <c r="P133" s="8"/>
      <c r="Q133" s="99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8" x14ac:dyDescent="0.6">
      <c r="A134" s="8"/>
      <c r="B134" s="164" t="s">
        <v>128</v>
      </c>
      <c r="C134" s="66"/>
      <c r="D134" s="66"/>
      <c r="E134" s="66">
        <f>E86*1000/(E111/1000)*Q122</f>
        <v>109.50542856949198</v>
      </c>
      <c r="F134" s="66"/>
      <c r="G134" s="66"/>
      <c r="H134" s="66">
        <f>H86*1000/(H111/1000)</f>
        <v>102.87033377660708</v>
      </c>
      <c r="I134" s="66"/>
      <c r="J134" s="66"/>
      <c r="K134" s="66"/>
      <c r="L134" s="66"/>
      <c r="P134" s="8"/>
      <c r="Q134" s="164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</row>
    <row r="135" spans="1:28" x14ac:dyDescent="0.6">
      <c r="A135" s="8"/>
      <c r="B135" s="164" t="s">
        <v>129</v>
      </c>
      <c r="C135" s="66"/>
      <c r="D135" s="66"/>
      <c r="E135" s="66">
        <f>E87*1000/(E112/1000)*Q122</f>
        <v>62.266286043411931</v>
      </c>
      <c r="F135" s="66"/>
      <c r="G135" s="66"/>
      <c r="H135" s="66">
        <f>H87*1000/(H112/1000)</f>
        <v>62.956091991901417</v>
      </c>
      <c r="I135" s="66"/>
      <c r="J135" s="66"/>
      <c r="K135" s="66"/>
      <c r="L135" s="66"/>
      <c r="P135" s="8"/>
      <c r="Q135" s="164"/>
      <c r="R135" s="66"/>
      <c r="S135" s="66"/>
      <c r="T135" s="66"/>
      <c r="U135" s="66"/>
      <c r="V135" s="66"/>
      <c r="W135" s="66"/>
      <c r="X135" s="66"/>
      <c r="Y135" s="66"/>
      <c r="Z135" s="66"/>
      <c r="AA135" s="66"/>
    </row>
    <row r="136" spans="1:28" x14ac:dyDescent="0.6">
      <c r="A136" s="8"/>
      <c r="B136" s="126" t="s">
        <v>160</v>
      </c>
      <c r="C136" s="66"/>
      <c r="D136" s="66"/>
      <c r="E136" s="66"/>
      <c r="F136" s="66">
        <f>F88*1000/(F113/1000)*R122</f>
        <v>79.074097857516165</v>
      </c>
      <c r="G136" s="66"/>
      <c r="H136" s="66"/>
      <c r="I136" s="66"/>
      <c r="J136" s="66"/>
      <c r="K136" s="66"/>
      <c r="L136" s="66"/>
      <c r="P136" s="8"/>
      <c r="Q136" s="12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</row>
    <row r="137" spans="1:28" x14ac:dyDescent="0.6">
      <c r="A137" s="8"/>
      <c r="B137" s="126" t="s">
        <v>161</v>
      </c>
      <c r="C137" s="66"/>
      <c r="D137" s="66"/>
      <c r="E137" s="66"/>
      <c r="F137" s="66">
        <f>F89*1000/(F114/1000)*R122</f>
        <v>87.668483288427268</v>
      </c>
      <c r="G137" s="66"/>
      <c r="H137" s="66"/>
      <c r="I137" s="66"/>
      <c r="J137" s="66"/>
      <c r="K137" s="66"/>
      <c r="L137" s="66"/>
      <c r="P137" s="8"/>
      <c r="Q137" s="126"/>
      <c r="R137" s="66"/>
      <c r="S137" s="66"/>
      <c r="T137" s="66"/>
      <c r="U137" s="66"/>
      <c r="V137" s="180"/>
      <c r="W137" s="66"/>
      <c r="X137" s="66"/>
      <c r="Y137" s="66"/>
      <c r="Z137" s="66"/>
      <c r="AA137" s="66"/>
    </row>
    <row r="138" spans="1:28" x14ac:dyDescent="0.6">
      <c r="A138" s="8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P138" s="8"/>
      <c r="R138" s="66"/>
      <c r="S138" s="66"/>
      <c r="T138" s="66"/>
      <c r="U138" s="66"/>
      <c r="V138" s="66"/>
      <c r="W138" s="66"/>
      <c r="X138" s="66"/>
      <c r="Y138" s="66"/>
      <c r="Z138" s="66"/>
      <c r="AA138" s="66"/>
    </row>
    <row r="139" spans="1:28" x14ac:dyDescent="0.6">
      <c r="A139" s="8"/>
      <c r="B139" s="99" t="s">
        <v>111</v>
      </c>
      <c r="C139" s="66"/>
      <c r="D139" s="66"/>
      <c r="E139" s="66">
        <f>E91*1000/(E116/1000)</f>
        <v>83.703015151412089</v>
      </c>
      <c r="F139" s="66">
        <f>F91*1000/(F116/1000)*R122</f>
        <v>86.868143550676493</v>
      </c>
      <c r="G139" s="66">
        <f>G91*1000/(G116/1000)*S122</f>
        <v>83.247308808031121</v>
      </c>
      <c r="H139" s="66"/>
      <c r="I139" s="66">
        <f>I91*1000/(I116/1000)</f>
        <v>71.527916266710179</v>
      </c>
      <c r="J139" s="66"/>
      <c r="K139" s="66"/>
      <c r="L139" s="66"/>
      <c r="M139" s="66"/>
      <c r="P139" s="8"/>
      <c r="Q139" s="99"/>
      <c r="R139" s="66"/>
      <c r="S139" s="66"/>
      <c r="T139" s="66"/>
      <c r="U139" s="66"/>
      <c r="V139" s="66"/>
      <c r="W139" s="66"/>
      <c r="X139" s="66"/>
      <c r="Y139" s="66"/>
      <c r="Z139" s="66"/>
      <c r="AA139" s="66"/>
    </row>
    <row r="140" spans="1:28" x14ac:dyDescent="0.6">
      <c r="A140" s="8"/>
      <c r="B140" s="164" t="s">
        <v>128</v>
      </c>
      <c r="C140" s="66"/>
      <c r="D140" s="66"/>
      <c r="E140" s="66">
        <f>E92*1000/(E117/1000)*Q122</f>
        <v>110.12570459797398</v>
      </c>
      <c r="F140" s="66"/>
      <c r="G140" s="66"/>
      <c r="H140" s="66">
        <f>H92*1000/(H117/1000)</f>
        <v>98.792579649716117</v>
      </c>
      <c r="I140" s="66"/>
      <c r="J140" s="66"/>
      <c r="K140" s="66"/>
      <c r="L140" s="66"/>
      <c r="P140" s="8"/>
      <c r="Q140" s="164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</row>
    <row r="141" spans="1:28" x14ac:dyDescent="0.6">
      <c r="A141" s="8"/>
      <c r="B141" s="164" t="s">
        <v>129</v>
      </c>
      <c r="C141" s="66"/>
      <c r="D141" s="66"/>
      <c r="E141" s="66">
        <f>E93*1000/(E118/1000)*Q122</f>
        <v>67.958017624025516</v>
      </c>
      <c r="F141" s="66"/>
      <c r="G141" s="66"/>
      <c r="H141" s="66">
        <f>H93*1000/(H118/1000)</f>
        <v>68.013840884869637</v>
      </c>
      <c r="I141" s="66"/>
      <c r="J141" s="66"/>
      <c r="K141" s="66"/>
      <c r="L141" s="66"/>
      <c r="P141" s="8"/>
      <c r="Q141" s="164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pans="1:28" x14ac:dyDescent="0.6">
      <c r="A142" s="8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P142" s="8"/>
      <c r="R142" s="66"/>
      <c r="S142" s="66"/>
      <c r="T142" s="66"/>
      <c r="U142" s="66"/>
      <c r="V142" s="66"/>
      <c r="W142" s="66"/>
      <c r="X142" s="66"/>
      <c r="Y142" s="66"/>
      <c r="Z142" s="66"/>
      <c r="AA142" s="66"/>
    </row>
    <row r="143" spans="1:28" x14ac:dyDescent="0.6">
      <c r="A143" s="8"/>
      <c r="B143" t="s">
        <v>182</v>
      </c>
      <c r="C143" s="66"/>
      <c r="D143" s="66"/>
      <c r="E143" s="66">
        <f>E98*1000/(E122/1000)*Q122</f>
        <v>82.768642683080643</v>
      </c>
      <c r="F143" s="66">
        <f>F98*1000/(F122/1000)*R122</f>
        <v>85.311001431868434</v>
      </c>
      <c r="G143" s="66">
        <f>G98*1000/(G122/1000)*S122</f>
        <v>83.013196894151491</v>
      </c>
      <c r="H143" s="66">
        <f>H98*1000/(H122/1000)</f>
        <v>81.078311841286776</v>
      </c>
      <c r="I143" s="66">
        <f>I98*1000/(I122/1000)</f>
        <v>70.604346876096855</v>
      </c>
      <c r="J143" s="66"/>
      <c r="K143" s="66"/>
      <c r="L143" s="66"/>
      <c r="M143" s="66"/>
      <c r="P143" s="8"/>
      <c r="R143" s="66"/>
      <c r="S143" s="66"/>
      <c r="T143" s="66"/>
      <c r="U143" s="66"/>
      <c r="V143" s="66"/>
      <c r="W143" s="66"/>
      <c r="X143" s="66"/>
      <c r="Y143" s="66"/>
      <c r="Z143" s="66"/>
      <c r="AA143" s="66"/>
    </row>
    <row r="144" spans="1:28" x14ac:dyDescent="0.6">
      <c r="A144" s="8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P144" s="8"/>
      <c r="R144" s="66"/>
      <c r="S144" s="66"/>
      <c r="T144" s="269"/>
      <c r="U144" s="269"/>
      <c r="V144" s="269"/>
      <c r="W144" s="66"/>
      <c r="X144" s="66"/>
      <c r="Y144" s="66"/>
      <c r="Z144" s="66"/>
      <c r="AA144" s="66"/>
      <c r="AB144" s="66"/>
    </row>
    <row r="145" spans="1:29" x14ac:dyDescent="0.6">
      <c r="A145" s="8"/>
      <c r="B145" s="4" t="s">
        <v>183</v>
      </c>
      <c r="P145" s="8"/>
      <c r="Q145" s="4"/>
      <c r="AA145" s="66"/>
      <c r="AB145" s="66"/>
    </row>
    <row r="146" spans="1:29" x14ac:dyDescent="0.6">
      <c r="A146" s="8"/>
      <c r="B146" s="5" t="s">
        <v>284</v>
      </c>
      <c r="P146" s="8"/>
      <c r="Q146" s="5"/>
    </row>
    <row r="147" spans="1:29" x14ac:dyDescent="0.6">
      <c r="A147" s="8"/>
      <c r="B147" s="5" t="s">
        <v>81</v>
      </c>
    </row>
    <row r="148" spans="1:29" x14ac:dyDescent="0.6">
      <c r="A148" s="8"/>
      <c r="B148" s="164"/>
      <c r="C148" s="66"/>
      <c r="D148" s="66"/>
      <c r="I148" s="126"/>
      <c r="J148" s="66"/>
      <c r="K148" s="66"/>
      <c r="L148" s="66"/>
      <c r="M148" s="171"/>
      <c r="Q148" s="270"/>
      <c r="R148" s="271"/>
      <c r="S148" s="271"/>
      <c r="T148" s="174"/>
      <c r="U148" s="174"/>
      <c r="X148" s="126"/>
      <c r="Y148" s="166"/>
      <c r="Z148" s="166"/>
    </row>
    <row r="149" spans="1:29" x14ac:dyDescent="0.6">
      <c r="A149" s="8"/>
      <c r="C149" s="66"/>
      <c r="D149" s="66"/>
      <c r="Q149" s="174"/>
      <c r="R149" s="271"/>
      <c r="S149" s="271"/>
      <c r="T149" s="174"/>
      <c r="U149" s="174"/>
      <c r="V149" s="174"/>
      <c r="W149" s="174"/>
      <c r="X149" s="174"/>
      <c r="Y149" s="174"/>
      <c r="Z149" s="174"/>
      <c r="AA149" s="66"/>
      <c r="AB149" s="171"/>
    </row>
    <row r="150" spans="1:29" x14ac:dyDescent="0.6">
      <c r="A150" s="8"/>
      <c r="B150" s="14" t="s">
        <v>185</v>
      </c>
      <c r="C150" s="66"/>
      <c r="D150" s="66"/>
      <c r="I150" s="29"/>
      <c r="M150" s="171"/>
      <c r="Q150" s="174"/>
      <c r="R150" s="271"/>
      <c r="S150" s="271"/>
      <c r="T150" s="174"/>
      <c r="U150" s="174"/>
      <c r="V150" s="174"/>
      <c r="W150" s="174"/>
      <c r="X150" s="174"/>
      <c r="Y150" s="174"/>
      <c r="Z150" s="174"/>
    </row>
    <row r="151" spans="1:29" x14ac:dyDescent="0.6">
      <c r="A151" s="8"/>
      <c r="B151" s="164"/>
      <c r="C151" s="66"/>
      <c r="D151" s="66"/>
      <c r="I151" s="126"/>
      <c r="J151" s="49"/>
      <c r="K151" s="49"/>
      <c r="L151" s="49"/>
      <c r="M151" s="171"/>
      <c r="Q151" s="270"/>
      <c r="R151" s="271"/>
      <c r="S151" s="271"/>
      <c r="T151" s="174"/>
      <c r="U151" s="174"/>
      <c r="V151" s="174"/>
      <c r="W151" s="174"/>
      <c r="X151" s="174"/>
      <c r="Y151" s="174"/>
      <c r="Z151" s="174"/>
      <c r="AB151" s="171"/>
    </row>
    <row r="152" spans="1:29" x14ac:dyDescent="0.6">
      <c r="A152" s="8"/>
      <c r="B152" s="4" t="s">
        <v>291</v>
      </c>
      <c r="C152" s="66"/>
      <c r="D152" s="66"/>
      <c r="Q152" s="270"/>
      <c r="R152" s="271"/>
      <c r="S152" s="271"/>
      <c r="T152" s="174"/>
      <c r="U152" s="174"/>
      <c r="V152" s="174"/>
      <c r="W152" s="174"/>
      <c r="X152" s="174"/>
      <c r="Y152" s="174"/>
      <c r="Z152" s="174"/>
    </row>
    <row r="153" spans="1:29" x14ac:dyDescent="0.6">
      <c r="A153" s="8"/>
      <c r="B153" s="126" t="s">
        <v>197</v>
      </c>
      <c r="C153" s="23">
        <f>J98</f>
        <v>1311917.2344160725</v>
      </c>
      <c r="G153" s="148"/>
      <c r="Q153" s="270"/>
      <c r="R153" s="271"/>
      <c r="S153" s="271"/>
      <c r="T153" s="174"/>
      <c r="U153" s="174"/>
      <c r="V153" s="174"/>
      <c r="W153" s="174"/>
      <c r="X153" s="174"/>
      <c r="Y153" s="174"/>
      <c r="Z153" s="174"/>
    </row>
    <row r="154" spans="1:29" x14ac:dyDescent="0.6">
      <c r="A154" s="8"/>
      <c r="C154" s="126" t="s">
        <v>292</v>
      </c>
      <c r="D154" s="66">
        <f>+C153/SUMPRODUCT('BGS PTY22 Cost Alloc'!E72:I72,'BGS PTY22 Cost Alloc'!E95:I95)*1000</f>
        <v>75.902678406704666</v>
      </c>
      <c r="E154" t="s">
        <v>293</v>
      </c>
      <c r="I154" t="s">
        <v>3</v>
      </c>
      <c r="Q154" s="270"/>
      <c r="R154" s="271"/>
      <c r="S154" s="271"/>
      <c r="T154" s="174"/>
      <c r="U154" s="174"/>
      <c r="V154" s="174"/>
      <c r="W154" s="174"/>
      <c r="X154" s="174"/>
      <c r="Y154" s="174"/>
      <c r="Z154" s="174"/>
    </row>
    <row r="155" spans="1:29" x14ac:dyDescent="0.6">
      <c r="A155" s="8"/>
      <c r="C155" s="126" t="s">
        <v>294</v>
      </c>
      <c r="D155" s="66">
        <f>C153/SUMPRODUCT('BGS PTY22 Cost Alloc'!E72:I72,'BGS PTY22 Cost Alloc'!E98:I98)*1000</f>
        <v>76.626721146368169</v>
      </c>
      <c r="E155" t="s">
        <v>295</v>
      </c>
      <c r="J155" s="52"/>
      <c r="K155" s="52"/>
      <c r="L155" s="52"/>
      <c r="Q155" s="198"/>
      <c r="R155" s="272"/>
      <c r="S155" s="67"/>
      <c r="T155" s="198"/>
      <c r="U155" s="198"/>
      <c r="V155" s="198"/>
      <c r="W155" s="198"/>
      <c r="X155" s="198"/>
      <c r="Y155" s="52"/>
      <c r="Z155" s="52"/>
    </row>
    <row r="156" spans="1:29" ht="15.5" x14ac:dyDescent="0.7">
      <c r="A156" s="8"/>
      <c r="B156" s="340" t="str">
        <f>$B$1</f>
        <v xml:space="preserve">Jersey Central Power &amp; Light </v>
      </c>
      <c r="C156" s="340"/>
      <c r="D156" s="340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P156" s="8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2"/>
    </row>
    <row r="157" spans="1:29" ht="15.5" x14ac:dyDescent="0.7">
      <c r="A157" s="8"/>
      <c r="B157" s="340" t="str">
        <f>$B$2</f>
        <v>Attachment 2</v>
      </c>
      <c r="C157" s="340"/>
      <c r="D157" s="340"/>
      <c r="E157" s="340"/>
      <c r="F157" s="340"/>
      <c r="G157" s="340"/>
      <c r="H157" s="340"/>
      <c r="I157" s="340"/>
      <c r="J157" s="340"/>
      <c r="K157" s="340"/>
      <c r="L157" s="340"/>
      <c r="M157" s="340"/>
      <c r="N157" s="340"/>
      <c r="P157" s="8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5" x14ac:dyDescent="0.7">
      <c r="A158" s="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P158" s="8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6">
      <c r="A159" s="6" t="s">
        <v>324</v>
      </c>
      <c r="B159" s="4" t="s">
        <v>325</v>
      </c>
      <c r="J159" s="4" t="s">
        <v>3</v>
      </c>
      <c r="K159" s="4"/>
      <c r="L159" s="4"/>
      <c r="M159" s="4"/>
      <c r="N159" s="4"/>
      <c r="P159" s="6"/>
      <c r="Q159" s="68"/>
      <c r="R159" s="198"/>
      <c r="S159" s="198"/>
      <c r="T159" s="198"/>
      <c r="U159" s="198"/>
      <c r="V159" s="198"/>
      <c r="W159" s="198"/>
      <c r="X159" s="198"/>
      <c r="Y159" s="4"/>
      <c r="Z159" s="4"/>
    </row>
    <row r="160" spans="1:29" x14ac:dyDescent="0.6">
      <c r="A160" s="8"/>
      <c r="B160" s="4"/>
      <c r="P160" s="8"/>
      <c r="Q160" s="68"/>
      <c r="R160" s="198"/>
      <c r="S160" s="198"/>
      <c r="T160" s="198"/>
      <c r="U160" s="198"/>
      <c r="V160" s="198"/>
      <c r="W160" s="198"/>
      <c r="X160" s="198"/>
      <c r="AA160" s="4"/>
      <c r="AB160" s="4"/>
      <c r="AC160" s="4"/>
    </row>
    <row r="161" spans="1:29" x14ac:dyDescent="0.6">
      <c r="A161" s="8"/>
      <c r="B161" s="4" t="s">
        <v>180</v>
      </c>
      <c r="P161" s="8"/>
      <c r="Q161" s="68"/>
      <c r="R161" s="198"/>
      <c r="S161" s="198"/>
      <c r="T161" s="198"/>
      <c r="U161" s="198"/>
      <c r="V161" s="198"/>
      <c r="W161" s="198"/>
      <c r="X161" s="198"/>
    </row>
    <row r="162" spans="1:29" x14ac:dyDescent="0.6">
      <c r="A162" s="8"/>
      <c r="B162" s="5" t="s">
        <v>283</v>
      </c>
      <c r="P162" s="8"/>
      <c r="Q162" s="69"/>
      <c r="R162" s="198"/>
      <c r="S162" s="198"/>
      <c r="T162" s="198"/>
      <c r="U162" s="198"/>
      <c r="V162" s="198"/>
      <c r="W162" s="198"/>
      <c r="X162" s="198"/>
    </row>
    <row r="163" spans="1:29" x14ac:dyDescent="0.6">
      <c r="A163" s="8"/>
      <c r="B163" s="4"/>
      <c r="P163" s="8"/>
      <c r="Q163" s="68"/>
      <c r="R163" s="198"/>
      <c r="S163" s="198"/>
      <c r="T163" s="198"/>
      <c r="U163" s="198"/>
      <c r="V163" s="198"/>
      <c r="W163" s="198"/>
      <c r="X163" s="198"/>
    </row>
    <row r="164" spans="1:29" x14ac:dyDescent="0.6">
      <c r="A164" s="8"/>
      <c r="C164" s="11"/>
      <c r="D164" s="11"/>
      <c r="E164" s="11" t="str">
        <f>+E$10</f>
        <v>RT{1}</v>
      </c>
      <c r="F164" s="11" t="str">
        <f>+F$10</f>
        <v>RS{2}</v>
      </c>
      <c r="G164" s="11" t="str">
        <f>+G$10</f>
        <v>GS{3}</v>
      </c>
      <c r="H164" s="11" t="str">
        <f>+H$10</f>
        <v>GST {4}</v>
      </c>
      <c r="I164" s="11" t="str">
        <f>+I$10</f>
        <v>OL/SL</v>
      </c>
      <c r="J164" s="11"/>
      <c r="K164" s="11"/>
      <c r="L164" s="11"/>
      <c r="M164" s="11"/>
      <c r="N164" s="11"/>
      <c r="P164" s="8"/>
      <c r="Q164" s="198"/>
      <c r="R164" s="53"/>
      <c r="S164" s="53"/>
      <c r="T164" s="53"/>
      <c r="U164" s="53"/>
      <c r="V164" s="53"/>
      <c r="W164" s="53"/>
      <c r="X164" s="53"/>
      <c r="Y164" s="11"/>
      <c r="Z164" s="11"/>
    </row>
    <row r="165" spans="1:29" x14ac:dyDescent="0.6">
      <c r="A165" s="8"/>
      <c r="C165" s="11"/>
      <c r="D165" s="11"/>
      <c r="E165" s="11"/>
      <c r="F165" s="11"/>
      <c r="G165" s="11"/>
      <c r="P165" s="8"/>
      <c r="Q165" s="198"/>
      <c r="R165" s="53"/>
      <c r="S165" s="53"/>
      <c r="T165" s="53"/>
      <c r="U165" s="53"/>
      <c r="V165" s="53"/>
      <c r="W165" s="198"/>
      <c r="X165" s="198"/>
      <c r="AA165" s="11"/>
      <c r="AB165" s="11"/>
      <c r="AC165" s="11"/>
    </row>
    <row r="166" spans="1:29" x14ac:dyDescent="0.6">
      <c r="A166" s="8"/>
      <c r="B166" s="99" t="s">
        <v>108</v>
      </c>
      <c r="C166" s="33"/>
      <c r="D166" s="33"/>
      <c r="E166" s="72">
        <f>+ROUND(E133/$D$155,3)</f>
        <v>1.077</v>
      </c>
      <c r="F166" s="72">
        <f>ROUND((F88+F89)*R122*1000000/(F113+F114)/D155,3)</f>
        <v>1.085</v>
      </c>
      <c r="G166" s="72">
        <f>+ROUND(G133/$D$155,3)</f>
        <v>1.0780000000000001</v>
      </c>
      <c r="H166" s="72"/>
      <c r="I166" s="72">
        <f>+ROUND(I133/$D$155,3)</f>
        <v>0.89700000000000002</v>
      </c>
      <c r="J166" s="33"/>
      <c r="K166" s="33"/>
      <c r="L166" s="33"/>
      <c r="M166" s="33"/>
      <c r="N166" s="33"/>
      <c r="P166" s="8"/>
      <c r="Q166" s="273"/>
      <c r="R166" s="70"/>
      <c r="S166" s="70"/>
      <c r="T166" s="71"/>
      <c r="U166" s="71"/>
      <c r="V166" s="71"/>
      <c r="W166" s="71"/>
      <c r="X166" s="71"/>
      <c r="Y166" s="33"/>
      <c r="Z166" s="33"/>
    </row>
    <row r="167" spans="1:29" x14ac:dyDescent="0.6">
      <c r="A167" s="8"/>
      <c r="B167" s="164" t="s">
        <v>128</v>
      </c>
      <c r="C167" s="192"/>
      <c r="D167" s="192"/>
      <c r="E167" s="72">
        <f>+ROUND(E134/$D$155,3)</f>
        <v>1.429</v>
      </c>
      <c r="F167" s="277"/>
      <c r="G167" s="277"/>
      <c r="H167" s="72">
        <f>+ROUND(H134/$D$155,3)</f>
        <v>1.3420000000000001</v>
      </c>
      <c r="I167" s="277"/>
      <c r="J167" s="192"/>
      <c r="K167" s="192"/>
      <c r="L167" s="192"/>
      <c r="M167" s="192"/>
      <c r="N167" s="192"/>
      <c r="P167" s="8"/>
      <c r="Q167" s="274"/>
      <c r="R167" s="275"/>
      <c r="S167" s="275"/>
      <c r="T167" s="71"/>
      <c r="U167" s="276"/>
      <c r="V167" s="276"/>
      <c r="W167" s="71"/>
      <c r="X167" s="276"/>
      <c r="Y167" s="192"/>
      <c r="Z167" s="192"/>
      <c r="AA167" s="33"/>
      <c r="AB167" s="33"/>
      <c r="AC167" s="33"/>
    </row>
    <row r="168" spans="1:29" x14ac:dyDescent="0.6">
      <c r="A168" s="8"/>
      <c r="B168" s="164" t="s">
        <v>129</v>
      </c>
      <c r="C168" s="192"/>
      <c r="D168" s="192"/>
      <c r="E168" s="72">
        <f>+ROUND(E135/$D$155,3)</f>
        <v>0.81299999999999994</v>
      </c>
      <c r="F168" s="277"/>
      <c r="G168" s="277"/>
      <c r="H168" s="72">
        <f>+ROUND(H135/$D$155,3)</f>
        <v>0.82199999999999995</v>
      </c>
      <c r="I168" s="277"/>
      <c r="J168" s="192"/>
      <c r="K168" s="192"/>
      <c r="L168" s="192"/>
      <c r="M168" s="192"/>
      <c r="N168" s="192"/>
      <c r="O168" s="277">
        <f>(F88+F89)*1000000/(F113+F114)</f>
        <v>83.681782337134365</v>
      </c>
      <c r="P168" s="8"/>
      <c r="Q168" s="274"/>
      <c r="R168" s="275"/>
      <c r="S168" s="275"/>
      <c r="T168" s="71"/>
      <c r="U168" s="276"/>
      <c r="V168" s="276"/>
      <c r="W168" s="71"/>
      <c r="X168" s="276"/>
      <c r="Y168" s="192"/>
      <c r="Z168" s="277"/>
      <c r="AA168" s="192"/>
      <c r="AB168" s="192"/>
      <c r="AC168" s="192"/>
    </row>
    <row r="169" spans="1:29" x14ac:dyDescent="0.6">
      <c r="A169" s="8"/>
      <c r="B169" s="164"/>
      <c r="C169" s="192"/>
      <c r="D169" s="192"/>
      <c r="E169" s="72"/>
      <c r="G169" s="277"/>
      <c r="H169" s="72"/>
      <c r="I169" s="277"/>
      <c r="K169" s="277"/>
      <c r="L169" s="277"/>
      <c r="M169" s="277"/>
      <c r="N169" s="277"/>
      <c r="O169" s="277">
        <f>F88*1000000/F113</f>
        <v>79.604190452359191</v>
      </c>
      <c r="P169" s="8"/>
      <c r="Q169" s="164"/>
      <c r="R169" s="192"/>
      <c r="S169" s="192"/>
      <c r="T169" s="72"/>
      <c r="V169" s="277"/>
      <c r="W169" s="72"/>
      <c r="X169" s="277"/>
      <c r="Z169" s="277"/>
      <c r="AA169" s="192"/>
      <c r="AB169" s="192"/>
      <c r="AC169" s="192"/>
    </row>
    <row r="170" spans="1:29" x14ac:dyDescent="0.6">
      <c r="A170" s="8"/>
      <c r="B170" s="164"/>
      <c r="C170" s="192"/>
      <c r="D170" s="192"/>
      <c r="E170" s="72"/>
      <c r="G170" s="277"/>
      <c r="H170" s="72"/>
      <c r="I170" s="277"/>
      <c r="K170" s="277"/>
      <c r="L170" s="277"/>
      <c r="M170" s="277"/>
      <c r="N170" s="277"/>
      <c r="O170" s="277">
        <f>F89*1000000/F114</f>
        <v>88.256190452359192</v>
      </c>
      <c r="P170" s="8"/>
      <c r="Q170" s="164"/>
      <c r="R170" s="192"/>
      <c r="S170" s="192"/>
      <c r="T170" s="72"/>
      <c r="V170" s="277"/>
      <c r="W170" s="72"/>
      <c r="X170" s="277"/>
      <c r="Z170" s="277"/>
      <c r="AA170" s="277"/>
      <c r="AB170" s="277"/>
      <c r="AC170" s="277"/>
    </row>
    <row r="171" spans="1:29" x14ac:dyDescent="0.6">
      <c r="A171" s="8"/>
      <c r="C171" s="73"/>
      <c r="D171" s="73"/>
      <c r="E171" s="278" t="s">
        <v>326</v>
      </c>
      <c r="F171" s="72">
        <f>ROUND(O169-O168,3)</f>
        <v>-4.0780000000000003</v>
      </c>
      <c r="G171" s="277"/>
      <c r="H171" s="72"/>
      <c r="I171" s="277"/>
      <c r="J171" s="192"/>
      <c r="K171" s="192"/>
      <c r="L171" s="192"/>
      <c r="M171" s="192"/>
      <c r="N171" s="192"/>
      <c r="P171" s="8"/>
      <c r="R171" s="73"/>
      <c r="S171" s="73"/>
      <c r="T171" s="278"/>
      <c r="U171" s="72"/>
      <c r="V171" s="277"/>
      <c r="W171" s="72"/>
      <c r="X171" s="277"/>
      <c r="Y171" s="192"/>
      <c r="Z171" s="192"/>
      <c r="AA171" s="192"/>
      <c r="AB171" s="192"/>
      <c r="AC171" s="192"/>
    </row>
    <row r="172" spans="1:29" x14ac:dyDescent="0.6">
      <c r="A172" s="8"/>
      <c r="C172" s="73"/>
      <c r="D172" s="73"/>
      <c r="E172" s="278" t="s">
        <v>327</v>
      </c>
      <c r="F172" s="72">
        <f>ROUND(O170-O168,3)</f>
        <v>4.5739999999999998</v>
      </c>
      <c r="G172" s="277"/>
      <c r="H172" s="72"/>
      <c r="I172" s="277"/>
      <c r="J172" s="192"/>
      <c r="K172" s="192"/>
      <c r="L172" s="192"/>
      <c r="M172" s="192"/>
      <c r="N172" s="192"/>
      <c r="P172" s="8"/>
      <c r="R172" s="73"/>
      <c r="S172" s="73"/>
      <c r="T172" s="278"/>
      <c r="U172" s="72"/>
      <c r="V172" s="277"/>
      <c r="W172" s="72"/>
      <c r="X172" s="277"/>
      <c r="Y172" s="192"/>
      <c r="Z172" s="192"/>
      <c r="AA172" s="192"/>
      <c r="AB172" s="192"/>
      <c r="AC172" s="192"/>
    </row>
    <row r="173" spans="1:29" x14ac:dyDescent="0.6">
      <c r="A173" s="8"/>
      <c r="C173" s="192"/>
      <c r="D173" s="192"/>
      <c r="E173" s="277"/>
      <c r="F173" s="277"/>
      <c r="G173" s="277"/>
      <c r="H173" s="277"/>
      <c r="I173" s="277"/>
      <c r="J173" s="192"/>
      <c r="K173" s="192"/>
      <c r="L173" s="192"/>
      <c r="M173" s="192"/>
      <c r="N173" s="192"/>
      <c r="P173" s="8"/>
      <c r="R173" s="192"/>
      <c r="S173" s="192"/>
      <c r="T173" s="277"/>
      <c r="U173" s="277"/>
      <c r="V173" s="277"/>
      <c r="W173" s="277"/>
      <c r="X173" s="277"/>
      <c r="Y173" s="192"/>
      <c r="Z173" s="192"/>
      <c r="AA173" s="192"/>
      <c r="AB173" s="192"/>
      <c r="AC173" s="192"/>
    </row>
    <row r="174" spans="1:29" x14ac:dyDescent="0.6">
      <c r="A174" s="8"/>
      <c r="B174" s="99" t="s">
        <v>111</v>
      </c>
      <c r="C174" s="33"/>
      <c r="D174" s="33"/>
      <c r="E174" s="72">
        <f>ROUND(E139/$D$155,3)</f>
        <v>1.0920000000000001</v>
      </c>
      <c r="F174" s="72">
        <f>ROUND(F139/$D$155,3)</f>
        <v>1.1339999999999999</v>
      </c>
      <c r="G174" s="72">
        <f>ROUND(G139/$D$155,3)</f>
        <v>1.0860000000000001</v>
      </c>
      <c r="H174" s="72"/>
      <c r="I174" s="72">
        <f>ROUND(I139/$D$155,3)</f>
        <v>0.93300000000000005</v>
      </c>
      <c r="J174" s="33"/>
      <c r="K174" s="33"/>
      <c r="L174" s="33"/>
      <c r="M174" s="33"/>
      <c r="N174" s="33"/>
      <c r="P174" s="8"/>
      <c r="Q174" s="273"/>
      <c r="R174" s="70"/>
      <c r="S174" s="70"/>
      <c r="T174" s="71"/>
      <c r="U174" s="71"/>
      <c r="V174" s="71"/>
      <c r="W174" s="71"/>
      <c r="X174" s="71"/>
      <c r="Y174" s="33"/>
      <c r="Z174" s="33"/>
      <c r="AA174" s="192"/>
      <c r="AB174" s="192"/>
      <c r="AC174" s="192"/>
    </row>
    <row r="175" spans="1:29" x14ac:dyDescent="0.6">
      <c r="A175" s="8"/>
      <c r="B175" s="164" t="s">
        <v>128</v>
      </c>
      <c r="C175" s="192"/>
      <c r="D175" s="192"/>
      <c r="E175" s="72">
        <f>ROUND(E140/$D$155,3)</f>
        <v>1.4370000000000001</v>
      </c>
      <c r="F175" s="277"/>
      <c r="G175" s="277"/>
      <c r="H175" s="72">
        <f>ROUND(H140/$D$155,3)</f>
        <v>1.2889999999999999</v>
      </c>
      <c r="I175" s="277"/>
      <c r="J175" s="192"/>
      <c r="K175" s="192"/>
      <c r="L175" s="192"/>
      <c r="M175" s="192"/>
      <c r="N175" s="192"/>
      <c r="P175" s="8"/>
      <c r="Q175" s="274"/>
      <c r="R175" s="275"/>
      <c r="S175" s="275"/>
      <c r="T175" s="71"/>
      <c r="U175" s="276"/>
      <c r="V175" s="276"/>
      <c r="W175" s="71"/>
      <c r="X175" s="276"/>
      <c r="Y175" s="192"/>
      <c r="Z175" s="192"/>
      <c r="AA175" s="33"/>
      <c r="AB175" s="33"/>
      <c r="AC175" s="33"/>
    </row>
    <row r="176" spans="1:29" x14ac:dyDescent="0.6">
      <c r="A176" s="8"/>
      <c r="B176" s="164" t="s">
        <v>129</v>
      </c>
      <c r="C176" s="192"/>
      <c r="D176" s="192"/>
      <c r="E176" s="72">
        <f>ROUND(E141/$D$155,3)</f>
        <v>0.88700000000000001</v>
      </c>
      <c r="F176" s="277"/>
      <c r="G176" s="277"/>
      <c r="H176" s="72">
        <f>ROUND(H141/$D$155,3)</f>
        <v>0.88800000000000001</v>
      </c>
      <c r="I176" s="277"/>
      <c r="J176" s="192"/>
      <c r="K176" s="192"/>
      <c r="L176" s="192"/>
      <c r="M176" s="192"/>
      <c r="N176" s="192"/>
      <c r="P176" s="8"/>
      <c r="Q176" s="274"/>
      <c r="R176" s="275"/>
      <c r="S176" s="275"/>
      <c r="T176" s="71"/>
      <c r="U176" s="276"/>
      <c r="V176" s="276"/>
      <c r="W176" s="71"/>
      <c r="X176" s="276"/>
      <c r="Y176" s="192"/>
      <c r="Z176" s="192"/>
      <c r="AA176" s="192"/>
      <c r="AB176" s="192"/>
      <c r="AC176" s="192"/>
    </row>
    <row r="177" spans="1:29" x14ac:dyDescent="0.6">
      <c r="A177" s="8"/>
      <c r="C177" s="194"/>
      <c r="D177" s="194"/>
      <c r="E177" s="283"/>
      <c r="F177" s="283"/>
      <c r="G177" s="283"/>
      <c r="H177" s="283"/>
      <c r="I177" s="283"/>
      <c r="J177" s="194"/>
      <c r="K177" s="194"/>
      <c r="L177" s="194"/>
      <c r="M177" s="194"/>
      <c r="N177" s="194"/>
      <c r="P177" s="8"/>
      <c r="Q177" s="198"/>
      <c r="R177" s="279"/>
      <c r="S177" s="279"/>
      <c r="T177" s="280"/>
      <c r="U177" s="280"/>
      <c r="V177" s="280"/>
      <c r="W177" s="280"/>
      <c r="X177" s="280"/>
      <c r="Y177" s="194"/>
      <c r="Z177" s="194"/>
      <c r="AA177" s="192"/>
      <c r="AB177" s="192"/>
      <c r="AC177" s="192"/>
    </row>
    <row r="178" spans="1:29" x14ac:dyDescent="0.6">
      <c r="A178" s="8"/>
      <c r="B178" t="s">
        <v>328</v>
      </c>
      <c r="C178" s="194"/>
      <c r="D178" s="194"/>
      <c r="E178" s="284">
        <f>ROUND(E143/$D$155,3)</f>
        <v>1.08</v>
      </c>
      <c r="F178" s="284">
        <f>ROUND(F143/$D$155,3)</f>
        <v>1.113</v>
      </c>
      <c r="G178" s="284">
        <f>ROUND(G143/$D$155,3)</f>
        <v>1.083</v>
      </c>
      <c r="H178" s="284">
        <f>ROUND(H143/$D$155,3)</f>
        <v>1.0580000000000001</v>
      </c>
      <c r="I178" s="284">
        <f>ROUND(I143/$D$155,3)</f>
        <v>0.92100000000000004</v>
      </c>
      <c r="J178" s="194"/>
      <c r="K178" s="194"/>
      <c r="L178" s="194"/>
      <c r="M178" s="194"/>
      <c r="N178" s="194"/>
      <c r="P178" s="8"/>
      <c r="Q178" s="198"/>
      <c r="R178" s="279"/>
      <c r="S178" s="279"/>
      <c r="T178" s="74"/>
      <c r="U178" s="74"/>
      <c r="V178" s="74"/>
      <c r="W178" s="74"/>
      <c r="X178" s="74"/>
      <c r="Y178" s="194"/>
      <c r="Z178" s="194"/>
      <c r="AA178" s="194"/>
      <c r="AB178" s="194"/>
      <c r="AC178" s="194"/>
    </row>
    <row r="179" spans="1:29" x14ac:dyDescent="0.6">
      <c r="A179" s="8"/>
      <c r="D179" s="126"/>
      <c r="P179" s="8"/>
      <c r="AA179" s="194"/>
      <c r="AB179" s="194"/>
      <c r="AC179" s="194"/>
    </row>
    <row r="180" spans="1:29" x14ac:dyDescent="0.6">
      <c r="J180" s="23"/>
      <c r="Y180" s="264"/>
    </row>
    <row r="181" spans="1:29" x14ac:dyDescent="0.6">
      <c r="J181" s="264"/>
    </row>
    <row r="182" spans="1:29" x14ac:dyDescent="0.6">
      <c r="J182" s="23"/>
      <c r="Y182" s="45"/>
    </row>
    <row r="183" spans="1:29" x14ac:dyDescent="0.6">
      <c r="J183" s="264"/>
    </row>
    <row r="184" spans="1:29" x14ac:dyDescent="0.6">
      <c r="J184" s="148"/>
      <c r="Z184" s="239"/>
    </row>
  </sheetData>
  <mergeCells count="12">
    <mergeCell ref="B157:N157"/>
    <mergeCell ref="B1:N1"/>
    <mergeCell ref="B2:N2"/>
    <mergeCell ref="B3:N3"/>
    <mergeCell ref="B5:N5"/>
    <mergeCell ref="B54:N54"/>
    <mergeCell ref="B55:N55"/>
    <mergeCell ref="B56:N56"/>
    <mergeCell ref="B100:N100"/>
    <mergeCell ref="B101:N101"/>
    <mergeCell ref="B102:N102"/>
    <mergeCell ref="B156:N156"/>
  </mergeCells>
  <pageMargins left="0.7" right="0.7" top="0.75" bottom="0.75" header="0.3" footer="0.3"/>
  <pageSetup scale="65" fitToHeight="0" orientation="landscape" r:id="rId1"/>
  <headerFooter alignWithMargins="0">
    <oddFooter>&amp;L&amp;F    &amp;A&amp;CPage &amp;P of &amp;N&amp;R&amp;D</oddFooter>
  </headerFooter>
  <rowBreaks count="3" manualBreakCount="3">
    <brk id="53" max="9" man="1"/>
    <brk id="98" max="9" man="1"/>
    <brk id="155" max="9" man="1"/>
  </rowBreaks>
  <colBreaks count="1" manualBreakCount="1">
    <brk id="15" max="2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1133-D746-400B-8D2A-5C91A4114820}">
  <sheetPr>
    <pageSetUpPr fitToPage="1"/>
  </sheetPr>
  <dimension ref="A1:Q58"/>
  <sheetViews>
    <sheetView view="pageBreakPreview" zoomScale="80" zoomScaleNormal="71" zoomScaleSheetLayoutView="80" workbookViewId="0"/>
  </sheetViews>
  <sheetFormatPr defaultColWidth="8.90625" defaultRowHeight="13" x14ac:dyDescent="0.6"/>
  <cols>
    <col min="1" max="1" width="5.6328125" style="285" customWidth="1"/>
    <col min="2" max="2" width="40.453125" style="285" customWidth="1"/>
    <col min="3" max="3" width="16.7265625" style="285" customWidth="1"/>
    <col min="4" max="4" width="16.81640625" style="285" customWidth="1"/>
    <col min="5" max="5" width="15.1796875" style="285" customWidth="1"/>
    <col min="6" max="6" width="17.1796875" style="285" customWidth="1"/>
    <col min="7" max="7" width="19.81640625" style="285" customWidth="1"/>
    <col min="8" max="8" width="20.7265625" style="285" customWidth="1"/>
    <col min="9" max="16384" width="8.90625" style="285"/>
  </cols>
  <sheetData>
    <row r="1" spans="1:17" ht="15.5" x14ac:dyDescent="0.7">
      <c r="A1" s="96"/>
      <c r="B1" s="340" t="s">
        <v>0</v>
      </c>
      <c r="C1" s="340"/>
      <c r="D1" s="340"/>
      <c r="E1" s="340"/>
      <c r="F1" s="340"/>
    </row>
    <row r="2" spans="1:17" ht="15.5" x14ac:dyDescent="0.7">
      <c r="A2" s="96"/>
      <c r="B2" s="340" t="s">
        <v>329</v>
      </c>
      <c r="C2" s="340"/>
      <c r="D2" s="340"/>
      <c r="E2" s="340"/>
      <c r="F2" s="340"/>
    </row>
    <row r="3" spans="1:17" ht="33" customHeight="1" x14ac:dyDescent="0.7">
      <c r="A3" s="96"/>
      <c r="B3" s="346" t="s">
        <v>330</v>
      </c>
      <c r="C3" s="340"/>
      <c r="D3" s="340"/>
      <c r="E3" s="340"/>
      <c r="F3" s="340"/>
    </row>
    <row r="4" spans="1:17" ht="15.5" x14ac:dyDescent="0.7">
      <c r="A4" s="96"/>
      <c r="B4" s="1"/>
      <c r="C4" s="1"/>
      <c r="D4" s="1"/>
      <c r="E4" s="1"/>
      <c r="F4" s="1"/>
    </row>
    <row r="5" spans="1:17" ht="18" x14ac:dyDescent="0.8">
      <c r="A5" s="347" t="s">
        <v>331</v>
      </c>
      <c r="B5" s="347"/>
      <c r="C5" s="347"/>
      <c r="D5" s="347"/>
      <c r="E5" s="347"/>
      <c r="F5" s="347"/>
    </row>
    <row r="7" spans="1:17" ht="72" customHeight="1" x14ac:dyDescent="0.6">
      <c r="C7" s="75" t="s">
        <v>332</v>
      </c>
      <c r="D7" s="75" t="s">
        <v>333</v>
      </c>
      <c r="E7" s="286" t="s">
        <v>334</v>
      </c>
      <c r="F7" s="75"/>
      <c r="I7" s="285" t="s">
        <v>3</v>
      </c>
    </row>
    <row r="8" spans="1:17" ht="31.5" customHeight="1" x14ac:dyDescent="0.6">
      <c r="A8" s="304">
        <v>1</v>
      </c>
      <c r="B8" s="76" t="s">
        <v>335</v>
      </c>
      <c r="C8" s="337">
        <v>54.5</v>
      </c>
      <c r="D8" s="337">
        <v>54.5</v>
      </c>
      <c r="E8" s="344" t="s">
        <v>336</v>
      </c>
      <c r="F8" s="344"/>
      <c r="G8" s="344"/>
      <c r="H8" s="290"/>
    </row>
    <row r="9" spans="1:17" ht="28" customHeight="1" x14ac:dyDescent="0.6">
      <c r="A9" s="304">
        <v>2</v>
      </c>
      <c r="B9" s="77" t="s">
        <v>337</v>
      </c>
      <c r="C9" s="338">
        <v>87.98</v>
      </c>
      <c r="D9" s="338">
        <v>66.38</v>
      </c>
      <c r="E9" s="344" t="s">
        <v>338</v>
      </c>
      <c r="F9" s="344"/>
      <c r="G9" s="344"/>
      <c r="H9" s="287"/>
    </row>
    <row r="10" spans="1:17" ht="14.5" customHeight="1" x14ac:dyDescent="0.6">
      <c r="A10" s="287">
        <v>3</v>
      </c>
      <c r="B10" s="78" t="s">
        <v>339</v>
      </c>
      <c r="C10" s="288">
        <f>C8-C9</f>
        <v>-33.480000000000004</v>
      </c>
      <c r="D10" s="288">
        <f>D8-D9</f>
        <v>-11.879999999999995</v>
      </c>
      <c r="E10" s="348" t="s">
        <v>340</v>
      </c>
      <c r="F10" s="348"/>
      <c r="G10" s="348"/>
      <c r="H10" s="287"/>
      <c r="I10" s="293"/>
    </row>
    <row r="11" spans="1:17" x14ac:dyDescent="0.6">
      <c r="A11" s="287">
        <f>A10+1</f>
        <v>4</v>
      </c>
      <c r="B11" s="79" t="s">
        <v>341</v>
      </c>
      <c r="C11" s="294">
        <f>'BGS PTY22 Cost Alloc'!J164</f>
        <v>4722.3618050799996</v>
      </c>
      <c r="D11" s="294">
        <f>C11</f>
        <v>4722.3618050799996</v>
      </c>
      <c r="E11" s="345" t="s">
        <v>405</v>
      </c>
      <c r="F11" s="345"/>
      <c r="G11" s="345"/>
      <c r="H11" s="345"/>
      <c r="I11" s="293"/>
    </row>
    <row r="12" spans="1:17" x14ac:dyDescent="0.6">
      <c r="A12" s="287">
        <f t="shared" ref="A12:A20" si="0">A11+1</f>
        <v>5</v>
      </c>
      <c r="B12" s="79" t="s">
        <v>342</v>
      </c>
      <c r="C12" s="295">
        <v>365</v>
      </c>
      <c r="D12" s="295">
        <v>365</v>
      </c>
      <c r="E12" s="296"/>
      <c r="F12" s="296"/>
      <c r="G12" s="287"/>
      <c r="H12" s="287"/>
      <c r="I12" s="293"/>
      <c r="J12" s="297"/>
    </row>
    <row r="13" spans="1:17" x14ac:dyDescent="0.6">
      <c r="A13" s="287">
        <f t="shared" si="0"/>
        <v>6</v>
      </c>
      <c r="B13" s="79" t="s">
        <v>343</v>
      </c>
      <c r="C13" s="298">
        <f>C10*C11*C12</f>
        <v>-57708205.730438612</v>
      </c>
      <c r="D13" s="298">
        <f>D10*D11*D12</f>
        <v>-20477105.259187885</v>
      </c>
      <c r="E13" s="299" t="s">
        <v>344</v>
      </c>
      <c r="F13" s="296"/>
      <c r="G13" s="287"/>
      <c r="H13" s="287"/>
      <c r="I13" s="293"/>
      <c r="J13" s="293"/>
      <c r="P13" s="293"/>
    </row>
    <row r="14" spans="1:17" x14ac:dyDescent="0.6">
      <c r="A14" s="287">
        <f t="shared" si="0"/>
        <v>7</v>
      </c>
      <c r="B14" s="79" t="s">
        <v>345</v>
      </c>
      <c r="C14" s="300">
        <f>C37</f>
        <v>18</v>
      </c>
      <c r="D14" s="300">
        <f>D37</f>
        <v>15</v>
      </c>
      <c r="E14" s="296"/>
      <c r="F14" s="296"/>
      <c r="G14" s="287"/>
      <c r="H14" s="287"/>
      <c r="J14" s="301"/>
      <c r="K14" s="302"/>
      <c r="P14" s="293"/>
      <c r="Q14" s="302"/>
    </row>
    <row r="15" spans="1:17" x14ac:dyDescent="0.6">
      <c r="A15" s="287">
        <f t="shared" si="0"/>
        <v>8</v>
      </c>
      <c r="B15" s="79" t="s">
        <v>346</v>
      </c>
      <c r="C15" s="295">
        <f>E38</f>
        <v>53</v>
      </c>
      <c r="D15" s="295">
        <f>C15</f>
        <v>53</v>
      </c>
      <c r="E15" s="296"/>
      <c r="F15" s="296"/>
      <c r="G15" s="287"/>
      <c r="H15" s="287"/>
      <c r="K15" s="302"/>
      <c r="Q15" s="302"/>
    </row>
    <row r="16" spans="1:17" ht="18" customHeight="1" x14ac:dyDescent="0.6">
      <c r="A16" s="287">
        <f t="shared" si="0"/>
        <v>9</v>
      </c>
      <c r="B16" s="79" t="s">
        <v>347</v>
      </c>
      <c r="C16" s="303">
        <f>C14/C15</f>
        <v>0.33962264150943394</v>
      </c>
      <c r="D16" s="303">
        <f>D14/D15</f>
        <v>0.28301886792452829</v>
      </c>
      <c r="E16" s="299" t="s">
        <v>348</v>
      </c>
      <c r="F16" s="296"/>
      <c r="G16" s="287"/>
      <c r="H16" s="287"/>
      <c r="K16" s="302"/>
      <c r="Q16" s="302"/>
    </row>
    <row r="17" spans="1:8" s="304" customFormat="1" ht="18" customHeight="1" x14ac:dyDescent="0.6">
      <c r="A17" s="304">
        <f t="shared" si="0"/>
        <v>10</v>
      </c>
      <c r="B17" s="76" t="s">
        <v>349</v>
      </c>
      <c r="C17" s="298">
        <f>C13*C16</f>
        <v>-19599013.266941413</v>
      </c>
      <c r="D17" s="298">
        <f>D13*D16</f>
        <v>-5795407.1488267593</v>
      </c>
      <c r="E17" s="299" t="s">
        <v>350</v>
      </c>
      <c r="F17" s="296"/>
      <c r="G17" s="287"/>
      <c r="H17" s="287"/>
    </row>
    <row r="18" spans="1:8" ht="26" customHeight="1" x14ac:dyDescent="0.6">
      <c r="A18" s="287">
        <f t="shared" si="0"/>
        <v>11</v>
      </c>
      <c r="B18" s="80" t="s">
        <v>351</v>
      </c>
      <c r="C18" s="295">
        <f>F45+F46</f>
        <v>17120885</v>
      </c>
      <c r="D18" s="295">
        <f>C18</f>
        <v>17120885</v>
      </c>
      <c r="E18" s="345" t="s">
        <v>406</v>
      </c>
      <c r="F18" s="345"/>
      <c r="G18" s="345"/>
      <c r="H18" s="308"/>
    </row>
    <row r="19" spans="1:8" ht="26" x14ac:dyDescent="0.6">
      <c r="A19" s="287">
        <f t="shared" si="0"/>
        <v>12</v>
      </c>
      <c r="B19" s="80" t="s">
        <v>352</v>
      </c>
      <c r="C19" s="305">
        <f>C18*C16</f>
        <v>5814640.1886792453</v>
      </c>
      <c r="D19" s="305">
        <f>D18*D16</f>
        <v>4845533.4905660376</v>
      </c>
      <c r="E19" s="299" t="s">
        <v>353</v>
      </c>
      <c r="F19" s="296"/>
      <c r="G19" s="287"/>
      <c r="H19" s="287"/>
    </row>
    <row r="20" spans="1:8" ht="18" customHeight="1" x14ac:dyDescent="0.6">
      <c r="A20" s="285">
        <f t="shared" si="0"/>
        <v>13</v>
      </c>
      <c r="B20" s="81" t="s">
        <v>354</v>
      </c>
      <c r="C20" s="306">
        <f>ROUND(C17/C19,2)</f>
        <v>-3.37</v>
      </c>
      <c r="D20" s="306">
        <f>ROUND(D17/D19,2)</f>
        <v>-1.2</v>
      </c>
      <c r="E20" s="299" t="s">
        <v>355</v>
      </c>
      <c r="F20" s="296"/>
      <c r="G20" s="287"/>
      <c r="H20" s="287"/>
    </row>
    <row r="21" spans="1:8" x14ac:dyDescent="0.6">
      <c r="A21" s="287"/>
      <c r="B21" s="80"/>
      <c r="C21" s="307"/>
      <c r="D21" s="299"/>
      <c r="E21" s="296"/>
    </row>
    <row r="22" spans="1:8" x14ac:dyDescent="0.6">
      <c r="A22" s="285" t="s">
        <v>356</v>
      </c>
      <c r="B22" s="80"/>
      <c r="C22" s="307"/>
      <c r="D22" s="299"/>
      <c r="E22" s="296"/>
    </row>
    <row r="23" spans="1:8" x14ac:dyDescent="0.6">
      <c r="A23" s="308"/>
      <c r="B23" s="308"/>
      <c r="C23" s="308"/>
      <c r="D23" s="308"/>
      <c r="E23" s="308"/>
      <c r="F23" s="308"/>
      <c r="G23" s="308"/>
    </row>
    <row r="24" spans="1:8" x14ac:dyDescent="0.6">
      <c r="A24" s="308"/>
      <c r="B24" s="308"/>
      <c r="C24" s="308"/>
      <c r="D24" s="308"/>
      <c r="E24" s="308"/>
      <c r="F24" s="308"/>
      <c r="G24" s="308"/>
    </row>
    <row r="25" spans="1:8" x14ac:dyDescent="0.6">
      <c r="A25" s="309"/>
    </row>
    <row r="26" spans="1:8" ht="15.5" x14ac:dyDescent="0.7">
      <c r="A26" s="342" t="s">
        <v>357</v>
      </c>
      <c r="B26" s="342"/>
      <c r="C26" s="342"/>
      <c r="D26" s="342"/>
      <c r="E26" s="342"/>
      <c r="F26" s="342"/>
      <c r="G26" s="342"/>
    </row>
    <row r="27" spans="1:8" ht="15.5" x14ac:dyDescent="0.7">
      <c r="A27" s="342" t="s">
        <v>358</v>
      </c>
      <c r="B27" s="342"/>
      <c r="C27" s="342"/>
      <c r="D27" s="342"/>
      <c r="E27" s="342"/>
      <c r="F27" s="342"/>
      <c r="G27" s="342"/>
    </row>
    <row r="28" spans="1:8" x14ac:dyDescent="0.6">
      <c r="F28" s="310"/>
    </row>
    <row r="29" spans="1:8" ht="53.4" customHeight="1" x14ac:dyDescent="0.6">
      <c r="B29" s="82"/>
      <c r="C29" s="83" t="s">
        <v>407</v>
      </c>
      <c r="D29" s="83" t="s">
        <v>408</v>
      </c>
      <c r="E29" s="83" t="s">
        <v>409</v>
      </c>
      <c r="F29" s="83" t="s">
        <v>359</v>
      </c>
    </row>
    <row r="30" spans="1:8" x14ac:dyDescent="0.6">
      <c r="B30" s="82"/>
      <c r="C30" s="84" t="s">
        <v>360</v>
      </c>
      <c r="D30" s="85" t="s">
        <v>361</v>
      </c>
      <c r="E30" s="85" t="s">
        <v>362</v>
      </c>
      <c r="F30" s="83"/>
    </row>
    <row r="31" spans="1:8" ht="26" x14ac:dyDescent="0.6">
      <c r="B31" s="86"/>
      <c r="C31" s="311" t="s">
        <v>363</v>
      </c>
      <c r="D31" s="311" t="s">
        <v>364</v>
      </c>
      <c r="E31" s="312" t="s">
        <v>365</v>
      </c>
      <c r="F31" s="311"/>
    </row>
    <row r="32" spans="1:8" x14ac:dyDescent="0.6">
      <c r="C32" s="313"/>
      <c r="D32" s="313"/>
      <c r="E32" s="313"/>
      <c r="F32" s="314"/>
    </row>
    <row r="33" spans="1:8" x14ac:dyDescent="0.6">
      <c r="A33" s="293"/>
      <c r="B33" s="315" t="s">
        <v>366</v>
      </c>
      <c r="C33" s="316">
        <v>77.5</v>
      </c>
      <c r="D33" s="316">
        <v>94.28</v>
      </c>
      <c r="E33" s="317">
        <v>93.08</v>
      </c>
      <c r="F33" s="318"/>
      <c r="G33" s="285" t="s">
        <v>3</v>
      </c>
      <c r="H33" s="319"/>
    </row>
    <row r="34" spans="1:8" x14ac:dyDescent="0.6">
      <c r="A34" s="293"/>
      <c r="B34" s="87" t="s">
        <v>367</v>
      </c>
      <c r="C34" s="88">
        <f>C20</f>
        <v>-3.37</v>
      </c>
      <c r="D34" s="88">
        <f>D20</f>
        <v>-1.2</v>
      </c>
      <c r="E34" s="320"/>
      <c r="F34" s="318"/>
      <c r="G34" s="285" t="s">
        <v>3</v>
      </c>
      <c r="H34" s="319"/>
    </row>
    <row r="35" spans="1:8" x14ac:dyDescent="0.6">
      <c r="A35" s="293"/>
      <c r="C35" s="316">
        <f>C33+C34</f>
        <v>74.13</v>
      </c>
      <c r="D35" s="316">
        <f t="shared" ref="D35:E35" si="1">D33+D34</f>
        <v>93.08</v>
      </c>
      <c r="E35" s="316">
        <f t="shared" si="1"/>
        <v>93.08</v>
      </c>
      <c r="F35" s="318"/>
      <c r="H35" s="319"/>
    </row>
    <row r="36" spans="1:8" x14ac:dyDescent="0.6">
      <c r="B36" s="87" t="s">
        <v>368</v>
      </c>
      <c r="C36" s="316"/>
      <c r="D36" s="316"/>
      <c r="E36" s="316"/>
      <c r="F36" s="318"/>
      <c r="H36" s="319"/>
    </row>
    <row r="37" spans="1:8" x14ac:dyDescent="0.6">
      <c r="A37" s="293"/>
      <c r="B37" s="315" t="s">
        <v>369</v>
      </c>
      <c r="C37" s="321">
        <v>18</v>
      </c>
      <c r="D37" s="321">
        <v>15</v>
      </c>
      <c r="E37" s="321">
        <v>20</v>
      </c>
      <c r="F37" s="322"/>
    </row>
    <row r="38" spans="1:8" x14ac:dyDescent="0.6">
      <c r="A38" s="293"/>
      <c r="B38" s="315" t="s">
        <v>368</v>
      </c>
      <c r="C38" s="321">
        <f>C37+D37+E37</f>
        <v>53</v>
      </c>
      <c r="D38" s="321">
        <f>C38</f>
        <v>53</v>
      </c>
      <c r="E38" s="321">
        <f>C38</f>
        <v>53</v>
      </c>
      <c r="F38" s="323"/>
    </row>
    <row r="39" spans="1:8" x14ac:dyDescent="0.6">
      <c r="A39" s="293"/>
      <c r="B39" s="315"/>
      <c r="C39" s="324"/>
      <c r="D39" s="324"/>
      <c r="E39" s="324"/>
      <c r="F39" s="323"/>
    </row>
    <row r="40" spans="1:8" x14ac:dyDescent="0.6">
      <c r="B40" s="87" t="s">
        <v>370</v>
      </c>
      <c r="C40" s="325"/>
      <c r="D40" s="325"/>
      <c r="E40" s="326"/>
      <c r="F40" s="326"/>
      <c r="G40" s="285" t="s">
        <v>3</v>
      </c>
    </row>
    <row r="41" spans="1:8" x14ac:dyDescent="0.6">
      <c r="A41" s="293"/>
      <c r="B41" s="327" t="s">
        <v>91</v>
      </c>
      <c r="C41" s="328">
        <v>1</v>
      </c>
      <c r="D41" s="328">
        <v>1</v>
      </c>
      <c r="E41" s="328">
        <v>1</v>
      </c>
      <c r="F41" s="329"/>
    </row>
    <row r="42" spans="1:8" x14ac:dyDescent="0.6">
      <c r="A42" s="293"/>
      <c r="B42" s="327" t="s">
        <v>88</v>
      </c>
      <c r="C42" s="328">
        <v>1</v>
      </c>
      <c r="D42" s="328">
        <v>1</v>
      </c>
      <c r="E42" s="328">
        <v>1</v>
      </c>
      <c r="F42" s="328"/>
    </row>
    <row r="43" spans="1:8" x14ac:dyDescent="0.6">
      <c r="A43" s="293"/>
      <c r="B43" s="315"/>
      <c r="C43" s="325"/>
      <c r="D43" s="325"/>
      <c r="E43" s="326"/>
      <c r="F43" s="325"/>
    </row>
    <row r="44" spans="1:8" ht="25.5" customHeight="1" x14ac:dyDescent="0.6">
      <c r="B44" s="89" t="s">
        <v>371</v>
      </c>
      <c r="C44" s="325"/>
      <c r="D44" s="326"/>
      <c r="E44" s="326"/>
      <c r="F44" s="325"/>
    </row>
    <row r="45" spans="1:8" x14ac:dyDescent="0.6">
      <c r="A45" s="293"/>
      <c r="B45" s="315" t="s">
        <v>372</v>
      </c>
      <c r="C45" s="330">
        <f>'BGS PTY22 Cost Alloc'!N247</f>
        <v>6774232</v>
      </c>
      <c r="D45" s="330">
        <f>C45</f>
        <v>6774232</v>
      </c>
      <c r="E45" s="330">
        <f>D45</f>
        <v>6774232</v>
      </c>
      <c r="F45" s="330">
        <f t="shared" ref="F45:F46" si="2">E45</f>
        <v>6774232</v>
      </c>
      <c r="G45" s="343" t="s">
        <v>3</v>
      </c>
    </row>
    <row r="46" spans="1:8" x14ac:dyDescent="0.6">
      <c r="A46" s="293"/>
      <c r="B46" s="315" t="s">
        <v>373</v>
      </c>
      <c r="C46" s="330">
        <f>'BGS PTY22 Cost Alloc'!N248</f>
        <v>10346653</v>
      </c>
      <c r="D46" s="330">
        <f>C46</f>
        <v>10346653</v>
      </c>
      <c r="E46" s="330">
        <f>D46</f>
        <v>10346653</v>
      </c>
      <c r="F46" s="330">
        <f t="shared" si="2"/>
        <v>10346653</v>
      </c>
      <c r="G46" s="343"/>
    </row>
    <row r="47" spans="1:8" x14ac:dyDescent="0.6">
      <c r="A47" s="293"/>
      <c r="B47" s="90"/>
      <c r="C47" s="325"/>
      <c r="D47" s="325"/>
      <c r="E47" s="326"/>
      <c r="F47" s="325"/>
    </row>
    <row r="48" spans="1:8" x14ac:dyDescent="0.6">
      <c r="B48" s="87" t="s">
        <v>374</v>
      </c>
      <c r="C48" s="325"/>
      <c r="D48" s="325"/>
      <c r="E48" s="326"/>
      <c r="F48" s="325"/>
    </row>
    <row r="49" spans="1:8" x14ac:dyDescent="0.6">
      <c r="A49" s="293"/>
      <c r="B49" s="327" t="s">
        <v>91</v>
      </c>
      <c r="C49" s="331">
        <f t="shared" ref="C49:E50" si="3">+C$33*C$37/C$38*C41*C45+C$34*C$37/C$38*C45</f>
        <v>170549598.62037733</v>
      </c>
      <c r="D49" s="331">
        <f t="shared" si="3"/>
        <v>178456277.70566037</v>
      </c>
      <c r="E49" s="331">
        <f t="shared" si="3"/>
        <v>237941703.60754716</v>
      </c>
      <c r="F49" s="331">
        <f>SUM(C49:E49)</f>
        <v>586947579.93358493</v>
      </c>
    </row>
    <row r="50" spans="1:8" ht="15.25" x14ac:dyDescent="1.05">
      <c r="A50" s="293"/>
      <c r="B50" s="91" t="s">
        <v>88</v>
      </c>
      <c r="C50" s="92">
        <f t="shared" si="3"/>
        <v>260489678.5664151</v>
      </c>
      <c r="D50" s="92">
        <f t="shared" si="3"/>
        <v>272565979.59622639</v>
      </c>
      <c r="E50" s="92">
        <f t="shared" si="3"/>
        <v>363421306.12830186</v>
      </c>
      <c r="F50" s="92">
        <f>SUM(C50:E50)</f>
        <v>896476964.29094338</v>
      </c>
    </row>
    <row r="51" spans="1:8" x14ac:dyDescent="0.6">
      <c r="A51" s="293"/>
      <c r="B51" s="315" t="s">
        <v>44</v>
      </c>
      <c r="C51" s="332">
        <f>+C50+C49</f>
        <v>431039277.18679243</v>
      </c>
      <c r="D51" s="332">
        <f>+D50+D49</f>
        <v>451022257.3018868</v>
      </c>
      <c r="E51" s="333">
        <f>+E50+E49</f>
        <v>601363009.73584902</v>
      </c>
      <c r="F51" s="332">
        <f>+F50+F49</f>
        <v>1483424544.2245283</v>
      </c>
      <c r="H51" s="334"/>
    </row>
    <row r="52" spans="1:8" x14ac:dyDescent="0.6">
      <c r="B52" s="315"/>
      <c r="C52" s="334"/>
      <c r="D52" s="334"/>
      <c r="E52" s="334"/>
      <c r="F52" s="334"/>
      <c r="H52" s="334"/>
    </row>
    <row r="53" spans="1:8" x14ac:dyDescent="0.6">
      <c r="B53" s="315" t="s">
        <v>375</v>
      </c>
      <c r="C53" s="334"/>
      <c r="D53" s="334" t="s">
        <v>3</v>
      </c>
      <c r="E53" s="334"/>
      <c r="F53" s="339">
        <f>ROUND(F51/(F45+F46),2)</f>
        <v>86.64</v>
      </c>
      <c r="G53" s="335" t="s">
        <v>413</v>
      </c>
      <c r="H53" s="334"/>
    </row>
    <row r="54" spans="1:8" x14ac:dyDescent="0.6">
      <c r="B54" s="315"/>
      <c r="C54" s="334"/>
      <c r="D54" s="334"/>
      <c r="E54" s="334"/>
      <c r="F54" s="93"/>
      <c r="H54" s="334"/>
    </row>
    <row r="55" spans="1:8" x14ac:dyDescent="0.6">
      <c r="B55" s="315"/>
      <c r="C55" s="334"/>
      <c r="D55" s="334"/>
      <c r="E55" s="334"/>
      <c r="F55" s="93"/>
      <c r="H55" s="334"/>
    </row>
    <row r="56" spans="1:8" x14ac:dyDescent="0.6">
      <c r="B56" s="315"/>
    </row>
    <row r="57" spans="1:8" x14ac:dyDescent="0.6">
      <c r="A57" s="310" t="s">
        <v>3</v>
      </c>
      <c r="B57" s="310"/>
      <c r="C57" s="310"/>
      <c r="D57" s="310"/>
      <c r="E57" s="310"/>
      <c r="F57" s="310"/>
    </row>
    <row r="58" spans="1:8" ht="16" customHeight="1" x14ac:dyDescent="0.6">
      <c r="A58" s="310"/>
      <c r="B58" s="310"/>
      <c r="C58" s="310"/>
      <c r="D58" s="310"/>
      <c r="E58" s="310"/>
      <c r="F58" s="310"/>
    </row>
  </sheetData>
  <mergeCells count="12">
    <mergeCell ref="B1:F1"/>
    <mergeCell ref="B2:F2"/>
    <mergeCell ref="B3:F3"/>
    <mergeCell ref="A5:F5"/>
    <mergeCell ref="E10:G10"/>
    <mergeCell ref="A26:G26"/>
    <mergeCell ref="A27:G27"/>
    <mergeCell ref="G45:G46"/>
    <mergeCell ref="E8:G8"/>
    <mergeCell ref="E9:G9"/>
    <mergeCell ref="E18:G18"/>
    <mergeCell ref="E11:H11"/>
  </mergeCells>
  <pageMargins left="0.7" right="0.7" top="0.75" bottom="0.75" header="0.3" footer="0.3"/>
  <pageSetup scale="70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EEA4A-7EEA-4EEA-9D6C-1E6B4E2A2F33}">
  <sheetPr>
    <pageSetUpPr fitToPage="1"/>
  </sheetPr>
  <dimension ref="A1:Q58"/>
  <sheetViews>
    <sheetView view="pageBreakPreview" zoomScale="80" zoomScaleNormal="71" zoomScaleSheetLayoutView="80" workbookViewId="0"/>
  </sheetViews>
  <sheetFormatPr defaultColWidth="8.90625" defaultRowHeight="13" x14ac:dyDescent="0.6"/>
  <cols>
    <col min="1" max="1" width="5.6328125" style="285" customWidth="1"/>
    <col min="2" max="2" width="39" style="285" customWidth="1"/>
    <col min="3" max="3" width="14.08984375" style="285" customWidth="1"/>
    <col min="4" max="4" width="15.1796875" style="285" customWidth="1"/>
    <col min="5" max="5" width="15.7265625" style="285" customWidth="1"/>
    <col min="6" max="6" width="13.54296875" style="285" bestFit="1" customWidth="1"/>
    <col min="7" max="7" width="21.1796875" style="285" customWidth="1"/>
    <col min="8" max="8" width="20.7265625" style="285" customWidth="1"/>
    <col min="9" max="16384" width="8.90625" style="285"/>
  </cols>
  <sheetData>
    <row r="1" spans="1:17" ht="15.5" x14ac:dyDescent="0.7">
      <c r="A1" s="96"/>
      <c r="B1" s="340" t="s">
        <v>0</v>
      </c>
      <c r="C1" s="340"/>
      <c r="D1" s="340"/>
      <c r="E1" s="340"/>
      <c r="F1" s="340"/>
    </row>
    <row r="2" spans="1:17" ht="15.5" x14ac:dyDescent="0.7">
      <c r="A2" s="96"/>
      <c r="B2" s="340" t="s">
        <v>376</v>
      </c>
      <c r="C2" s="340"/>
      <c r="D2" s="340"/>
      <c r="E2" s="340"/>
      <c r="F2" s="340"/>
    </row>
    <row r="3" spans="1:17" ht="33" customHeight="1" x14ac:dyDescent="0.7">
      <c r="A3" s="96"/>
      <c r="B3" s="346" t="s">
        <v>330</v>
      </c>
      <c r="C3" s="340"/>
      <c r="D3" s="340"/>
      <c r="E3" s="340"/>
      <c r="F3" s="340"/>
    </row>
    <row r="4" spans="1:17" ht="15.5" x14ac:dyDescent="0.7">
      <c r="A4" s="96"/>
      <c r="B4" s="1"/>
      <c r="C4" s="1"/>
      <c r="D4" s="1"/>
      <c r="E4" s="1"/>
      <c r="F4" s="1"/>
    </row>
    <row r="5" spans="1:17" ht="18" x14ac:dyDescent="0.8">
      <c r="A5" s="347" t="s">
        <v>377</v>
      </c>
      <c r="B5" s="347"/>
      <c r="C5" s="347"/>
      <c r="D5" s="347"/>
      <c r="E5" s="347"/>
      <c r="F5" s="347"/>
    </row>
    <row r="7" spans="1:17" ht="91" x14ac:dyDescent="0.6">
      <c r="C7" s="75" t="s">
        <v>378</v>
      </c>
      <c r="D7" s="75" t="s">
        <v>379</v>
      </c>
      <c r="E7" s="286" t="s">
        <v>334</v>
      </c>
      <c r="F7" s="75"/>
      <c r="I7" s="285" t="s">
        <v>3</v>
      </c>
    </row>
    <row r="8" spans="1:17" ht="16.5" customHeight="1" x14ac:dyDescent="0.6">
      <c r="A8" s="304">
        <v>1</v>
      </c>
      <c r="B8" s="76" t="s">
        <v>335</v>
      </c>
      <c r="C8" s="337">
        <v>50</v>
      </c>
      <c r="D8" s="337">
        <v>50</v>
      </c>
      <c r="E8" s="289" t="s">
        <v>380</v>
      </c>
      <c r="F8" s="290"/>
      <c r="G8" s="290"/>
      <c r="H8" s="290"/>
      <c r="I8" s="285" t="s">
        <v>3</v>
      </c>
    </row>
    <row r="9" spans="1:17" ht="30" customHeight="1" x14ac:dyDescent="0.6">
      <c r="A9" s="304">
        <v>2</v>
      </c>
      <c r="B9" s="77" t="s">
        <v>337</v>
      </c>
      <c r="C9" s="338">
        <v>44.63</v>
      </c>
      <c r="D9" s="338">
        <v>47.46</v>
      </c>
      <c r="E9" s="344" t="s">
        <v>381</v>
      </c>
      <c r="F9" s="344"/>
      <c r="G9" s="344"/>
      <c r="H9" s="287"/>
    </row>
    <row r="10" spans="1:17" ht="14.5" customHeight="1" x14ac:dyDescent="0.6">
      <c r="A10" s="287">
        <v>3</v>
      </c>
      <c r="B10" s="78" t="s">
        <v>339</v>
      </c>
      <c r="C10" s="288">
        <f>C8-C9</f>
        <v>5.3699999999999974</v>
      </c>
      <c r="D10" s="288">
        <f>D8-D9</f>
        <v>2.5399999999999991</v>
      </c>
      <c r="E10" s="336" t="s">
        <v>340</v>
      </c>
      <c r="F10" s="336"/>
      <c r="G10" s="336"/>
      <c r="H10" s="287"/>
      <c r="I10" s="293"/>
    </row>
    <row r="11" spans="1:17" ht="13" customHeight="1" x14ac:dyDescent="0.6">
      <c r="A11" s="287">
        <f>A10+1</f>
        <v>4</v>
      </c>
      <c r="B11" s="79" t="s">
        <v>341</v>
      </c>
      <c r="C11" s="294">
        <f>'BGS PTY22 Cost Alloc'!J164</f>
        <v>4722.3618050799996</v>
      </c>
      <c r="D11" s="294">
        <f>C11</f>
        <v>4722.3618050799996</v>
      </c>
      <c r="E11" s="349" t="s">
        <v>415</v>
      </c>
      <c r="F11" s="349"/>
      <c r="G11" s="349"/>
      <c r="H11" s="308"/>
      <c r="I11" s="293"/>
    </row>
    <row r="12" spans="1:17" x14ac:dyDescent="0.6">
      <c r="A12" s="287">
        <f t="shared" ref="A12:A20" si="0">A11+1</f>
        <v>5</v>
      </c>
      <c r="B12" s="79" t="s">
        <v>342</v>
      </c>
      <c r="C12" s="295">
        <v>365</v>
      </c>
      <c r="D12" s="295">
        <f>C12</f>
        <v>365</v>
      </c>
      <c r="E12" s="296"/>
      <c r="F12" s="296"/>
      <c r="G12" s="287"/>
      <c r="H12" s="287"/>
      <c r="I12" s="293"/>
    </row>
    <row r="13" spans="1:17" x14ac:dyDescent="0.6">
      <c r="A13" s="287">
        <f t="shared" si="0"/>
        <v>6</v>
      </c>
      <c r="B13" s="79" t="s">
        <v>343</v>
      </c>
      <c r="C13" s="298">
        <f>C10*C11*C12</f>
        <v>9256065.2560470477</v>
      </c>
      <c r="D13" s="298">
        <f>D10*D11*D12</f>
        <v>4378101.6294896659</v>
      </c>
      <c r="E13" s="299" t="s">
        <v>344</v>
      </c>
      <c r="F13" s="296"/>
      <c r="G13" s="287"/>
      <c r="H13" s="287"/>
      <c r="I13" s="293"/>
      <c r="J13" s="293"/>
      <c r="P13" s="293"/>
    </row>
    <row r="14" spans="1:17" x14ac:dyDescent="0.6">
      <c r="A14" s="287">
        <f t="shared" si="0"/>
        <v>7</v>
      </c>
      <c r="B14" s="79" t="s">
        <v>345</v>
      </c>
      <c r="C14" s="300">
        <f>C37</f>
        <v>15</v>
      </c>
      <c r="D14" s="300">
        <f>D37</f>
        <v>20</v>
      </c>
      <c r="E14" s="296"/>
      <c r="F14" s="296"/>
      <c r="G14" s="287"/>
      <c r="H14" s="287"/>
      <c r="I14" s="293"/>
      <c r="J14" s="301"/>
      <c r="K14" s="302"/>
      <c r="P14" s="293"/>
      <c r="Q14" s="302"/>
    </row>
    <row r="15" spans="1:17" x14ac:dyDescent="0.6">
      <c r="A15" s="287">
        <f t="shared" si="0"/>
        <v>8</v>
      </c>
      <c r="B15" s="79" t="s">
        <v>346</v>
      </c>
      <c r="C15" s="295">
        <f>E38</f>
        <v>53</v>
      </c>
      <c r="D15" s="295">
        <f>C15</f>
        <v>53</v>
      </c>
      <c r="E15" s="296"/>
      <c r="F15" s="296"/>
      <c r="G15" s="287"/>
      <c r="H15" s="287"/>
      <c r="I15" s="293"/>
      <c r="K15" s="302"/>
      <c r="Q15" s="302"/>
    </row>
    <row r="16" spans="1:17" ht="18" customHeight="1" x14ac:dyDescent="0.6">
      <c r="A16" s="287">
        <f t="shared" si="0"/>
        <v>9</v>
      </c>
      <c r="B16" s="79" t="s">
        <v>347</v>
      </c>
      <c r="C16" s="303">
        <f>C14/C15</f>
        <v>0.28301886792452829</v>
      </c>
      <c r="D16" s="303">
        <f>D14/D15</f>
        <v>0.37735849056603776</v>
      </c>
      <c r="E16" s="299" t="s">
        <v>348</v>
      </c>
      <c r="F16" s="296"/>
      <c r="G16" s="287"/>
      <c r="H16" s="287"/>
      <c r="K16" s="302"/>
      <c r="Q16" s="302"/>
    </row>
    <row r="17" spans="1:8" s="304" customFormat="1" ht="18" customHeight="1" x14ac:dyDescent="0.6">
      <c r="A17" s="304">
        <f t="shared" si="0"/>
        <v>10</v>
      </c>
      <c r="B17" s="76" t="s">
        <v>349</v>
      </c>
      <c r="C17" s="298">
        <f>C13*C16</f>
        <v>2619641.1102019944</v>
      </c>
      <c r="D17" s="298">
        <f>D13*D16</f>
        <v>1652113.8224489307</v>
      </c>
      <c r="E17" s="299" t="s">
        <v>350</v>
      </c>
      <c r="F17" s="296"/>
      <c r="G17" s="287"/>
      <c r="H17" s="287"/>
    </row>
    <row r="18" spans="1:8" ht="26" customHeight="1" x14ac:dyDescent="0.6">
      <c r="A18" s="287">
        <f t="shared" si="0"/>
        <v>11</v>
      </c>
      <c r="B18" s="80" t="s">
        <v>351</v>
      </c>
      <c r="C18" s="295">
        <f>F45+F46</f>
        <v>17120885</v>
      </c>
      <c r="D18" s="295">
        <f>C18</f>
        <v>17120885</v>
      </c>
      <c r="E18" s="345" t="s">
        <v>410</v>
      </c>
      <c r="F18" s="345"/>
      <c r="G18" s="345"/>
      <c r="H18" s="308"/>
    </row>
    <row r="19" spans="1:8" ht="26" x14ac:dyDescent="0.6">
      <c r="A19" s="287">
        <f t="shared" si="0"/>
        <v>12</v>
      </c>
      <c r="B19" s="80" t="s">
        <v>352</v>
      </c>
      <c r="C19" s="305">
        <f>C18*C16</f>
        <v>4845533.4905660376</v>
      </c>
      <c r="D19" s="305">
        <f>D18*D16</f>
        <v>6460711.3207547171</v>
      </c>
      <c r="E19" s="299" t="s">
        <v>353</v>
      </c>
      <c r="F19" s="296"/>
      <c r="G19" s="287"/>
      <c r="H19" s="287"/>
    </row>
    <row r="20" spans="1:8" ht="18" customHeight="1" x14ac:dyDescent="0.6">
      <c r="A20" s="285">
        <f t="shared" si="0"/>
        <v>13</v>
      </c>
      <c r="B20" s="81" t="s">
        <v>354</v>
      </c>
      <c r="C20" s="306">
        <f>ROUND(C17/C19,2)</f>
        <v>0.54</v>
      </c>
      <c r="D20" s="306">
        <f>ROUND(D17/D19,2)</f>
        <v>0.26</v>
      </c>
      <c r="E20" s="299" t="s">
        <v>355</v>
      </c>
      <c r="F20" s="296"/>
      <c r="G20" s="287"/>
      <c r="H20" s="287"/>
    </row>
    <row r="21" spans="1:8" x14ac:dyDescent="0.6">
      <c r="A21" s="287"/>
      <c r="B21" s="80"/>
      <c r="C21" s="307"/>
      <c r="D21" s="299"/>
      <c r="E21" s="296"/>
    </row>
    <row r="22" spans="1:8" x14ac:dyDescent="0.6">
      <c r="A22" s="285" t="s">
        <v>356</v>
      </c>
      <c r="B22" s="80"/>
      <c r="C22" s="307"/>
      <c r="D22" s="299"/>
      <c r="E22" s="296"/>
    </row>
    <row r="23" spans="1:8" x14ac:dyDescent="0.6">
      <c r="A23" s="345"/>
      <c r="B23" s="345"/>
      <c r="C23" s="345"/>
      <c r="D23" s="345"/>
      <c r="E23" s="345"/>
      <c r="F23" s="345"/>
      <c r="G23" s="345"/>
    </row>
    <row r="24" spans="1:8" x14ac:dyDescent="0.6">
      <c r="A24" s="345"/>
      <c r="B24" s="345"/>
      <c r="C24" s="345"/>
      <c r="D24" s="345"/>
      <c r="E24" s="345"/>
      <c r="F24" s="345"/>
      <c r="G24" s="345"/>
    </row>
    <row r="25" spans="1:8" x14ac:dyDescent="0.6">
      <c r="A25" s="309"/>
    </row>
    <row r="26" spans="1:8" ht="15.5" x14ac:dyDescent="0.7">
      <c r="A26" s="342" t="s">
        <v>357</v>
      </c>
      <c r="B26" s="342"/>
      <c r="C26" s="342"/>
      <c r="D26" s="342"/>
      <c r="E26" s="342"/>
      <c r="F26" s="342"/>
      <c r="G26" s="342"/>
    </row>
    <row r="27" spans="1:8" ht="15.5" x14ac:dyDescent="0.7">
      <c r="A27" s="342" t="s">
        <v>382</v>
      </c>
      <c r="B27" s="342"/>
      <c r="C27" s="342"/>
      <c r="D27" s="342"/>
      <c r="E27" s="342"/>
      <c r="F27" s="342"/>
      <c r="G27" s="342"/>
    </row>
    <row r="28" spans="1:8" x14ac:dyDescent="0.6">
      <c r="F28" s="310"/>
    </row>
    <row r="29" spans="1:8" ht="53.4" customHeight="1" x14ac:dyDescent="0.6">
      <c r="B29" s="82"/>
      <c r="C29" s="83" t="s">
        <v>408</v>
      </c>
      <c r="D29" s="83" t="s">
        <v>409</v>
      </c>
      <c r="E29" s="83" t="s">
        <v>411</v>
      </c>
      <c r="F29" s="83" t="s">
        <v>359</v>
      </c>
    </row>
    <row r="30" spans="1:8" x14ac:dyDescent="0.6">
      <c r="B30" s="82"/>
      <c r="C30" s="84" t="s">
        <v>361</v>
      </c>
      <c r="D30" s="85" t="s">
        <v>362</v>
      </c>
      <c r="E30" s="85" t="s">
        <v>383</v>
      </c>
      <c r="F30" s="83"/>
    </row>
    <row r="31" spans="1:8" ht="26" x14ac:dyDescent="0.6">
      <c r="B31" s="86"/>
      <c r="C31" s="311" t="s">
        <v>363</v>
      </c>
      <c r="D31" s="311" t="s">
        <v>364</v>
      </c>
      <c r="E31" s="312" t="s">
        <v>365</v>
      </c>
      <c r="F31" s="311"/>
    </row>
    <row r="32" spans="1:8" x14ac:dyDescent="0.6">
      <c r="C32" s="313"/>
      <c r="D32" s="313"/>
      <c r="E32" s="313"/>
      <c r="F32" s="314"/>
    </row>
    <row r="33" spans="1:8" x14ac:dyDescent="0.6">
      <c r="A33" s="293"/>
      <c r="B33" s="315" t="s">
        <v>366</v>
      </c>
      <c r="C33" s="316">
        <f>'Attachment 3 - 24-25'!D33</f>
        <v>94.28</v>
      </c>
      <c r="D33" s="316">
        <f>'Attachment 3 - 24-25'!E33</f>
        <v>93.08</v>
      </c>
      <c r="E33" s="317">
        <f>D35</f>
        <v>93.34</v>
      </c>
      <c r="F33" s="318"/>
      <c r="G33" s="285" t="s">
        <v>3</v>
      </c>
      <c r="H33" s="319"/>
    </row>
    <row r="34" spans="1:8" x14ac:dyDescent="0.6">
      <c r="A34" s="293"/>
      <c r="B34" s="87" t="s">
        <v>367</v>
      </c>
      <c r="C34" s="88">
        <f>C20</f>
        <v>0.54</v>
      </c>
      <c r="D34" s="88">
        <f>D20</f>
        <v>0.26</v>
      </c>
      <c r="E34" s="320"/>
      <c r="F34" s="318"/>
      <c r="G34" s="285" t="s">
        <v>3</v>
      </c>
      <c r="H34" s="319"/>
    </row>
    <row r="35" spans="1:8" x14ac:dyDescent="0.6">
      <c r="A35" s="293"/>
      <c r="C35" s="316">
        <f>C33+C34</f>
        <v>94.820000000000007</v>
      </c>
      <c r="D35" s="316">
        <f t="shared" ref="D35:E35" si="1">D33+D34</f>
        <v>93.34</v>
      </c>
      <c r="E35" s="316">
        <f t="shared" si="1"/>
        <v>93.34</v>
      </c>
      <c r="F35" s="318"/>
      <c r="H35" s="319"/>
    </row>
    <row r="36" spans="1:8" x14ac:dyDescent="0.6">
      <c r="B36" s="87" t="s">
        <v>368</v>
      </c>
      <c r="C36" s="316"/>
      <c r="D36" s="316"/>
      <c r="E36" s="316"/>
      <c r="F36" s="318"/>
      <c r="H36" s="319"/>
    </row>
    <row r="37" spans="1:8" x14ac:dyDescent="0.6">
      <c r="A37" s="293"/>
      <c r="B37" s="315" t="s">
        <v>369</v>
      </c>
      <c r="C37" s="321">
        <v>15</v>
      </c>
      <c r="D37" s="321">
        <v>20</v>
      </c>
      <c r="E37" s="321">
        <v>18</v>
      </c>
      <c r="F37" s="322"/>
    </row>
    <row r="38" spans="1:8" x14ac:dyDescent="0.6">
      <c r="A38" s="293"/>
      <c r="B38" s="315" t="s">
        <v>368</v>
      </c>
      <c r="C38" s="321">
        <f>C37+D37+E37</f>
        <v>53</v>
      </c>
      <c r="D38" s="321">
        <f>C38</f>
        <v>53</v>
      </c>
      <c r="E38" s="321">
        <f>C38</f>
        <v>53</v>
      </c>
      <c r="F38" s="323"/>
    </row>
    <row r="39" spans="1:8" x14ac:dyDescent="0.6">
      <c r="A39" s="293"/>
      <c r="B39" s="315"/>
      <c r="C39" s="324"/>
      <c r="D39" s="324"/>
      <c r="E39" s="324"/>
      <c r="F39" s="323"/>
    </row>
    <row r="40" spans="1:8" x14ac:dyDescent="0.6">
      <c r="B40" s="87" t="s">
        <v>370</v>
      </c>
      <c r="C40" s="325"/>
      <c r="D40" s="325"/>
      <c r="E40" s="326"/>
      <c r="F40" s="326"/>
      <c r="G40" s="285" t="s">
        <v>3</v>
      </c>
    </row>
    <row r="41" spans="1:8" x14ac:dyDescent="0.6">
      <c r="A41" s="293"/>
      <c r="B41" s="327" t="s">
        <v>91</v>
      </c>
      <c r="C41" s="328">
        <v>1</v>
      </c>
      <c r="D41" s="328">
        <v>1</v>
      </c>
      <c r="E41" s="328">
        <v>1</v>
      </c>
      <c r="F41" s="329"/>
    </row>
    <row r="42" spans="1:8" x14ac:dyDescent="0.6">
      <c r="A42" s="293"/>
      <c r="B42" s="327" t="s">
        <v>88</v>
      </c>
      <c r="C42" s="328">
        <v>1</v>
      </c>
      <c r="D42" s="328">
        <v>1</v>
      </c>
      <c r="E42" s="328">
        <v>1</v>
      </c>
      <c r="F42" s="328"/>
    </row>
    <row r="43" spans="1:8" x14ac:dyDescent="0.6">
      <c r="A43" s="293"/>
      <c r="B43" s="315"/>
      <c r="C43" s="325"/>
      <c r="D43" s="325"/>
      <c r="E43" s="326"/>
      <c r="F43" s="325"/>
    </row>
    <row r="44" spans="1:8" ht="25.5" customHeight="1" x14ac:dyDescent="0.6">
      <c r="B44" s="89" t="s">
        <v>371</v>
      </c>
      <c r="C44" s="325"/>
      <c r="D44" s="326"/>
      <c r="E44" s="326"/>
      <c r="F44" s="325"/>
    </row>
    <row r="45" spans="1:8" x14ac:dyDescent="0.6">
      <c r="A45" s="293"/>
      <c r="B45" s="315" t="s">
        <v>372</v>
      </c>
      <c r="C45" s="330">
        <f>'BGS PTY22 Cost Alloc'!N247</f>
        <v>6774232</v>
      </c>
      <c r="D45" s="330">
        <f>C45</f>
        <v>6774232</v>
      </c>
      <c r="E45" s="330">
        <f>D45</f>
        <v>6774232</v>
      </c>
      <c r="F45" s="330">
        <f t="shared" ref="F45:F46" si="2">E45</f>
        <v>6774232</v>
      </c>
      <c r="G45" s="343" t="s">
        <v>3</v>
      </c>
    </row>
    <row r="46" spans="1:8" x14ac:dyDescent="0.6">
      <c r="A46" s="293"/>
      <c r="B46" s="315" t="s">
        <v>373</v>
      </c>
      <c r="C46" s="330">
        <f>'BGS PTY22 Cost Alloc'!N248</f>
        <v>10346653</v>
      </c>
      <c r="D46" s="330">
        <f>C46</f>
        <v>10346653</v>
      </c>
      <c r="E46" s="330">
        <f>D46</f>
        <v>10346653</v>
      </c>
      <c r="F46" s="330">
        <f t="shared" si="2"/>
        <v>10346653</v>
      </c>
      <c r="G46" s="343"/>
    </row>
    <row r="47" spans="1:8" x14ac:dyDescent="0.6">
      <c r="A47" s="293"/>
      <c r="B47" s="90"/>
      <c r="C47" s="325"/>
      <c r="D47" s="325"/>
      <c r="E47" s="326"/>
      <c r="F47" s="325"/>
    </row>
    <row r="48" spans="1:8" x14ac:dyDescent="0.6">
      <c r="B48" s="87" t="s">
        <v>374</v>
      </c>
      <c r="C48" s="325"/>
      <c r="D48" s="325"/>
      <c r="E48" s="326"/>
      <c r="F48" s="325"/>
    </row>
    <row r="49" spans="1:8" x14ac:dyDescent="0.6">
      <c r="A49" s="293"/>
      <c r="B49" s="327" t="s">
        <v>91</v>
      </c>
      <c r="C49" s="331">
        <f t="shared" ref="C49:E50" si="3">+C$33*C$37/C$38*C41*C45+C$34*C$37/C$38*C45</f>
        <v>181792267.42641509</v>
      </c>
      <c r="D49" s="331">
        <f t="shared" si="3"/>
        <v>238606345.23773584</v>
      </c>
      <c r="E49" s="331">
        <f t="shared" si="3"/>
        <v>214745710.71396226</v>
      </c>
      <c r="F49" s="331">
        <f>SUM(C49:E49)</f>
        <v>635144323.37811327</v>
      </c>
      <c r="H49" s="334"/>
    </row>
    <row r="50" spans="1:8" ht="15.25" x14ac:dyDescent="1.05">
      <c r="A50" s="293"/>
      <c r="B50" s="91" t="s">
        <v>88</v>
      </c>
      <c r="C50" s="92">
        <f t="shared" si="3"/>
        <v>277661218.14905655</v>
      </c>
      <c r="D50" s="92">
        <f t="shared" si="3"/>
        <v>364436449.44150943</v>
      </c>
      <c r="E50" s="92">
        <f t="shared" si="3"/>
        <v>327992804.4973585</v>
      </c>
      <c r="F50" s="92">
        <f>SUM(C50:E50)</f>
        <v>970090472.08792448</v>
      </c>
      <c r="H50" s="334"/>
    </row>
    <row r="51" spans="1:8" x14ac:dyDescent="0.6">
      <c r="A51" s="293"/>
      <c r="B51" s="315" t="s">
        <v>44</v>
      </c>
      <c r="C51" s="332">
        <f>+C50+C49</f>
        <v>459453485.57547164</v>
      </c>
      <c r="D51" s="332">
        <f>+D50+D49</f>
        <v>603042794.67924523</v>
      </c>
      <c r="E51" s="333">
        <f>+E50+E49</f>
        <v>542738515.21132076</v>
      </c>
      <c r="F51" s="332">
        <f>+F50+F49</f>
        <v>1605234795.4660378</v>
      </c>
      <c r="H51" s="334"/>
    </row>
    <row r="52" spans="1:8" x14ac:dyDescent="0.6">
      <c r="B52" s="315"/>
      <c r="C52" s="334"/>
      <c r="D52" s="334"/>
      <c r="E52" s="334"/>
      <c r="F52" s="334"/>
      <c r="H52" s="334"/>
    </row>
    <row r="53" spans="1:8" x14ac:dyDescent="0.6">
      <c r="B53" s="315" t="s">
        <v>375</v>
      </c>
      <c r="C53" s="334"/>
      <c r="D53" s="334" t="s">
        <v>3</v>
      </c>
      <c r="E53" s="334"/>
      <c r="F53" s="93">
        <f>ROUND(F51/(F45+F46),2)</f>
        <v>93.76</v>
      </c>
      <c r="G53" s="285" t="s">
        <v>414</v>
      </c>
      <c r="H53" s="334"/>
    </row>
    <row r="54" spans="1:8" x14ac:dyDescent="0.6">
      <c r="B54" s="315"/>
      <c r="C54" s="334"/>
      <c r="D54" s="334"/>
      <c r="E54" s="334"/>
      <c r="F54" s="93"/>
    </row>
    <row r="55" spans="1:8" x14ac:dyDescent="0.6">
      <c r="B55" s="315"/>
      <c r="C55" s="334"/>
      <c r="D55" s="334"/>
      <c r="E55" s="334"/>
      <c r="F55" s="93"/>
    </row>
    <row r="56" spans="1:8" x14ac:dyDescent="0.6">
      <c r="B56" s="315"/>
    </row>
    <row r="57" spans="1:8" x14ac:dyDescent="0.6">
      <c r="A57" s="310" t="s">
        <v>3</v>
      </c>
      <c r="B57" s="310"/>
      <c r="C57" s="310"/>
      <c r="D57" s="310"/>
      <c r="E57" s="310"/>
      <c r="F57" s="310"/>
    </row>
    <row r="58" spans="1:8" ht="16" customHeight="1" x14ac:dyDescent="0.6">
      <c r="A58" s="310"/>
      <c r="B58" s="310"/>
      <c r="C58" s="310"/>
      <c r="D58" s="310"/>
      <c r="E58" s="310"/>
      <c r="F58" s="310"/>
    </row>
  </sheetData>
  <mergeCells count="11">
    <mergeCell ref="A26:G26"/>
    <mergeCell ref="A27:G27"/>
    <mergeCell ref="G45:G46"/>
    <mergeCell ref="E9:G9"/>
    <mergeCell ref="B1:F1"/>
    <mergeCell ref="B2:F2"/>
    <mergeCell ref="B3:F3"/>
    <mergeCell ref="A5:F5"/>
    <mergeCell ref="E18:G18"/>
    <mergeCell ref="A23:G24"/>
    <mergeCell ref="E11:G11"/>
  </mergeCells>
  <pageMargins left="0.7" right="0.7" top="0.75" bottom="0.75" header="0.3" footer="0.3"/>
  <pageSetup scale="74" orientation="portrait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86FA-38B9-47DB-AB4E-0541F0394029}">
  <sheetPr>
    <pageSetUpPr fitToPage="1"/>
  </sheetPr>
  <dimension ref="A1:P58"/>
  <sheetViews>
    <sheetView view="pageBreakPreview" zoomScale="80" zoomScaleNormal="71" zoomScaleSheetLayoutView="80" workbookViewId="0"/>
  </sheetViews>
  <sheetFormatPr defaultColWidth="8.90625" defaultRowHeight="13" x14ac:dyDescent="0.6"/>
  <cols>
    <col min="1" max="1" width="5.6328125" style="285" customWidth="1"/>
    <col min="2" max="2" width="39" style="285" customWidth="1"/>
    <col min="3" max="3" width="17.1796875" style="285" customWidth="1"/>
    <col min="4" max="4" width="15.1796875" style="285" customWidth="1"/>
    <col min="5" max="6" width="15.7265625" style="285" customWidth="1"/>
    <col min="7" max="7" width="3.54296875" style="285" customWidth="1"/>
    <col min="8" max="8" width="20.7265625" style="285" customWidth="1"/>
    <col min="9" max="16384" width="8.90625" style="285"/>
  </cols>
  <sheetData>
    <row r="1" spans="1:16" ht="15.5" x14ac:dyDescent="0.7">
      <c r="A1" s="96"/>
      <c r="B1" s="340" t="s">
        <v>0</v>
      </c>
      <c r="C1" s="340"/>
      <c r="D1" s="340"/>
      <c r="E1" s="340"/>
      <c r="F1" s="340"/>
    </row>
    <row r="2" spans="1:16" ht="15.5" x14ac:dyDescent="0.7">
      <c r="A2" s="96"/>
      <c r="B2" s="340" t="s">
        <v>384</v>
      </c>
      <c r="C2" s="340"/>
      <c r="D2" s="340"/>
      <c r="E2" s="340"/>
      <c r="F2" s="340"/>
    </row>
    <row r="3" spans="1:16" ht="33" customHeight="1" x14ac:dyDescent="0.7">
      <c r="A3" s="96"/>
      <c r="B3" s="346" t="s">
        <v>330</v>
      </c>
      <c r="C3" s="340"/>
      <c r="D3" s="340"/>
      <c r="E3" s="340"/>
      <c r="F3" s="340"/>
    </row>
    <row r="4" spans="1:16" ht="15.5" x14ac:dyDescent="0.7">
      <c r="A4" s="96"/>
      <c r="B4" s="1"/>
      <c r="C4" s="1"/>
      <c r="D4" s="1"/>
      <c r="E4" s="1"/>
      <c r="F4" s="1"/>
    </row>
    <row r="5" spans="1:16" ht="18" x14ac:dyDescent="0.8">
      <c r="A5" s="347" t="s">
        <v>385</v>
      </c>
      <c r="B5" s="347"/>
      <c r="C5" s="347"/>
      <c r="D5" s="347"/>
      <c r="E5" s="347"/>
      <c r="F5" s="347"/>
    </row>
    <row r="7" spans="1:16" ht="78" x14ac:dyDescent="0.6">
      <c r="C7" s="75" t="s">
        <v>386</v>
      </c>
      <c r="D7" s="286" t="s">
        <v>334</v>
      </c>
      <c r="E7" s="75"/>
      <c r="H7" s="285" t="s">
        <v>3</v>
      </c>
    </row>
    <row r="8" spans="1:16" ht="26" x14ac:dyDescent="0.6">
      <c r="A8" s="287">
        <v>1</v>
      </c>
      <c r="B8" s="76" t="s">
        <v>335</v>
      </c>
      <c r="C8" s="288">
        <v>50</v>
      </c>
      <c r="D8" s="289" t="s">
        <v>380</v>
      </c>
      <c r="E8" s="290"/>
      <c r="F8" s="290"/>
      <c r="G8" s="290"/>
      <c r="H8" s="285" t="s">
        <v>3</v>
      </c>
    </row>
    <row r="9" spans="1:16" x14ac:dyDescent="0.6">
      <c r="A9" s="287">
        <v>2</v>
      </c>
      <c r="B9" s="77" t="s">
        <v>337</v>
      </c>
      <c r="C9" s="291">
        <v>49.05</v>
      </c>
      <c r="D9" s="292" t="s">
        <v>387</v>
      </c>
      <c r="E9" s="292"/>
      <c r="F9" s="292"/>
      <c r="G9" s="287"/>
    </row>
    <row r="10" spans="1:16" ht="14.5" customHeight="1" x14ac:dyDescent="0.6">
      <c r="A10" s="287">
        <v>3</v>
      </c>
      <c r="B10" s="78" t="s">
        <v>339</v>
      </c>
      <c r="C10" s="288">
        <f>C8-C9</f>
        <v>0.95000000000000284</v>
      </c>
      <c r="D10" s="336" t="s">
        <v>340</v>
      </c>
      <c r="E10" s="336"/>
      <c r="F10" s="336"/>
      <c r="G10" s="287"/>
    </row>
    <row r="11" spans="1:16" ht="13" customHeight="1" x14ac:dyDescent="0.6">
      <c r="A11" s="287">
        <f>A10+1</f>
        <v>4</v>
      </c>
      <c r="B11" s="79" t="s">
        <v>341</v>
      </c>
      <c r="C11" s="294">
        <f>'BGS PTY22 Cost Alloc'!J164</f>
        <v>4722.3618050799996</v>
      </c>
      <c r="D11" s="345" t="s">
        <v>415</v>
      </c>
      <c r="E11" s="345"/>
      <c r="F11" s="345"/>
      <c r="G11" s="308"/>
    </row>
    <row r="12" spans="1:16" x14ac:dyDescent="0.6">
      <c r="A12" s="287">
        <f t="shared" ref="A12:A20" si="0">A11+1</f>
        <v>5</v>
      </c>
      <c r="B12" s="79" t="s">
        <v>342</v>
      </c>
      <c r="C12" s="295">
        <v>365</v>
      </c>
      <c r="D12" s="296"/>
      <c r="E12" s="296"/>
      <c r="F12" s="287"/>
      <c r="G12" s="287"/>
      <c r="I12" s="293"/>
    </row>
    <row r="13" spans="1:16" x14ac:dyDescent="0.6">
      <c r="A13" s="287">
        <f t="shared" si="0"/>
        <v>6</v>
      </c>
      <c r="B13" s="79" t="s">
        <v>343</v>
      </c>
      <c r="C13" s="298">
        <f>C10*C11*C12</f>
        <v>1637478.9559114948</v>
      </c>
      <c r="D13" s="299" t="s">
        <v>344</v>
      </c>
      <c r="E13" s="296"/>
      <c r="F13" s="287"/>
      <c r="G13" s="287"/>
      <c r="I13" s="293"/>
      <c r="O13" s="293"/>
    </row>
    <row r="14" spans="1:16" x14ac:dyDescent="0.6">
      <c r="A14" s="287">
        <f t="shared" si="0"/>
        <v>7</v>
      </c>
      <c r="B14" s="79" t="s">
        <v>345</v>
      </c>
      <c r="C14" s="300">
        <f>C37</f>
        <v>20</v>
      </c>
      <c r="D14" s="296"/>
      <c r="E14" s="296"/>
      <c r="F14" s="287"/>
      <c r="G14" s="287"/>
      <c r="I14" s="301"/>
      <c r="J14" s="302"/>
      <c r="O14" s="293"/>
      <c r="P14" s="302"/>
    </row>
    <row r="15" spans="1:16" x14ac:dyDescent="0.6">
      <c r="A15" s="287">
        <f t="shared" si="0"/>
        <v>8</v>
      </c>
      <c r="B15" s="79" t="s">
        <v>346</v>
      </c>
      <c r="C15" s="295">
        <f>E38</f>
        <v>53</v>
      </c>
      <c r="D15" s="296"/>
      <c r="E15" s="296"/>
      <c r="F15" s="287"/>
      <c r="G15" s="287"/>
      <c r="J15" s="302"/>
      <c r="P15" s="302"/>
    </row>
    <row r="16" spans="1:16" ht="18" customHeight="1" x14ac:dyDescent="0.6">
      <c r="A16" s="287">
        <f t="shared" si="0"/>
        <v>9</v>
      </c>
      <c r="B16" s="79" t="s">
        <v>347</v>
      </c>
      <c r="C16" s="303">
        <f>C14/C15</f>
        <v>0.37735849056603776</v>
      </c>
      <c r="D16" s="299" t="s">
        <v>348</v>
      </c>
      <c r="E16" s="296"/>
      <c r="F16" s="287"/>
      <c r="G16" s="287"/>
      <c r="J16" s="302"/>
      <c r="P16" s="302"/>
    </row>
    <row r="17" spans="1:7" s="304" customFormat="1" ht="18" customHeight="1" x14ac:dyDescent="0.6">
      <c r="A17" s="304">
        <f t="shared" si="0"/>
        <v>10</v>
      </c>
      <c r="B17" s="76" t="s">
        <v>349</v>
      </c>
      <c r="C17" s="298">
        <f>C13*C16</f>
        <v>617916.5871364132</v>
      </c>
      <c r="D17" s="299" t="s">
        <v>350</v>
      </c>
      <c r="E17" s="296"/>
      <c r="F17" s="287"/>
      <c r="G17" s="287"/>
    </row>
    <row r="18" spans="1:7" ht="26" customHeight="1" x14ac:dyDescent="0.6">
      <c r="A18" s="287">
        <f t="shared" si="0"/>
        <v>11</v>
      </c>
      <c r="B18" s="80" t="s">
        <v>351</v>
      </c>
      <c r="C18" s="295">
        <f>F45+F46</f>
        <v>17120885</v>
      </c>
      <c r="D18" s="345" t="s">
        <v>410</v>
      </c>
      <c r="E18" s="345"/>
      <c r="F18" s="345"/>
      <c r="G18" s="308"/>
    </row>
    <row r="19" spans="1:7" ht="26" x14ac:dyDescent="0.6">
      <c r="A19" s="287">
        <f t="shared" si="0"/>
        <v>12</v>
      </c>
      <c r="B19" s="80" t="s">
        <v>352</v>
      </c>
      <c r="C19" s="305">
        <f>C18*C16</f>
        <v>6460711.3207547171</v>
      </c>
      <c r="D19" s="299" t="s">
        <v>353</v>
      </c>
      <c r="E19" s="296"/>
      <c r="F19" s="287"/>
      <c r="G19" s="287"/>
    </row>
    <row r="20" spans="1:7" ht="18" customHeight="1" x14ac:dyDescent="0.6">
      <c r="A20" s="285">
        <f t="shared" si="0"/>
        <v>13</v>
      </c>
      <c r="B20" s="81" t="s">
        <v>354</v>
      </c>
      <c r="C20" s="306">
        <f>ROUND(C17/C19,2)</f>
        <v>0.1</v>
      </c>
      <c r="D20" s="299" t="s">
        <v>355</v>
      </c>
      <c r="E20" s="296"/>
      <c r="F20" s="287"/>
      <c r="G20" s="287"/>
    </row>
    <row r="21" spans="1:7" x14ac:dyDescent="0.6">
      <c r="A21" s="287"/>
      <c r="B21" s="80"/>
      <c r="C21" s="307"/>
      <c r="D21" s="299"/>
      <c r="E21" s="296"/>
    </row>
    <row r="22" spans="1:7" x14ac:dyDescent="0.6">
      <c r="A22" s="285" t="s">
        <v>356</v>
      </c>
      <c r="B22" s="80"/>
      <c r="C22" s="307"/>
      <c r="D22" s="299"/>
      <c r="E22" s="296"/>
    </row>
    <row r="23" spans="1:7" x14ac:dyDescent="0.6">
      <c r="A23" s="345"/>
      <c r="B23" s="345"/>
      <c r="C23" s="345"/>
      <c r="D23" s="345"/>
      <c r="E23" s="345"/>
      <c r="F23" s="345"/>
      <c r="G23" s="345"/>
    </row>
    <row r="24" spans="1:7" x14ac:dyDescent="0.6">
      <c r="A24" s="345"/>
      <c r="B24" s="345"/>
      <c r="C24" s="345"/>
      <c r="D24" s="345"/>
      <c r="E24" s="345"/>
      <c r="F24" s="345"/>
      <c r="G24" s="345"/>
    </row>
    <row r="25" spans="1:7" x14ac:dyDescent="0.6">
      <c r="A25" s="309"/>
    </row>
    <row r="26" spans="1:7" ht="15.5" x14ac:dyDescent="0.7">
      <c r="A26" s="342" t="s">
        <v>357</v>
      </c>
      <c r="B26" s="342"/>
      <c r="C26" s="342"/>
      <c r="D26" s="342"/>
      <c r="E26" s="342"/>
      <c r="F26" s="342"/>
      <c r="G26" s="342"/>
    </row>
    <row r="27" spans="1:7" ht="15.5" x14ac:dyDescent="0.7">
      <c r="A27" s="342" t="s">
        <v>388</v>
      </c>
      <c r="B27" s="342"/>
      <c r="C27" s="342"/>
      <c r="D27" s="342"/>
      <c r="E27" s="342"/>
      <c r="F27" s="342"/>
      <c r="G27" s="342"/>
    </row>
    <row r="28" spans="1:7" x14ac:dyDescent="0.6">
      <c r="F28" s="310"/>
    </row>
    <row r="29" spans="1:7" ht="53.4" customHeight="1" x14ac:dyDescent="0.6">
      <c r="B29" s="82"/>
      <c r="C29" s="83" t="s">
        <v>409</v>
      </c>
      <c r="D29" s="83" t="s">
        <v>411</v>
      </c>
      <c r="E29" s="83" t="s">
        <v>412</v>
      </c>
      <c r="F29" s="83" t="s">
        <v>359</v>
      </c>
    </row>
    <row r="30" spans="1:7" x14ac:dyDescent="0.6">
      <c r="B30" s="82"/>
      <c r="C30" s="85" t="s">
        <v>362</v>
      </c>
      <c r="D30" s="85" t="s">
        <v>383</v>
      </c>
      <c r="E30" s="85" t="s">
        <v>389</v>
      </c>
      <c r="F30" s="83"/>
    </row>
    <row r="31" spans="1:7" ht="26" x14ac:dyDescent="0.6">
      <c r="B31" s="86"/>
      <c r="C31" s="311" t="s">
        <v>363</v>
      </c>
      <c r="D31" s="311" t="s">
        <v>364</v>
      </c>
      <c r="E31" s="312" t="s">
        <v>365</v>
      </c>
      <c r="F31" s="311"/>
    </row>
    <row r="32" spans="1:7" x14ac:dyDescent="0.6">
      <c r="C32" s="313"/>
      <c r="D32" s="313"/>
      <c r="E32" s="313"/>
      <c r="F32" s="314"/>
    </row>
    <row r="33" spans="1:8" x14ac:dyDescent="0.6">
      <c r="A33" s="293"/>
      <c r="B33" s="315" t="s">
        <v>366</v>
      </c>
      <c r="C33" s="316">
        <f>'Attachment 3 - 24-25'!E33</f>
        <v>93.08</v>
      </c>
      <c r="D33" s="316">
        <f>C35</f>
        <v>93.179999999999993</v>
      </c>
      <c r="E33" s="317">
        <f>D35</f>
        <v>93.179999999999993</v>
      </c>
      <c r="F33" s="318"/>
      <c r="G33" s="285" t="s">
        <v>3</v>
      </c>
      <c r="H33" s="319"/>
    </row>
    <row r="34" spans="1:8" x14ac:dyDescent="0.6">
      <c r="A34" s="293"/>
      <c r="B34" s="87" t="s">
        <v>367</v>
      </c>
      <c r="C34" s="88">
        <f>C20</f>
        <v>0.1</v>
      </c>
      <c r="D34" s="94"/>
      <c r="E34" s="320"/>
      <c r="F34" s="318"/>
      <c r="G34" s="285" t="s">
        <v>3</v>
      </c>
      <c r="H34" s="319"/>
    </row>
    <row r="35" spans="1:8" x14ac:dyDescent="0.6">
      <c r="A35" s="293"/>
      <c r="C35" s="316">
        <f>C33+C34</f>
        <v>93.179999999999993</v>
      </c>
      <c r="D35" s="316">
        <f t="shared" ref="D35:E35" si="1">D33+D34</f>
        <v>93.179999999999993</v>
      </c>
      <c r="E35" s="316">
        <f t="shared" si="1"/>
        <v>93.179999999999993</v>
      </c>
      <c r="F35" s="318"/>
      <c r="H35" s="319"/>
    </row>
    <row r="36" spans="1:8" x14ac:dyDescent="0.6">
      <c r="B36" s="87" t="s">
        <v>368</v>
      </c>
      <c r="C36" s="316"/>
      <c r="D36" s="316"/>
      <c r="E36" s="316"/>
      <c r="F36" s="318"/>
      <c r="H36" s="319"/>
    </row>
    <row r="37" spans="1:8" x14ac:dyDescent="0.6">
      <c r="A37" s="293"/>
      <c r="B37" s="315" t="s">
        <v>369</v>
      </c>
      <c r="C37" s="321">
        <v>20</v>
      </c>
      <c r="D37" s="321">
        <v>18</v>
      </c>
      <c r="E37" s="321">
        <v>15</v>
      </c>
      <c r="F37" s="322"/>
    </row>
    <row r="38" spans="1:8" x14ac:dyDescent="0.6">
      <c r="A38" s="293"/>
      <c r="B38" s="315" t="s">
        <v>368</v>
      </c>
      <c r="C38" s="321">
        <f>C37+D37+E37</f>
        <v>53</v>
      </c>
      <c r="D38" s="321">
        <f>C38</f>
        <v>53</v>
      </c>
      <c r="E38" s="321">
        <f>C38</f>
        <v>53</v>
      </c>
      <c r="F38" s="323"/>
    </row>
    <row r="39" spans="1:8" x14ac:dyDescent="0.6">
      <c r="A39" s="293"/>
      <c r="B39" s="315"/>
      <c r="C39" s="324"/>
      <c r="D39" s="324"/>
      <c r="E39" s="324"/>
      <c r="F39" s="323"/>
    </row>
    <row r="40" spans="1:8" x14ac:dyDescent="0.6">
      <c r="B40" s="87" t="s">
        <v>370</v>
      </c>
      <c r="C40" s="325"/>
      <c r="D40" s="325"/>
      <c r="E40" s="326"/>
      <c r="F40" s="326"/>
      <c r="G40" s="285" t="s">
        <v>3</v>
      </c>
    </row>
    <row r="41" spans="1:8" x14ac:dyDescent="0.6">
      <c r="A41" s="293"/>
      <c r="B41" s="327" t="s">
        <v>91</v>
      </c>
      <c r="C41" s="328">
        <v>1</v>
      </c>
      <c r="D41" s="328">
        <v>1</v>
      </c>
      <c r="E41" s="328">
        <v>1</v>
      </c>
      <c r="F41" s="329"/>
    </row>
    <row r="42" spans="1:8" x14ac:dyDescent="0.6">
      <c r="A42" s="293"/>
      <c r="B42" s="327" t="s">
        <v>88</v>
      </c>
      <c r="C42" s="328">
        <v>1</v>
      </c>
      <c r="D42" s="328">
        <v>1</v>
      </c>
      <c r="E42" s="328">
        <v>1</v>
      </c>
      <c r="F42" s="328"/>
    </row>
    <row r="43" spans="1:8" x14ac:dyDescent="0.6">
      <c r="A43" s="293"/>
      <c r="B43" s="315"/>
      <c r="C43" s="325"/>
      <c r="D43" s="325"/>
      <c r="E43" s="326"/>
      <c r="F43" s="325"/>
    </row>
    <row r="44" spans="1:8" ht="25.5" customHeight="1" x14ac:dyDescent="0.6">
      <c r="B44" s="89" t="s">
        <v>371</v>
      </c>
      <c r="C44" s="325"/>
      <c r="D44" s="326"/>
      <c r="E44" s="326"/>
      <c r="F44" s="325"/>
    </row>
    <row r="45" spans="1:8" x14ac:dyDescent="0.6">
      <c r="A45" s="293"/>
      <c r="B45" s="315" t="s">
        <v>372</v>
      </c>
      <c r="C45" s="330">
        <f>'BGS PTY22 Cost Alloc'!N247</f>
        <v>6774232</v>
      </c>
      <c r="D45" s="330">
        <f>C45</f>
        <v>6774232</v>
      </c>
      <c r="E45" s="330">
        <f>D45</f>
        <v>6774232</v>
      </c>
      <c r="F45" s="330">
        <f t="shared" ref="F45:F46" si="2">E45</f>
        <v>6774232</v>
      </c>
      <c r="G45" s="343" t="s">
        <v>3</v>
      </c>
    </row>
    <row r="46" spans="1:8" x14ac:dyDescent="0.6">
      <c r="A46" s="293"/>
      <c r="B46" s="315" t="s">
        <v>373</v>
      </c>
      <c r="C46" s="330">
        <f>'BGS PTY22 Cost Alloc'!N248</f>
        <v>10346653</v>
      </c>
      <c r="D46" s="330">
        <f>C46</f>
        <v>10346653</v>
      </c>
      <c r="E46" s="330">
        <f>D46</f>
        <v>10346653</v>
      </c>
      <c r="F46" s="330">
        <f t="shared" si="2"/>
        <v>10346653</v>
      </c>
      <c r="G46" s="343"/>
    </row>
    <row r="47" spans="1:8" x14ac:dyDescent="0.6">
      <c r="A47" s="293"/>
      <c r="B47" s="90"/>
      <c r="C47" s="325"/>
      <c r="D47" s="325"/>
      <c r="E47" s="326"/>
      <c r="F47" s="325"/>
    </row>
    <row r="48" spans="1:8" x14ac:dyDescent="0.6">
      <c r="B48" s="87" t="s">
        <v>374</v>
      </c>
      <c r="C48" s="325"/>
      <c r="D48" s="325"/>
      <c r="E48" s="326"/>
      <c r="F48" s="325"/>
    </row>
    <row r="49" spans="1:8" x14ac:dyDescent="0.6">
      <c r="A49" s="293"/>
      <c r="B49" s="327" t="s">
        <v>91</v>
      </c>
      <c r="C49" s="331">
        <f t="shared" ref="C49:E50" si="3">+C$33*C$37/C$38*C41*C45+C$34*C$37/C$38*C45</f>
        <v>238197335.00377357</v>
      </c>
      <c r="D49" s="331">
        <f t="shared" si="3"/>
        <v>214377601.50339621</v>
      </c>
      <c r="E49" s="331">
        <f t="shared" si="3"/>
        <v>178648001.25283015</v>
      </c>
      <c r="F49" s="331">
        <f>SUM(C49:E49)</f>
        <v>631222937.75999999</v>
      </c>
      <c r="H49" s="334"/>
    </row>
    <row r="50" spans="1:8" ht="15.25" x14ac:dyDescent="1.05">
      <c r="A50" s="293"/>
      <c r="B50" s="91" t="s">
        <v>88</v>
      </c>
      <c r="C50" s="92">
        <f t="shared" si="3"/>
        <v>363811745.86415094</v>
      </c>
      <c r="D50" s="92">
        <f t="shared" si="3"/>
        <v>327430571.27773583</v>
      </c>
      <c r="E50" s="92">
        <f t="shared" si="3"/>
        <v>272858809.39811319</v>
      </c>
      <c r="F50" s="92">
        <f>SUM(C50:E50)</f>
        <v>964101126.53999996</v>
      </c>
      <c r="H50" s="334"/>
    </row>
    <row r="51" spans="1:8" x14ac:dyDescent="0.6">
      <c r="A51" s="293"/>
      <c r="B51" s="315" t="s">
        <v>44</v>
      </c>
      <c r="C51" s="332">
        <f>+C50+C49</f>
        <v>602009080.86792445</v>
      </c>
      <c r="D51" s="332">
        <f>+D50+D49</f>
        <v>541808172.78113198</v>
      </c>
      <c r="E51" s="333">
        <f>+E50+E49</f>
        <v>451506810.65094334</v>
      </c>
      <c r="F51" s="332">
        <f>+F50+F49</f>
        <v>1595324064.3</v>
      </c>
      <c r="H51" s="334"/>
    </row>
    <row r="52" spans="1:8" x14ac:dyDescent="0.6">
      <c r="B52" s="315"/>
      <c r="C52" s="334"/>
      <c r="D52" s="334"/>
      <c r="E52" s="334"/>
      <c r="F52" s="334"/>
      <c r="H52" s="334"/>
    </row>
    <row r="53" spans="1:8" x14ac:dyDescent="0.6">
      <c r="B53" s="315" t="s">
        <v>375</v>
      </c>
      <c r="C53" s="334"/>
      <c r="D53" s="334" t="s">
        <v>3</v>
      </c>
      <c r="E53" s="334"/>
      <c r="F53" s="93">
        <f>ROUND(F51/(F45+F46),2)</f>
        <v>93.18</v>
      </c>
      <c r="G53" s="285" t="s">
        <v>413</v>
      </c>
      <c r="H53" s="334"/>
    </row>
    <row r="54" spans="1:8" x14ac:dyDescent="0.6">
      <c r="B54" s="315"/>
      <c r="C54" s="334"/>
      <c r="D54" s="334"/>
      <c r="E54" s="334"/>
      <c r="F54" s="93"/>
    </row>
    <row r="55" spans="1:8" x14ac:dyDescent="0.6">
      <c r="B55" s="315"/>
      <c r="C55" s="334"/>
      <c r="D55" s="334"/>
      <c r="E55" s="334"/>
      <c r="F55" s="93"/>
    </row>
    <row r="56" spans="1:8" x14ac:dyDescent="0.6">
      <c r="B56" s="315"/>
    </row>
    <row r="57" spans="1:8" x14ac:dyDescent="0.6">
      <c r="A57" s="310" t="s">
        <v>3</v>
      </c>
      <c r="B57" s="310"/>
      <c r="C57" s="310"/>
      <c r="D57" s="310"/>
      <c r="E57" s="310"/>
      <c r="F57" s="310"/>
    </row>
    <row r="58" spans="1:8" ht="16" customHeight="1" x14ac:dyDescent="0.6">
      <c r="A58" s="310"/>
      <c r="B58" s="310"/>
      <c r="C58" s="310"/>
      <c r="D58" s="310"/>
      <c r="E58" s="310"/>
      <c r="F58" s="310"/>
    </row>
  </sheetData>
  <mergeCells count="10">
    <mergeCell ref="A26:G26"/>
    <mergeCell ref="A27:G27"/>
    <mergeCell ref="G45:G46"/>
    <mergeCell ref="D11:F11"/>
    <mergeCell ref="B1:F1"/>
    <mergeCell ref="B2:F2"/>
    <mergeCell ref="B3:F3"/>
    <mergeCell ref="A5:F5"/>
    <mergeCell ref="D18:F18"/>
    <mergeCell ref="A23:G24"/>
  </mergeCells>
  <pageMargins left="0.7" right="0.7" top="0.75" bottom="0.75" header="0.3" footer="0.3"/>
  <pageSetup scale="69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BGS PTY20 Cost Alloc</vt:lpstr>
      <vt:lpstr>BGS PTY21 Cost Alloc</vt:lpstr>
      <vt:lpstr>BGS PTY22 Cost Alloc</vt:lpstr>
      <vt:lpstr>Composite Cost Allocation</vt:lpstr>
      <vt:lpstr>Attachment 3 - 24-25</vt:lpstr>
      <vt:lpstr>Attachment 3 - 25-26</vt:lpstr>
      <vt:lpstr>Attachment 3 - 26-27</vt:lpstr>
      <vt:lpstr>'Attachment 3 - 24-25'!Print_Area</vt:lpstr>
      <vt:lpstr>'Attachment 3 - 25-26'!Print_Area</vt:lpstr>
      <vt:lpstr>'Attachment 3 - 26-27'!Print_Area</vt:lpstr>
      <vt:lpstr>'BGS PTY20 Cost Alloc'!Print_Area</vt:lpstr>
      <vt:lpstr>'BGS PTY21 Cost Alloc'!Print_Area</vt:lpstr>
      <vt:lpstr>'BGS PTY22 Cost Alloc'!Print_Area</vt:lpstr>
      <vt:lpstr>'Composite Cost Allocation'!Print_Area</vt:lpstr>
    </vt:vector>
  </TitlesOfParts>
  <Company>FirstEnergy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Peng, Yongmei</dc:creator>
  <cp:lastModifiedBy>Morrison, Kate</cp:lastModifiedBy>
  <cp:lastPrinted>2023-06-28T13:49:19Z</cp:lastPrinted>
  <dcterms:created xsi:type="dcterms:W3CDTF">2023-06-23T18:49:19Z</dcterms:created>
  <dcterms:modified xsi:type="dcterms:W3CDTF">2023-06-28T19:52:39Z</dcterms:modified>
</cp:coreProperties>
</file>