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kate.morrison\Desktop\"/>
    </mc:Choice>
  </mc:AlternateContent>
  <xr:revisionPtr revIDLastSave="0" documentId="8_{F3C57FE2-499B-4555-AD49-23BA12E6AD93}" xr6:coauthVersionLast="47" xr6:coauthVersionMax="47" xr10:uidLastSave="{00000000-0000-0000-0000-000000000000}"/>
  <bookViews>
    <workbookView xWindow="49476" yWindow="3396" windowWidth="23724" windowHeight="10452" tabRatio="757" xr2:uid="{00000000-000D-0000-FFFF-FFFF00000000}"/>
  </bookViews>
  <sheets>
    <sheet name="Attachment 2" sheetId="1" r:id="rId1"/>
    <sheet name="Attachment 3" sheetId="3" r:id="rId2"/>
    <sheet name="Attachment 4 Pg1" sheetId="10" r:id="rId3"/>
    <sheet name="Attachment 4 Pg2" sheetId="11" r:id="rId4"/>
    <sheet name="Attachment 4 Pg3" sheetId="13" r:id="rId5"/>
    <sheet name="Attachment 4 Pg4" sheetId="14" r:id="rId6"/>
    <sheet name="Attachment 4 Pg5" sheetId="15" r:id="rId7"/>
  </sheets>
  <definedNames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>#REF!</definedName>
    <definedName name="Auction" localSheetId="0">'Attachment 2'!#REF!</definedName>
    <definedName name="Co_letter" localSheetId="2">#REF!</definedName>
    <definedName name="Co_letter" localSheetId="3">#REF!</definedName>
    <definedName name="Co_letter" localSheetId="4">#REF!</definedName>
    <definedName name="Co_letter" localSheetId="5">#REF!</definedName>
    <definedName name="Co_letter" localSheetId="6">#REF!</definedName>
    <definedName name="Co_letter">#REF!</definedName>
    <definedName name="Co_List" localSheetId="2">#REF!</definedName>
    <definedName name="Co_List" localSheetId="3">#REF!</definedName>
    <definedName name="Co_List" localSheetId="4">#REF!</definedName>
    <definedName name="Co_List" localSheetId="5">#REF!</definedName>
    <definedName name="Co_List" localSheetId="6">#REF!</definedName>
    <definedName name="Co_List">#REF!</definedName>
    <definedName name="Co_Listc" localSheetId="2">#REF!</definedName>
    <definedName name="Co_Listc" localSheetId="3">#REF!</definedName>
    <definedName name="Co_Listc" localSheetId="4">#REF!</definedName>
    <definedName name="Co_Listc">#REF!</definedName>
    <definedName name="Co_Name" localSheetId="2">#REF!</definedName>
    <definedName name="Co_Name" localSheetId="3">#REF!</definedName>
    <definedName name="Co_Name" localSheetId="4">#REF!</definedName>
    <definedName name="Co_Name" localSheetId="5">#REF!</definedName>
    <definedName name="Co_Name" localSheetId="6">#REF!</definedName>
    <definedName name="Co_Name">#REF!</definedName>
    <definedName name="Co_Picked" localSheetId="2">#REF!</definedName>
    <definedName name="Co_Picked" localSheetId="3">#REF!</definedName>
    <definedName name="Co_Picked" localSheetId="4">#REF!</definedName>
    <definedName name="Co_Picked" localSheetId="5">#REF!</definedName>
    <definedName name="Co_Picked" localSheetId="6">#REF!</definedName>
    <definedName name="Co_Picked">#REF!</definedName>
    <definedName name="Get_Co" localSheetId="2">#REF!</definedName>
    <definedName name="Get_Co" localSheetId="3">#REF!</definedName>
    <definedName name="Get_Co" localSheetId="4">#REF!</definedName>
    <definedName name="Get_Co" localSheetId="5">#REF!</definedName>
    <definedName name="Get_Co" localSheetId="6">#REF!</definedName>
    <definedName name="Get_Co">#REF!</definedName>
    <definedName name="Get_Mo" localSheetId="2">#REF!</definedName>
    <definedName name="Get_Mo" localSheetId="3">#REF!</definedName>
    <definedName name="Get_Mo" localSheetId="4">#REF!</definedName>
    <definedName name="Get_Mo" localSheetId="5">#REF!</definedName>
    <definedName name="Get_Mo" localSheetId="6">#REF!</definedName>
    <definedName name="Get_Mo">#REF!</definedName>
    <definedName name="Get_moc" localSheetId="2">#REF!</definedName>
    <definedName name="Get_moc" localSheetId="3">#REF!</definedName>
    <definedName name="Get_moc" localSheetId="4">#REF!</definedName>
    <definedName name="Get_moc">#REF!</definedName>
    <definedName name="Mo_List" localSheetId="2">#REF!</definedName>
    <definedName name="Mo_List" localSheetId="3">#REF!</definedName>
    <definedName name="Mo_List" localSheetId="4">#REF!</definedName>
    <definedName name="Mo_List" localSheetId="5">#REF!</definedName>
    <definedName name="Mo_List" localSheetId="6">#REF!</definedName>
    <definedName name="Mo_List">#REF!</definedName>
    <definedName name="Mo_Picked" localSheetId="2">#REF!</definedName>
    <definedName name="Mo_Picked" localSheetId="3">#REF!</definedName>
    <definedName name="Mo_Picked" localSheetId="4">#REF!</definedName>
    <definedName name="Mo_Picked" localSheetId="5">#REF!</definedName>
    <definedName name="Mo_Picked" localSheetId="6">#REF!</definedName>
    <definedName name="Mo_Picked">#REF!</definedName>
    <definedName name="_xlnm.Print_Area" localSheetId="0">'Attachment 2'!$A$1:$M$288</definedName>
    <definedName name="_xlnm.Print_Area" localSheetId="1">'Attachment 3'!$A$5:$K$153</definedName>
    <definedName name="_xlnm.Print_Area" localSheetId="2">'Attachment 4 Pg1'!$A$1:$K$21</definedName>
    <definedName name="_xlnm.Print_Area" localSheetId="3">'Attachment 4 Pg2'!$A$1:$J$23</definedName>
    <definedName name="_xlnm.Print_Area" localSheetId="4">'Attachment 4 Pg3'!$A$1:$I$23</definedName>
    <definedName name="_xlnm.Print_Area" localSheetId="5">'Attachment 4 Pg4'!$A$1:$M$35</definedName>
    <definedName name="_xlnm.Print_Area" localSheetId="6">'Attachment 4 Pg5'!$A$1:$M$35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>#REF!</definedName>
    <definedName name="_xlnm.Print_Titles" localSheetId="1">'Attachment 3'!$1:$4</definedName>
    <definedName name="_xlnm.Print_Titles" localSheetId="5">'Attachment 4 Pg4'!$2:$4</definedName>
    <definedName name="_xlnm.Print_Titles" localSheetId="6">'Attachment 4 Pg5'!$2:$4</definedName>
    <definedName name="Rpt_Mo" localSheetId="2">#REF!</definedName>
    <definedName name="Rpt_Mo" localSheetId="3">#REF!</definedName>
    <definedName name="Rpt_Mo" localSheetId="4">#REF!</definedName>
    <definedName name="Rpt_Mo" localSheetId="5">#REF!</definedName>
    <definedName name="Rpt_Mo" localSheetId="6">#REF!</definedName>
    <definedName name="Rpt_Mo">#REF!</definedName>
    <definedName name="Year1" localSheetId="2">#REF!</definedName>
    <definedName name="Year1" localSheetId="3">#REF!</definedName>
    <definedName name="Year1" localSheetId="4">#REF!</definedName>
    <definedName name="Year1" localSheetId="5">#REF!</definedName>
    <definedName name="Year1" localSheetId="6">#REF!</definedName>
    <definedName name="Year1">#REF!</definedName>
    <definedName name="Z_689761CC_C80B_4574_9251_22E069AE5A7E_.wvu.PrintArea" localSheetId="0" hidden="1">'Attachment 2'!$A$1:$M$256</definedName>
    <definedName name="Z_689761CC_C80B_4574_9251_22E069AE5A7E_.wvu.PrintArea" localSheetId="1" hidden="1">'Attachment 3'!$A$6:$M$107</definedName>
    <definedName name="Z_689761CC_C80B_4574_9251_22E069AE5A7E_.wvu.PrintTitles" localSheetId="1" hidden="1">'Attachment 3'!$1:$4</definedName>
    <definedName name="Z_E387223A_F425_4996_A843_D576BB2C4D04_.wvu.PrintArea" localSheetId="0" hidden="1">'Attachment 2'!$A$1:$M$252</definedName>
    <definedName name="Z_E387223A_F425_4996_A843_D576BB2C4D04_.wvu.PrintArea" localSheetId="1" hidden="1">'Attachment 3'!$A$6:$M$107</definedName>
    <definedName name="Z_E387223A_F425_4996_A843_D576BB2C4D04_.wvu.PrintTitles" localSheetId="1" hidden="1">'Attachment 3'!$1:$4</definedName>
    <definedName name="Z_E387223A_F425_4996_A843_D576BB2C4D04_.wvu.Rows" localSheetId="0" hidden="1">'Attachment 2'!$253:$255</definedName>
  </definedNames>
  <calcPr calcId="191029"/>
  <customWorkbookViews>
    <customWorkbookView name="BGS Filing" guid="{E387223A-F425-4996-A843-D576BB2C4D04}" maximized="1" windowWidth="994" windowHeight="507" activeSheetId="1"/>
    <customWorkbookView name="Retail Rate Development Detail" guid="{689761CC-C80B-4574-9251-22E069AE5A7E}" maximized="1" windowWidth="994" windowHeight="5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5" l="1"/>
  <c r="C17" i="15"/>
  <c r="D16" i="15"/>
  <c r="C16" i="15"/>
  <c r="C8" i="15"/>
  <c r="D3" i="11"/>
  <c r="C14" i="10"/>
  <c r="D8" i="15" l="1"/>
  <c r="E8" i="15" l="1"/>
  <c r="D10" i="15"/>
  <c r="E10" i="15" l="1"/>
  <c r="D3" i="10" l="1"/>
  <c r="P129" i="1" l="1"/>
  <c r="O48" i="1"/>
  <c r="C276" i="1" l="1"/>
  <c r="D17" i="14" l="1"/>
  <c r="C17" i="14"/>
  <c r="D16" i="14"/>
  <c r="C16" i="14"/>
  <c r="C8" i="14"/>
  <c r="D8" i="14" s="1"/>
  <c r="E8" i="14" s="1"/>
  <c r="C7" i="13"/>
  <c r="D14" i="11"/>
  <c r="D7" i="11"/>
  <c r="E10" i="3"/>
  <c r="E10" i="14" l="1"/>
  <c r="C7" i="11" l="1"/>
  <c r="D9" i="10"/>
  <c r="D7" i="10"/>
  <c r="C7" i="10" l="1"/>
  <c r="C79" i="1" l="1"/>
  <c r="C243" i="1" l="1"/>
  <c r="O45" i="1" l="1"/>
  <c r="J79" i="1" l="1"/>
  <c r="I79" i="1"/>
  <c r="H79" i="1"/>
  <c r="F79" i="1"/>
  <c r="G79" i="1"/>
  <c r="D79" i="1"/>
  <c r="E79" i="1"/>
  <c r="F148" i="1" l="1"/>
  <c r="C246" i="1" l="1"/>
  <c r="E168" i="1"/>
  <c r="P18" i="1" l="1"/>
  <c r="B28" i="1"/>
  <c r="B29" i="1"/>
  <c r="B30" i="1"/>
  <c r="B31" i="1"/>
  <c r="B32" i="1"/>
  <c r="B33" i="1"/>
  <c r="B34" i="1"/>
  <c r="B35" i="1"/>
  <c r="B36" i="1"/>
  <c r="B37" i="1"/>
  <c r="B38" i="1"/>
  <c r="B27" i="1"/>
  <c r="P27" i="1" l="1"/>
  <c r="U9" i="1"/>
  <c r="D154" i="1" l="1"/>
  <c r="C244" i="1" l="1"/>
  <c r="E13" i="3" l="1"/>
  <c r="C13" i="13" s="1"/>
  <c r="C14" i="13" s="1"/>
  <c r="C13" i="10" l="1"/>
  <c r="C13" i="11"/>
  <c r="C14" i="11" s="1"/>
  <c r="J163" i="1"/>
  <c r="D13" i="10" l="1"/>
  <c r="D14" i="10" s="1"/>
  <c r="C57" i="1"/>
  <c r="C162" i="1" l="1"/>
  <c r="F160" i="1" l="1"/>
  <c r="O52" i="1" s="1"/>
  <c r="F161" i="1" l="1"/>
  <c r="C80" i="1"/>
  <c r="D57" i="1" l="1"/>
  <c r="D65" i="1" l="1"/>
  <c r="D66" i="1" l="1"/>
  <c r="D64" i="1"/>
  <c r="I64" i="1" l="1"/>
  <c r="H64" i="1"/>
  <c r="E63" i="1" l="1"/>
  <c r="D82" i="1" l="1"/>
  <c r="O9" i="1" l="1"/>
  <c r="P9" i="1"/>
  <c r="Q9" i="1"/>
  <c r="R9" i="1"/>
  <c r="S9" i="1"/>
  <c r="O10" i="1"/>
  <c r="P10" i="1"/>
  <c r="Q10" i="1"/>
  <c r="R10" i="1"/>
  <c r="S10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P17" i="1"/>
  <c r="Q17" i="1"/>
  <c r="R17" i="1"/>
  <c r="S17" i="1"/>
  <c r="O18" i="1"/>
  <c r="Q18" i="1"/>
  <c r="R18" i="1"/>
  <c r="S18" i="1"/>
  <c r="O19" i="1"/>
  <c r="P19" i="1"/>
  <c r="Q19" i="1"/>
  <c r="R19" i="1"/>
  <c r="S19" i="1"/>
  <c r="O20" i="1"/>
  <c r="P20" i="1"/>
  <c r="Q20" i="1"/>
  <c r="R20" i="1"/>
  <c r="S20" i="1"/>
  <c r="P28" i="1"/>
  <c r="P29" i="1"/>
  <c r="P30" i="1"/>
  <c r="P31" i="1"/>
  <c r="P32" i="1"/>
  <c r="P130" i="1" s="1"/>
  <c r="P33" i="1"/>
  <c r="P34" i="1"/>
  <c r="P35" i="1"/>
  <c r="P36" i="1"/>
  <c r="P37" i="1"/>
  <c r="P38" i="1"/>
  <c r="P45" i="1"/>
  <c r="P46" i="1"/>
  <c r="P48" i="1"/>
  <c r="P49" i="1"/>
  <c r="P126" i="1"/>
  <c r="Q126" i="1" s="1"/>
  <c r="R126" i="1"/>
  <c r="S126" i="1"/>
  <c r="Q129" i="1"/>
  <c r="P133" i="1"/>
  <c r="Q133" i="1"/>
  <c r="P131" i="1" l="1"/>
  <c r="O53" i="1"/>
  <c r="P47" i="1"/>
  <c r="P134" i="1"/>
  <c r="P135" i="1" s="1"/>
  <c r="Q130" i="1"/>
  <c r="Q134" i="1"/>
  <c r="P50" i="1"/>
  <c r="R129" i="1"/>
  <c r="R133" i="1"/>
  <c r="I70" i="1"/>
  <c r="H70" i="1"/>
  <c r="H73" i="1"/>
  <c r="D25" i="1"/>
  <c r="D43" i="1"/>
  <c r="D80" i="1"/>
  <c r="I74" i="1"/>
  <c r="I73" i="1"/>
  <c r="I72" i="1"/>
  <c r="H71" i="1"/>
  <c r="H69" i="1"/>
  <c r="I67" i="1"/>
  <c r="I66" i="1"/>
  <c r="I65" i="1"/>
  <c r="H65" i="1"/>
  <c r="E80" i="1"/>
  <c r="E82" i="1"/>
  <c r="F80" i="1"/>
  <c r="F82" i="1"/>
  <c r="G80" i="1"/>
  <c r="G82" i="1"/>
  <c r="H80" i="1"/>
  <c r="H82" i="1"/>
  <c r="I80" i="1"/>
  <c r="I82" i="1"/>
  <c r="J80" i="1"/>
  <c r="J82" i="1"/>
  <c r="C83" i="1"/>
  <c r="C84" i="1" s="1"/>
  <c r="D70" i="3"/>
  <c r="D86" i="3" s="1"/>
  <c r="E70" i="3"/>
  <c r="E86" i="3" s="1"/>
  <c r="F70" i="3"/>
  <c r="F86" i="3" s="1"/>
  <c r="G70" i="3"/>
  <c r="G86" i="3" s="1"/>
  <c r="H70" i="3"/>
  <c r="H86" i="3" s="1"/>
  <c r="I70" i="3"/>
  <c r="I86" i="3" s="1"/>
  <c r="J70" i="3"/>
  <c r="J86" i="3" s="1"/>
  <c r="C70" i="3"/>
  <c r="C86" i="3" s="1"/>
  <c r="U10" i="1"/>
  <c r="U11" i="1"/>
  <c r="U12" i="1"/>
  <c r="U13" i="1"/>
  <c r="T9" i="1"/>
  <c r="T10" i="1"/>
  <c r="T11" i="1"/>
  <c r="T12" i="1"/>
  <c r="T13" i="1"/>
  <c r="T126" i="1"/>
  <c r="T20" i="1"/>
  <c r="T18" i="1"/>
  <c r="T19" i="1"/>
  <c r="U20" i="1"/>
  <c r="U18" i="1"/>
  <c r="U19" i="1"/>
  <c r="V13" i="1"/>
  <c r="V9" i="1"/>
  <c r="V10" i="1"/>
  <c r="V11" i="1"/>
  <c r="V12" i="1"/>
  <c r="V20" i="1"/>
  <c r="V18" i="1"/>
  <c r="V19" i="1"/>
  <c r="V17" i="1"/>
  <c r="V14" i="1"/>
  <c r="V15" i="1"/>
  <c r="V16" i="1"/>
  <c r="T17" i="1"/>
  <c r="T14" i="1"/>
  <c r="T15" i="1"/>
  <c r="T16" i="1"/>
  <c r="U17" i="1"/>
  <c r="U14" i="1"/>
  <c r="U15" i="1"/>
  <c r="U16" i="1"/>
  <c r="I150" i="1"/>
  <c r="B74" i="1"/>
  <c r="B73" i="1"/>
  <c r="B72" i="1"/>
  <c r="B71" i="1"/>
  <c r="B70" i="1"/>
  <c r="B69" i="1"/>
  <c r="B68" i="1"/>
  <c r="B67" i="1"/>
  <c r="B66" i="1"/>
  <c r="B65" i="1"/>
  <c r="B64" i="1"/>
  <c r="B63" i="1"/>
  <c r="C158" i="1"/>
  <c r="C245" i="1"/>
  <c r="H67" i="1"/>
  <c r="H74" i="1"/>
  <c r="H72" i="1"/>
  <c r="H66" i="1"/>
  <c r="I71" i="1"/>
  <c r="I69" i="1"/>
  <c r="D93" i="1" l="1"/>
  <c r="D111" i="1" s="1"/>
  <c r="C93" i="1"/>
  <c r="C111" i="1" s="1"/>
  <c r="R130" i="1"/>
  <c r="Q131" i="1"/>
  <c r="R134" i="1"/>
  <c r="Q135" i="1"/>
  <c r="C97" i="1"/>
  <c r="C115" i="1" s="1"/>
  <c r="J83" i="1"/>
  <c r="J84" i="1" s="1"/>
  <c r="I83" i="1"/>
  <c r="I84" i="1" s="1"/>
  <c r="H83" i="1"/>
  <c r="H84" i="1" s="1"/>
  <c r="G83" i="1"/>
  <c r="G84" i="1" s="1"/>
  <c r="F83" i="1"/>
  <c r="F84" i="1" s="1"/>
  <c r="D97" i="1"/>
  <c r="D115" i="1" s="1"/>
  <c r="D83" i="1"/>
  <c r="D84" i="1" s="1"/>
  <c r="E83" i="1"/>
  <c r="E84" i="1" s="1"/>
  <c r="O54" i="1" l="1"/>
  <c r="E68" i="1" l="1"/>
  <c r="D70" i="1"/>
  <c r="E70" i="1" s="1"/>
  <c r="D69" i="1"/>
  <c r="E69" i="1" s="1"/>
  <c r="D71" i="1"/>
  <c r="E71" i="1" s="1"/>
  <c r="C94" i="1" l="1"/>
  <c r="C112" i="1" s="1"/>
  <c r="D92" i="1"/>
  <c r="C92" i="1"/>
  <c r="C110" i="1" s="1"/>
  <c r="D94" i="1"/>
  <c r="D129" i="1" s="1"/>
  <c r="D112" i="1" l="1"/>
  <c r="D130" i="1" s="1"/>
  <c r="C128" i="1"/>
  <c r="D110" i="1"/>
  <c r="D128" i="1" s="1"/>
  <c r="S129" i="1" l="1"/>
  <c r="S130" i="1"/>
  <c r="D186" i="1"/>
  <c r="T131" i="1"/>
  <c r="S131" i="1" l="1"/>
  <c r="D74" i="1" l="1"/>
  <c r="E74" i="1" s="1"/>
  <c r="E65" i="1"/>
  <c r="D67" i="1"/>
  <c r="E67" i="1" s="1"/>
  <c r="D72" i="1"/>
  <c r="E72" i="1" s="1"/>
  <c r="C96" i="1" s="1"/>
  <c r="E64" i="1"/>
  <c r="D73" i="1"/>
  <c r="E73" i="1" s="1"/>
  <c r="E66" i="1"/>
  <c r="D98" i="1" l="1"/>
  <c r="D133" i="1" s="1"/>
  <c r="C100" i="1"/>
  <c r="D96" i="1"/>
  <c r="C98" i="1"/>
  <c r="C116" i="1" s="1"/>
  <c r="D100" i="1" l="1"/>
  <c r="D114" i="1"/>
  <c r="C114" i="1"/>
  <c r="D116" i="1"/>
  <c r="D134" i="1" l="1"/>
  <c r="S133" i="1"/>
  <c r="C132" i="1"/>
  <c r="C118" i="1"/>
  <c r="D118" i="1"/>
  <c r="D132" i="1"/>
  <c r="T135" i="1"/>
  <c r="S134" i="1" l="1"/>
  <c r="S135" i="1" s="1"/>
  <c r="D192" i="1"/>
  <c r="C136" i="1"/>
  <c r="D136" i="1"/>
  <c r="K145" i="1" l="1"/>
  <c r="K144" i="1"/>
  <c r="C8" i="13" l="1"/>
  <c r="C10" i="13" s="1"/>
  <c r="C16" i="13" s="1"/>
  <c r="C8" i="11"/>
  <c r="C10" i="11" s="1"/>
  <c r="C16" i="11" s="1"/>
  <c r="C8" i="10"/>
  <c r="J154" i="1"/>
  <c r="J153" i="1"/>
  <c r="C175" i="1" s="1"/>
  <c r="D8" i="11" l="1"/>
  <c r="D10" i="11" s="1"/>
  <c r="D16" i="11" s="1"/>
  <c r="C10" i="10"/>
  <c r="C16" i="10" s="1"/>
  <c r="D8" i="10"/>
  <c r="D10" i="10" s="1"/>
  <c r="D16" i="10" s="1"/>
  <c r="D175" i="1"/>
  <c r="D184" i="1" s="1"/>
  <c r="J155" i="1"/>
  <c r="D176" i="1"/>
  <c r="C176" i="1"/>
  <c r="C190" i="1" l="1"/>
  <c r="C225" i="1" s="1"/>
  <c r="D174" i="1"/>
  <c r="C174" i="1"/>
  <c r="D191" i="1"/>
  <c r="D190" i="1"/>
  <c r="D225" i="1" s="1"/>
  <c r="C184" i="1"/>
  <c r="C187" i="1" s="1"/>
  <c r="D224" i="1"/>
  <c r="D185" i="1"/>
  <c r="D193" i="1" l="1"/>
  <c r="D226" i="1"/>
  <c r="D229" i="1" s="1"/>
  <c r="C193" i="1"/>
  <c r="C211" i="1"/>
  <c r="C53" i="3" s="1"/>
  <c r="C188" i="1"/>
  <c r="C212" i="1" s="1"/>
  <c r="C54" i="3" s="1"/>
  <c r="C224" i="1" l="1"/>
  <c r="C226" i="1" s="1"/>
  <c r="C229" i="1" s="1"/>
  <c r="D230" i="1"/>
  <c r="U48" i="1"/>
  <c r="I93" i="1"/>
  <c r="I111" i="1" s="1"/>
  <c r="I175" i="1"/>
  <c r="I94" i="1"/>
  <c r="I112" i="1" s="1"/>
  <c r="I92" i="1"/>
  <c r="I110" i="1" s="1"/>
  <c r="I128" i="1" s="1"/>
  <c r="I57" i="1"/>
  <c r="U45" i="1"/>
  <c r="I97" i="1"/>
  <c r="I115" i="1" s="1"/>
  <c r="I176" i="1"/>
  <c r="I98" i="1"/>
  <c r="I116" i="1" s="1"/>
  <c r="I96" i="1"/>
  <c r="C230" i="1" l="1"/>
  <c r="I100" i="1"/>
  <c r="I184" i="1"/>
  <c r="I224" i="1" s="1"/>
  <c r="I114" i="1"/>
  <c r="I118" i="1" s="1"/>
  <c r="I174" i="1"/>
  <c r="I132" i="1" l="1"/>
  <c r="I190" i="1" s="1"/>
  <c r="I225" i="1" s="1"/>
  <c r="K54" i="1"/>
  <c r="K46" i="1"/>
  <c r="K50" i="1"/>
  <c r="G175" i="1"/>
  <c r="G97" i="1"/>
  <c r="G115" i="1" s="1"/>
  <c r="R48" i="1"/>
  <c r="K49" i="1" l="1"/>
  <c r="I136" i="1"/>
  <c r="I193" i="1" s="1"/>
  <c r="G96" i="1"/>
  <c r="G114" i="1" s="1"/>
  <c r="K53" i="1"/>
  <c r="T48" i="1"/>
  <c r="V48" i="1"/>
  <c r="G176" i="1"/>
  <c r="F57" i="1"/>
  <c r="F174" i="1" s="1"/>
  <c r="H93" i="1"/>
  <c r="H111" i="1" s="1"/>
  <c r="J175" i="1"/>
  <c r="J93" i="1"/>
  <c r="J111" i="1" s="1"/>
  <c r="S45" i="1"/>
  <c r="G98" i="1"/>
  <c r="G116" i="1" s="1"/>
  <c r="J92" i="1"/>
  <c r="J110" i="1" s="1"/>
  <c r="J128" i="1" s="1"/>
  <c r="K51" i="1"/>
  <c r="F176" i="1"/>
  <c r="H92" i="1"/>
  <c r="H110" i="1" s="1"/>
  <c r="H128" i="1" s="1"/>
  <c r="G93" i="1"/>
  <c r="G111" i="1" s="1"/>
  <c r="E94" i="1"/>
  <c r="E112" i="1" s="1"/>
  <c r="Q48" i="1"/>
  <c r="F94" i="1"/>
  <c r="F112" i="1" s="1"/>
  <c r="F97" i="1"/>
  <c r="F115" i="1" s="1"/>
  <c r="G57" i="1"/>
  <c r="G174" i="1" s="1"/>
  <c r="H94" i="1"/>
  <c r="H112" i="1" s="1"/>
  <c r="G94" i="1"/>
  <c r="G112" i="1" s="1"/>
  <c r="S48" i="1"/>
  <c r="E175" i="1"/>
  <c r="F175" i="1"/>
  <c r="F98" i="1"/>
  <c r="F116" i="1" s="1"/>
  <c r="R45" i="1"/>
  <c r="H175" i="1"/>
  <c r="G92" i="1"/>
  <c r="G110" i="1" s="1"/>
  <c r="G128" i="1" s="1"/>
  <c r="G184" i="1" s="1"/>
  <c r="G224" i="1" s="1"/>
  <c r="E93" i="1"/>
  <c r="E111" i="1" s="1"/>
  <c r="F93" i="1"/>
  <c r="F111" i="1" s="1"/>
  <c r="K55" i="1"/>
  <c r="K56" i="1"/>
  <c r="K52" i="1"/>
  <c r="K48" i="1"/>
  <c r="K47" i="1"/>
  <c r="F96" i="1"/>
  <c r="J94" i="1"/>
  <c r="J112" i="1" s="1"/>
  <c r="E92" i="1"/>
  <c r="E110" i="1" s="1"/>
  <c r="E128" i="1" s="1"/>
  <c r="F92" i="1"/>
  <c r="F110" i="1" s="1"/>
  <c r="F128" i="1" s="1"/>
  <c r="K45" i="1"/>
  <c r="E57" i="1"/>
  <c r="Q45" i="1"/>
  <c r="E97" i="1"/>
  <c r="E115" i="1" s="1"/>
  <c r="E176" i="1"/>
  <c r="E96" i="1"/>
  <c r="E98" i="1"/>
  <c r="E116" i="1" s="1"/>
  <c r="H57" i="1"/>
  <c r="T45" i="1"/>
  <c r="H97" i="1"/>
  <c r="H115" i="1" s="1"/>
  <c r="H176" i="1"/>
  <c r="H96" i="1"/>
  <c r="H114" i="1" s="1"/>
  <c r="H98" i="1"/>
  <c r="H116" i="1" s="1"/>
  <c r="J57" i="1"/>
  <c r="V45" i="1"/>
  <c r="J97" i="1"/>
  <c r="J115" i="1" s="1"/>
  <c r="J176" i="1"/>
  <c r="J98" i="1"/>
  <c r="J116" i="1" s="1"/>
  <c r="J96" i="1"/>
  <c r="J114" i="1" s="1"/>
  <c r="Q56" i="1" l="1"/>
  <c r="Q57" i="1"/>
  <c r="J184" i="1"/>
  <c r="J224" i="1" s="1"/>
  <c r="J100" i="1"/>
  <c r="F100" i="1"/>
  <c r="E100" i="1"/>
  <c r="F184" i="1"/>
  <c r="F224" i="1" s="1"/>
  <c r="H184" i="1"/>
  <c r="H224" i="1" s="1"/>
  <c r="G100" i="1"/>
  <c r="W48" i="1"/>
  <c r="C20" i="3"/>
  <c r="C20" i="15" s="1"/>
  <c r="D24" i="15" s="1"/>
  <c r="E184" i="1"/>
  <c r="E224" i="1" s="1"/>
  <c r="H100" i="1"/>
  <c r="K57" i="1"/>
  <c r="F114" i="1"/>
  <c r="F132" i="1" s="1"/>
  <c r="F136" i="1" s="1"/>
  <c r="E174" i="1"/>
  <c r="H132" i="1"/>
  <c r="H118" i="1"/>
  <c r="I226" i="1"/>
  <c r="I229" i="1" s="1"/>
  <c r="E114" i="1"/>
  <c r="J118" i="1"/>
  <c r="J132" i="1"/>
  <c r="G132" i="1"/>
  <c r="G118" i="1"/>
  <c r="J174" i="1"/>
  <c r="H174" i="1"/>
  <c r="W45" i="1"/>
  <c r="C21" i="3"/>
  <c r="C21" i="15" s="1"/>
  <c r="D25" i="15" s="1"/>
  <c r="D26" i="15" s="1"/>
  <c r="C21" i="14" l="1"/>
  <c r="C18" i="13"/>
  <c r="C19" i="13" s="1"/>
  <c r="C21" i="13" s="1"/>
  <c r="C9" i="15" s="1"/>
  <c r="C20" i="14"/>
  <c r="C18" i="11"/>
  <c r="C18" i="10"/>
  <c r="W50" i="1"/>
  <c r="F118" i="1"/>
  <c r="F190" i="1"/>
  <c r="F225" i="1" s="1"/>
  <c r="Q58" i="1"/>
  <c r="G102" i="1"/>
  <c r="E118" i="1"/>
  <c r="E132" i="1"/>
  <c r="G190" i="1"/>
  <c r="G225" i="1" s="1"/>
  <c r="G136" i="1"/>
  <c r="H190" i="1"/>
  <c r="H225" i="1" s="1"/>
  <c r="H136" i="1"/>
  <c r="F193" i="1"/>
  <c r="J136" i="1"/>
  <c r="J190" i="1"/>
  <c r="J225" i="1" s="1"/>
  <c r="I230" i="1"/>
  <c r="C25" i="15" l="1"/>
  <c r="C10" i="15"/>
  <c r="C24" i="15"/>
  <c r="C19" i="11"/>
  <c r="C21" i="11" s="1"/>
  <c r="C9" i="14" s="1"/>
  <c r="C24" i="14" s="1"/>
  <c r="D18" i="11"/>
  <c r="D19" i="11" s="1"/>
  <c r="D21" i="11" s="1"/>
  <c r="D9" i="14" s="1"/>
  <c r="D10" i="14" s="1"/>
  <c r="C19" i="10"/>
  <c r="C21" i="10" s="1"/>
  <c r="C9" i="3" s="1"/>
  <c r="C10" i="3" s="1"/>
  <c r="D18" i="10"/>
  <c r="D19" i="10" s="1"/>
  <c r="D21" i="10" s="1"/>
  <c r="D9" i="3" s="1"/>
  <c r="D10" i="3" s="1"/>
  <c r="C120" i="1"/>
  <c r="C137" i="1" s="1"/>
  <c r="F226" i="1"/>
  <c r="F229" i="1" s="1"/>
  <c r="J193" i="1"/>
  <c r="G193" i="1"/>
  <c r="E190" i="1"/>
  <c r="E225" i="1" s="1"/>
  <c r="E136" i="1"/>
  <c r="H193" i="1"/>
  <c r="C233" i="1"/>
  <c r="E238" i="1" s="1"/>
  <c r="C10" i="14" l="1"/>
  <c r="C25" i="14"/>
  <c r="C26" i="14" s="1"/>
  <c r="D25" i="14"/>
  <c r="C26" i="15"/>
  <c r="D24" i="14"/>
  <c r="F230" i="1"/>
  <c r="H226" i="1"/>
  <c r="H229" i="1" s="1"/>
  <c r="G226" i="1"/>
  <c r="G229" i="1" s="1"/>
  <c r="J226" i="1"/>
  <c r="J229" i="1" s="1"/>
  <c r="E193" i="1"/>
  <c r="D26" i="14" l="1"/>
  <c r="D25" i="3"/>
  <c r="D24" i="3"/>
  <c r="C24" i="3"/>
  <c r="C25" i="3"/>
  <c r="J230" i="1"/>
  <c r="H230" i="1"/>
  <c r="G230" i="1"/>
  <c r="C234" i="1"/>
  <c r="E226" i="1"/>
  <c r="E229" i="1" s="1"/>
  <c r="C196" i="1"/>
  <c r="D26" i="3" l="1"/>
  <c r="C26" i="3"/>
  <c r="C235" i="1"/>
  <c r="C238" i="1" s="1"/>
  <c r="E239" i="1"/>
  <c r="G199" i="1"/>
  <c r="C210" i="1" s="1"/>
  <c r="G198" i="1"/>
  <c r="E230" i="1"/>
  <c r="M239" i="1" l="1"/>
  <c r="E17" i="3" s="1"/>
  <c r="E17" i="15" s="1"/>
  <c r="E25" i="15" s="1"/>
  <c r="M238" i="1"/>
  <c r="E16" i="3" s="1"/>
  <c r="E16" i="15" s="1"/>
  <c r="E24" i="15" s="1"/>
  <c r="C29" i="15" s="1"/>
  <c r="C239" i="1"/>
  <c r="D217" i="1"/>
  <c r="D62" i="3" s="1"/>
  <c r="J207" i="1"/>
  <c r="J48" i="3" s="1"/>
  <c r="G207" i="1"/>
  <c r="G48" i="3" s="1"/>
  <c r="D215" i="1"/>
  <c r="D59" i="3" s="1"/>
  <c r="D214" i="1"/>
  <c r="D58" i="3" s="1"/>
  <c r="C214" i="1"/>
  <c r="D208" i="1"/>
  <c r="D49" i="3" s="1"/>
  <c r="H207" i="1"/>
  <c r="H48" i="3" s="1"/>
  <c r="D207" i="1"/>
  <c r="D48" i="3" s="1"/>
  <c r="C217" i="1"/>
  <c r="C62" i="3" s="1"/>
  <c r="I207" i="1"/>
  <c r="I48" i="3" s="1"/>
  <c r="D209" i="1"/>
  <c r="D50" i="3" s="1"/>
  <c r="D216" i="1"/>
  <c r="D60" i="3" s="1"/>
  <c r="F207" i="1"/>
  <c r="F48" i="3" s="1"/>
  <c r="E207" i="1"/>
  <c r="E48" i="3" s="1"/>
  <c r="C52" i="3"/>
  <c r="I214" i="1"/>
  <c r="I58" i="3" s="1"/>
  <c r="I217" i="1"/>
  <c r="I62" i="3" s="1"/>
  <c r="F214" i="1"/>
  <c r="F58" i="3" s="1"/>
  <c r="F217" i="1"/>
  <c r="F62" i="3" s="1"/>
  <c r="J214" i="1"/>
  <c r="J58" i="3" s="1"/>
  <c r="G214" i="1"/>
  <c r="G58" i="3" s="1"/>
  <c r="H214" i="1"/>
  <c r="H58" i="3" s="1"/>
  <c r="H217" i="1"/>
  <c r="G217" i="1"/>
  <c r="G62" i="3" s="1"/>
  <c r="J217" i="1"/>
  <c r="J62" i="3" s="1"/>
  <c r="E214" i="1"/>
  <c r="E58" i="3" s="1"/>
  <c r="E217" i="1"/>
  <c r="E62" i="3" s="1"/>
  <c r="C30" i="15" l="1"/>
  <c r="E26" i="15"/>
  <c r="C32" i="15" s="1"/>
  <c r="E24" i="3"/>
  <c r="E16" i="14"/>
  <c r="E24" i="14" s="1"/>
  <c r="C29" i="14" s="1"/>
  <c r="E25" i="3"/>
  <c r="E17" i="14"/>
  <c r="E25" i="14" s="1"/>
  <c r="H62" i="3"/>
  <c r="C58" i="3"/>
  <c r="E26" i="14" l="1"/>
  <c r="C32" i="14" s="1"/>
  <c r="C30" i="14"/>
  <c r="C99" i="3" l="1"/>
  <c r="C30" i="3" l="1"/>
  <c r="C98" i="3"/>
  <c r="C145" i="3" s="1"/>
  <c r="C29" i="3"/>
  <c r="C146" i="3"/>
  <c r="C100" i="3" l="1"/>
  <c r="E26" i="3"/>
  <c r="C37" i="3" s="1"/>
  <c r="C147" i="3"/>
  <c r="C32" i="3" l="1"/>
  <c r="D72" i="3" s="1"/>
  <c r="D81" i="3" l="1"/>
  <c r="C76" i="3"/>
  <c r="I79" i="3"/>
  <c r="I89" i="3" s="1"/>
  <c r="C77" i="3"/>
  <c r="G72" i="3"/>
  <c r="G88" i="3" s="1"/>
  <c r="F79" i="3"/>
  <c r="F89" i="3" s="1"/>
  <c r="J79" i="3"/>
  <c r="J89" i="3" s="1"/>
  <c r="H79" i="3"/>
  <c r="H89" i="3" s="1"/>
  <c r="J72" i="3"/>
  <c r="J88" i="3" s="1"/>
  <c r="I72" i="3"/>
  <c r="I88" i="3" s="1"/>
  <c r="C79" i="3"/>
  <c r="C89" i="3" s="1"/>
  <c r="E79" i="3"/>
  <c r="E89" i="3" s="1"/>
  <c r="H72" i="3"/>
  <c r="H88" i="3" s="1"/>
  <c r="G79" i="3"/>
  <c r="G89" i="3" s="1"/>
  <c r="C36" i="3"/>
  <c r="C38" i="3" s="1"/>
  <c r="D73" i="3"/>
  <c r="E72" i="3"/>
  <c r="E88" i="3" s="1"/>
  <c r="D80" i="3"/>
  <c r="C259" i="1"/>
  <c r="F72" i="3"/>
  <c r="F88" i="3" s="1"/>
  <c r="D79" i="3"/>
  <c r="D74" i="3"/>
  <c r="H270" i="1" l="1"/>
  <c r="H288" i="1" s="1"/>
  <c r="H90" i="3"/>
  <c r="C88" i="3"/>
  <c r="C90" i="3" s="1"/>
  <c r="J90" i="3"/>
  <c r="D89" i="3"/>
  <c r="C93" i="3" s="1"/>
  <c r="G90" i="3"/>
  <c r="F90" i="3"/>
  <c r="I90" i="3"/>
  <c r="E90" i="3"/>
  <c r="D88" i="3"/>
  <c r="J270" i="1"/>
  <c r="J288" i="1" s="1"/>
  <c r="E270" i="1"/>
  <c r="E288" i="1" s="1"/>
  <c r="F270" i="1"/>
  <c r="F288" i="1" s="1"/>
  <c r="D270" i="1"/>
  <c r="D288" i="1" s="1"/>
  <c r="G270" i="1"/>
  <c r="G288" i="1" s="1"/>
  <c r="I270" i="1"/>
  <c r="I288" i="1" s="1"/>
  <c r="C270" i="1"/>
  <c r="C288" i="1" s="1"/>
  <c r="C92" i="3" l="1"/>
  <c r="C103" i="3" s="1"/>
  <c r="J101" i="3" s="1"/>
  <c r="D90" i="3"/>
  <c r="C104" i="3"/>
  <c r="J102" i="3" s="1"/>
  <c r="E103" i="3" l="1"/>
  <c r="E262" i="1" s="1"/>
  <c r="E280" i="1" s="1"/>
  <c r="C94" i="3"/>
  <c r="C105" i="3" s="1"/>
  <c r="J103" i="3" s="1"/>
  <c r="E104" i="3"/>
  <c r="C125" i="3" l="1"/>
  <c r="C136" i="3" s="1"/>
  <c r="C267" i="1"/>
  <c r="C285" i="1" s="1"/>
  <c r="H118" i="3"/>
  <c r="H135" i="3" s="1"/>
  <c r="C265" i="1"/>
  <c r="C283" i="1" s="1"/>
  <c r="G262" i="1"/>
  <c r="G280" i="1" s="1"/>
  <c r="D118" i="3"/>
  <c r="J262" i="1"/>
  <c r="J280" i="1" s="1"/>
  <c r="D119" i="3"/>
  <c r="F118" i="3"/>
  <c r="F135" i="3" s="1"/>
  <c r="C122" i="3"/>
  <c r="D120" i="3"/>
  <c r="D263" i="1"/>
  <c r="D281" i="1" s="1"/>
  <c r="G118" i="3"/>
  <c r="G135" i="3" s="1"/>
  <c r="C266" i="1"/>
  <c r="C284" i="1" s="1"/>
  <c r="I118" i="3"/>
  <c r="I135" i="3" s="1"/>
  <c r="F262" i="1"/>
  <c r="F280" i="1" s="1"/>
  <c r="H262" i="1"/>
  <c r="H280" i="1" s="1"/>
  <c r="E118" i="3"/>
  <c r="E135" i="3" s="1"/>
  <c r="I262" i="1"/>
  <c r="I280" i="1" s="1"/>
  <c r="D264" i="1"/>
  <c r="D282" i="1" s="1"/>
  <c r="C123" i="3"/>
  <c r="J118" i="3"/>
  <c r="J135" i="3" s="1"/>
  <c r="D262" i="1"/>
  <c r="D269" i="1"/>
  <c r="D287" i="1" s="1"/>
  <c r="I267" i="1"/>
  <c r="I285" i="1" s="1"/>
  <c r="D267" i="1"/>
  <c r="F125" i="3"/>
  <c r="F136" i="3" s="1"/>
  <c r="H267" i="1"/>
  <c r="H285" i="1" s="1"/>
  <c r="J125" i="3"/>
  <c r="J136" i="3" s="1"/>
  <c r="F267" i="1"/>
  <c r="F285" i="1" s="1"/>
  <c r="D268" i="1"/>
  <c r="D286" i="1" s="1"/>
  <c r="E267" i="1"/>
  <c r="E285" i="1" s="1"/>
  <c r="G267" i="1"/>
  <c r="G285" i="1" s="1"/>
  <c r="J267" i="1"/>
  <c r="J285" i="1" s="1"/>
  <c r="D127" i="3"/>
  <c r="G125" i="3"/>
  <c r="G136" i="3" s="1"/>
  <c r="D125" i="3"/>
  <c r="D126" i="3"/>
  <c r="E125" i="3"/>
  <c r="E136" i="3" s="1"/>
  <c r="H125" i="3"/>
  <c r="H136" i="3" s="1"/>
  <c r="I125" i="3"/>
  <c r="I136" i="3" s="1"/>
  <c r="H137" i="3" l="1"/>
  <c r="I137" i="3"/>
  <c r="J137" i="3"/>
  <c r="D135" i="3"/>
  <c r="G137" i="3"/>
  <c r="C135" i="3"/>
  <c r="F137" i="3"/>
  <c r="E137" i="3"/>
  <c r="D136" i="3"/>
  <c r="D137" i="3" l="1"/>
  <c r="C139" i="3"/>
  <c r="C150" i="3" s="1"/>
  <c r="C137" i="3"/>
  <c r="C140" i="3"/>
  <c r="C151" i="3" s="1"/>
  <c r="C152" i="3" l="1"/>
  <c r="C141" i="3"/>
</calcChain>
</file>

<file path=xl/sharedStrings.xml><?xml version="1.0" encoding="utf-8"?>
<sst xmlns="http://schemas.openxmlformats.org/spreadsheetml/2006/main" count="717" uniqueCount="317">
  <si>
    <t>Table #1</t>
  </si>
  <si>
    <t>% usage during PJM On-Peak period</t>
  </si>
  <si>
    <t>On-Peak periods defined as the 16 hr PJM Trading period, adj for NERC holidays</t>
  </si>
  <si>
    <t xml:space="preserve">% usage during Off-Peak period </t>
  </si>
  <si>
    <t>(data rounded to nearest %)</t>
  </si>
  <si>
    <t>RS</t>
  </si>
  <si>
    <t>MGS - SEC</t>
  </si>
  <si>
    <t>MGS - PRI</t>
  </si>
  <si>
    <t>AGS - SEC</t>
  </si>
  <si>
    <t>AGS - PRI</t>
  </si>
  <si>
    <t>SPL/CSL</t>
  </si>
  <si>
    <t>DDC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</si>
  <si>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</si>
  <si>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</si>
  <si>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</si>
  <si>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</si>
  <si>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</si>
  <si>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</si>
  <si>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</si>
  <si>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</si>
  <si>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</si>
  <si>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</si>
  <si>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</si>
  <si>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</si>
  <si>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</si>
  <si>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Class Usage @ customer</t>
  </si>
  <si>
    <t>Usage by season</t>
  </si>
  <si>
    <t>calendar month sales forecasted for period</t>
  </si>
  <si>
    <t>in MWh</t>
  </si>
  <si>
    <t>Total</t>
  </si>
  <si>
    <t>winter MWh =</t>
  </si>
  <si>
    <t>summer MWh =</t>
  </si>
  <si>
    <t>Table #3</t>
  </si>
  <si>
    <t>Forwards Prices - Energy Only @ bulk system</t>
  </si>
  <si>
    <t>Table #4</t>
  </si>
  <si>
    <t>in $/MWh</t>
  </si>
  <si>
    <t>On-Peak</t>
  </si>
  <si>
    <t>Off-Peak</t>
  </si>
  <si>
    <t>Table #5</t>
  </si>
  <si>
    <t>Losses</t>
  </si>
  <si>
    <t>Expansion Factor =</t>
  </si>
  <si>
    <t>Table #6</t>
  </si>
  <si>
    <t>based on Forwards @ PJM West - corrected for congestion &amp; losses</t>
  </si>
  <si>
    <t>Summer - all hrs</t>
  </si>
  <si>
    <t>Winter - all hrs</t>
  </si>
  <si>
    <t>Annual</t>
  </si>
  <si>
    <t>System Average Cost @ customer - (limited to classes shown above) =</t>
  </si>
  <si>
    <t>Table #7</t>
  </si>
  <si>
    <t>in MW</t>
  </si>
  <si>
    <t>Gen Load - MW</t>
  </si>
  <si>
    <t>Gen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</si>
  <si>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</si>
  <si>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</si>
  <si>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</si>
  <si>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</si>
  <si>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</si>
  <si>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</si>
  <si>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</si>
  <si>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Summer</t>
  </si>
  <si>
    <t>$/MW/day</t>
  </si>
  <si>
    <t>Summer Total</t>
  </si>
  <si>
    <t>Winter</t>
  </si>
  <si>
    <t>Winter Total</t>
  </si>
  <si>
    <t>Annual Total</t>
  </si>
  <si>
    <t>Residential Inversion Determination</t>
  </si>
  <si>
    <t>Charges</t>
  </si>
  <si>
    <t>% usage</t>
  </si>
  <si>
    <t>SUM 'First 750 KWh</t>
  </si>
  <si>
    <t>Block 1 (0-750 kWh/m)</t>
  </si>
  <si>
    <t>Block 2 (&gt;750 kWh/m)</t>
  </si>
  <si>
    <t>Calculated inversion =</t>
  </si>
  <si>
    <t>SUM '&gt; 750 KWh</t>
  </si>
  <si>
    <t>Table #8</t>
  </si>
  <si>
    <t>Table #9</t>
  </si>
  <si>
    <t xml:space="preserve">Summary of Obligation Costs expressed as $/MWh @ customer </t>
  </si>
  <si>
    <t xml:space="preserve">Generation Obl -                </t>
  </si>
  <si>
    <t>per annual MWh</t>
  </si>
  <si>
    <t>recovery per summer MWh</t>
  </si>
  <si>
    <t>recovery per winter MWh</t>
  </si>
  <si>
    <t>Table #10</t>
  </si>
  <si>
    <t>Grand Total Cost in $1000 =</t>
  </si>
  <si>
    <t>Table #11</t>
  </si>
  <si>
    <t>All usage Multiplier</t>
  </si>
  <si>
    <t>Constant</t>
  </si>
  <si>
    <t>for Block 1 (0-750 kWh/m) usage</t>
  </si>
  <si>
    <t>for Block 2 (&gt;750 kWh/m) usage</t>
  </si>
  <si>
    <t>Table #12</t>
  </si>
  <si>
    <t>Table #13</t>
  </si>
  <si>
    <t>Table #14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</si>
  <si>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</si>
  <si>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</si>
  <si>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</si>
  <si>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</si>
  <si>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</si>
  <si>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bulk system MWhs):</t>
  </si>
  <si>
    <t>&gt;&gt;&gt;</t>
  </si>
  <si>
    <t>Table #17</t>
  </si>
  <si>
    <t>Assumptions:</t>
  </si>
  <si>
    <t>Gen Cost =</t>
  </si>
  <si>
    <t>per MW-day</t>
  </si>
  <si>
    <t>summer</t>
  </si>
  <si>
    <t>=</t>
  </si>
  <si>
    <t>winter</t>
  </si>
  <si>
    <t>Ancillary Services =</t>
  </si>
  <si>
    <t>Energy Prices =</t>
  </si>
  <si>
    <t>Usage patterns =</t>
  </si>
  <si>
    <t>Obligations =</t>
  </si>
  <si>
    <t>Losses =</t>
  </si>
  <si>
    <t>PJM Time Periods =</t>
  </si>
  <si>
    <t>Off/On Pk</t>
  </si>
  <si>
    <t>LMP ratio</t>
  </si>
  <si>
    <t>per MWH</t>
  </si>
  <si>
    <t>(rounded to 4 decimal places)</t>
  </si>
  <si>
    <t>Zone-Hub Basis Differential</t>
  </si>
  <si>
    <t xml:space="preserve">On-Peak </t>
  </si>
  <si>
    <t>On Peak</t>
  </si>
  <si>
    <t>Off Peak</t>
  </si>
  <si>
    <t>on peak</t>
  </si>
  <si>
    <t>off peak</t>
  </si>
  <si>
    <t>RS TOU - BGS</t>
  </si>
  <si>
    <t>% Usage During ACECO On-Peak Billing Period</t>
  </si>
  <si>
    <t xml:space="preserve"> 'Based on 3 Year Average</t>
  </si>
  <si>
    <t>($/MWH)</t>
  </si>
  <si>
    <t>based on Forwards prices corrected for congestion &amp; losses</t>
  </si>
  <si>
    <t>in $1000</t>
  </si>
  <si>
    <t>PJM on pk</t>
  </si>
  <si>
    <t>PJM off pk</t>
  </si>
  <si>
    <t>System Total</t>
  </si>
  <si>
    <t>based on Forwards prices corrected for congestion &amp; losses - ACECO billing time periods</t>
  </si>
  <si>
    <t>Annual Average</t>
  </si>
  <si>
    <t>System Average</t>
  </si>
  <si>
    <t>ACECO On pk</t>
  </si>
  <si>
    <t>ACECO Off pk</t>
  </si>
  <si>
    <t>MWhs in PJM time periods</t>
  </si>
  <si>
    <t>Difference in MWhs</t>
  </si>
  <si>
    <t>Check on total $ recovered</t>
  </si>
  <si>
    <t>PJM time periods (Table #8)</t>
  </si>
  <si>
    <t>MWhs in ACECO time periods</t>
  </si>
  <si>
    <t>(PJM - ACECO)</t>
  </si>
  <si>
    <t>ACECO time periods</t>
  </si>
  <si>
    <t>Total Rate Revenue - in $1000</t>
  </si>
  <si>
    <t>Total Supplier Payment - in $1000</t>
  </si>
  <si>
    <t>line #</t>
  </si>
  <si>
    <t>Payment Identifier &gt;&gt;</t>
  </si>
  <si>
    <t>Notes:</t>
  </si>
  <si>
    <t>Winning Bid - in $/MWh</t>
  </si>
  <si>
    <t>winning Bids</t>
  </si>
  <si>
    <t>from then current Bid</t>
  </si>
  <si>
    <t>Payment Factors</t>
  </si>
  <si>
    <t xml:space="preserve">                           Summer</t>
  </si>
  <si>
    <t>from then current Bid Factor Spreadsheet</t>
  </si>
  <si>
    <t xml:space="preserve">                           Winter</t>
  </si>
  <si>
    <t>Applicable Customer Usage @ bulk system - in MWh</t>
  </si>
  <si>
    <t xml:space="preserve">                           Summer MWh</t>
  </si>
  <si>
    <t>from current Bid Factor Spreadsheet</t>
  </si>
  <si>
    <t xml:space="preserve">                           Winter MWh</t>
  </si>
  <si>
    <t>Total Payment to Suppliers - in $1000</t>
  </si>
  <si>
    <t xml:space="preserve">                           Total</t>
  </si>
  <si>
    <t>Average Payment to Suppliers - in $/MWh</t>
  </si>
  <si>
    <t xml:space="preserve">                Total weighted average</t>
  </si>
  <si>
    <t xml:space="preserve">   &lt;&lt;&lt; used in calculation of</t>
  </si>
  <si>
    <t xml:space="preserve">           Customer Rates</t>
  </si>
  <si>
    <t xml:space="preserve">   rounded to 2 decimal places</t>
  </si>
  <si>
    <t>Reconciliation of amounts - in $1000</t>
  </si>
  <si>
    <t>Weighted avg * Total MWh =</t>
  </si>
  <si>
    <t>Total Payment to Suppliers =</t>
  </si>
  <si>
    <t>Difference =</t>
  </si>
  <si>
    <t>from Table #14 of the bid factor spreadsheet ---</t>
  </si>
  <si>
    <t>Annual - all hrs</t>
  </si>
  <si>
    <t xml:space="preserve">   rounded to 4 decimal places</t>
  </si>
  <si>
    <t>Total Summer</t>
  </si>
  <si>
    <t>Total Winter</t>
  </si>
  <si>
    <t>Grand Total</t>
  </si>
  <si>
    <t>Differences - in $1000</t>
  </si>
  <si>
    <t>% difference</t>
  </si>
  <si>
    <t xml:space="preserve">Note: These differences are due to rounding and seasonal differences in Bidder Payments (which are based on prior </t>
  </si>
  <si>
    <t xml:space="preserve">          wining bids and Seasonal Payment Factors) and current Rates (based on current seasonal market differentials)</t>
  </si>
  <si>
    <t>Block 1</t>
  </si>
  <si>
    <t>Block 2</t>
  </si>
  <si>
    <t>PJM trading time periods - 7 AM to 11 PM weekdays, local time, x NERC holidays</t>
  </si>
  <si>
    <t xml:space="preserve">     - New Year's, Memorial, 4th of July, Labor Day, Thanksgiving &amp; Christmas</t>
  </si>
  <si>
    <t>kWh Rate</t>
  </si>
  <si>
    <t>Adjustment</t>
  </si>
  <si>
    <t xml:space="preserve">   rounded to 5 decimal places</t>
  </si>
  <si>
    <t>Factors</t>
  </si>
  <si>
    <t>round to 3 decimal places</t>
  </si>
  <si>
    <t>Table D</t>
  </si>
  <si>
    <r>
      <t xml:space="preserve">Revenue Recovery Calculations - </t>
    </r>
    <r>
      <rPr>
        <i/>
        <sz val="10"/>
        <rFont val="Arial"/>
        <family val="2"/>
      </rPr>
      <t>Reconciliation of seasonal Customer Revenue and Supplier Payments, based on actual anticipated revenues and payments</t>
    </r>
  </si>
  <si>
    <t>Table C</t>
  </si>
  <si>
    <r>
      <t xml:space="preserve">Preliminary Resulting BGS Rates (in cents per kWh) - </t>
    </r>
    <r>
      <rPr>
        <i/>
        <sz val="10"/>
        <rFont val="Arial"/>
        <family val="2"/>
      </rPr>
      <t>equal to bid factors times weighted average bid price</t>
    </r>
  </si>
  <si>
    <t>Table E</t>
  </si>
  <si>
    <r>
      <t xml:space="preserve">Final Resulting BGS Rates (in cents per kWh) - </t>
    </r>
    <r>
      <rPr>
        <i/>
        <sz val="10"/>
        <rFont val="Arial"/>
        <family val="2"/>
      </rPr>
      <t>with preliminary kWh rates adjusted by the kWh Rate Adjustment Factor</t>
    </r>
  </si>
  <si>
    <t>Table F</t>
  </si>
  <si>
    <r>
      <t>Spreadsheet Error Checking</t>
    </r>
    <r>
      <rPr>
        <i/>
        <sz val="10"/>
        <rFont val="Arial"/>
        <family val="2"/>
      </rPr>
      <t xml:space="preserve"> - Checking of seasonal Customer Revenue and Supplier Payments, based on final actual anticipated revenues and payments</t>
    </r>
  </si>
  <si>
    <t>Table A</t>
  </si>
  <si>
    <t>Auction Results</t>
  </si>
  <si>
    <t>Table B</t>
  </si>
  <si>
    <t>BGS Avg. Price &gt;&gt;&gt;&gt;&gt;&gt;&gt;&gt;&gt;&gt;&gt;</t>
  </si>
  <si>
    <t>in $/kWh</t>
  </si>
  <si>
    <t>Revenue Assessment Factor</t>
  </si>
  <si>
    <t>Marginal Loss Factor (w/ EHV Losses) =</t>
  </si>
  <si>
    <t>Loss Factors + EHV Losses =</t>
  </si>
  <si>
    <t>Delivery Loss Factor</t>
  </si>
  <si>
    <t>Loss Factor w/o Marginal Loss =</t>
  </si>
  <si>
    <t>Expansion Factor w/o Marginal Loss =</t>
  </si>
  <si>
    <t>Atlantic City Electric Company</t>
  </si>
  <si>
    <t xml:space="preserve"> forecasted energy use by class, on/off % from class load profiles</t>
  </si>
  <si>
    <t>Base
Capacity</t>
  </si>
  <si>
    <t>total supplier energy</t>
  </si>
  <si>
    <t>Retail Rates Charged to BGS RSCP (Previously "FP") Customers</t>
  </si>
  <si>
    <t>Retail Rates Charged to BGS RSCP Customers including Revenue Assessment and SUT</t>
  </si>
  <si>
    <t xml:space="preserve"> existing approved loss factors</t>
  </si>
  <si>
    <t xml:space="preserve">WIN </t>
  </si>
  <si>
    <t>Ancillary Services &amp; Renewable Power Cost (forecasted overall annual average)</t>
  </si>
  <si>
    <t xml:space="preserve">Ancillary Services </t>
  </si>
  <si>
    <t>Renewable Power Cost</t>
  </si>
  <si>
    <t>Total Ancillary Services &amp; Renewable Power Costs</t>
  </si>
  <si>
    <t>Renewable Power Cost =</t>
  </si>
  <si>
    <t xml:space="preserve">Includes energy, Generation capacity obligations, Ancillary Services, and Renewable Power Costs - unadjusted for billing vs. PJM time period differences.  </t>
  </si>
  <si>
    <t>= sum(line 8) / (6) - rounded to 2 decimal places</t>
  </si>
  <si>
    <t>= sum(line 9) / (7) - rounded to 2 decimal places</t>
  </si>
  <si>
    <t>= sum(line 10) / [ (6) + (7)]</t>
  </si>
  <si>
    <t>= (13) * [(6)+(7)] / 1000</t>
  </si>
  <si>
    <t>= sum (line 10)</t>
  </si>
  <si>
    <t>= line (14) - line (15)</t>
  </si>
  <si>
    <t>Total - in $/Mwh</t>
  </si>
  <si>
    <t>1B</t>
  </si>
  <si>
    <t>Development of  Capacity Proxy Price True-Up - $/MWh</t>
  </si>
  <si>
    <t>Capacity Proxy Price ($/MW-day)</t>
  </si>
  <si>
    <t>Capacity Proxy Price True-Up - $/MW-day</t>
  </si>
  <si>
    <t xml:space="preserve">= line 1 - line 2 </t>
  </si>
  <si>
    <t>BGS-RSCP Gen Obl - MW</t>
  </si>
  <si>
    <t>Days in Year</t>
  </si>
  <si>
    <t>= line 3 * line 4 * line 5</t>
  </si>
  <si>
    <t>Eligible Tranches</t>
  </si>
  <si>
    <t>from Table A</t>
  </si>
  <si>
    <t>Total Tranches</t>
  </si>
  <si>
    <t>= line 7 / line 8</t>
  </si>
  <si>
    <t>= line 6 * line 9</t>
  </si>
  <si>
    <t>= line 9 * line 11</t>
  </si>
  <si>
    <t>Capacity Proxy Price True-Up - $/MWh</t>
  </si>
  <si>
    <t>= line 10/ line 12 - rounded to 2 decimal places</t>
  </si>
  <si>
    <t xml:space="preserve">Capacity Proxy Price True-Up Annual Cost </t>
  </si>
  <si>
    <t xml:space="preserve">Capacity Proxy Price True-Up Cost </t>
  </si>
  <si>
    <t>Table A With Additional Line Item</t>
  </si>
  <si>
    <t>Specific BGS-RSCP Auction &gt;&gt;</t>
  </si>
  <si>
    <t>Total - in $/MWh</t>
  </si>
  <si>
    <t># of Tranches for Bid</t>
  </si>
  <si>
    <t>Total # of Tranches</t>
  </si>
  <si>
    <r>
      <t xml:space="preserve">Total Payment to Suppliers </t>
    </r>
    <r>
      <rPr>
        <i/>
        <sz val="10"/>
        <rFont val="Arial"/>
        <family val="2"/>
      </rPr>
      <t xml:space="preserve">- in $1000 </t>
    </r>
  </si>
  <si>
    <r>
      <t xml:space="preserve">Average Payment to Suppliers </t>
    </r>
    <r>
      <rPr>
        <i/>
        <sz val="10"/>
        <rFont val="Arial"/>
        <family val="2"/>
      </rPr>
      <t>- in $/MWh</t>
    </r>
  </si>
  <si>
    <t>Total Applicable Customer Usage @ bulk system - in MWh</t>
  </si>
  <si>
    <r>
      <t xml:space="preserve">Eligible Customer Usage @ bulk system </t>
    </r>
    <r>
      <rPr>
        <b/>
        <i/>
        <sz val="10"/>
        <rFont val="Arial"/>
        <family val="2"/>
      </rPr>
      <t>- in MWh</t>
    </r>
  </si>
  <si>
    <t>% of tranches eligible for payment</t>
  </si>
  <si>
    <t>Illustrative Purposes Only for ACE</t>
  </si>
  <si>
    <t>Summary of BGS Unit Costs @ customer</t>
  </si>
  <si>
    <t>includes energy, G obligations, Ancillary Services, and Renewable Power Cost - adjusted to billing time periods</t>
  </si>
  <si>
    <t>Table #15</t>
  </si>
  <si>
    <t>Table #16</t>
  </si>
  <si>
    <t>Ratio to BGS Cost</t>
  </si>
  <si>
    <t>Summary of Average BGS Energy Unit Costs @ customer - PJM Time Periods</t>
  </si>
  <si>
    <t>Summary of Average BGS Energy Costs @ customer - PJM Time Periods</t>
  </si>
  <si>
    <t>Summary of Average BGS Energy Unit Costs @ customer - ACECO Time Periods</t>
  </si>
  <si>
    <t>Generation Obligations and Costs and Other Adjustments</t>
  </si>
  <si>
    <t>Average cost for rates shown (@ customer) =</t>
  </si>
  <si>
    <t>Includes energy, Generation Obligations, Ancillary Services, and Renewable Power Costs</t>
  </si>
  <si>
    <t>1A</t>
  </si>
  <si>
    <t xml:space="preserve">= line 1 + line 1A </t>
  </si>
  <si>
    <t>Capacity Proxy Price True-Up - in $/MWh</t>
  </si>
  <si>
    <t>Average costs for rates shown (@ transmission nodes) =</t>
  </si>
  <si>
    <t>per MWh @ trans nodes</t>
  </si>
  <si>
    <t>(BPU, RC Assessments)</t>
  </si>
  <si>
    <t>Ratio of BGS Unit Costs @ customer to Average Cost @ transmission nodes (rounded to 3 decimal places)</t>
  </si>
  <si>
    <t>Ratio of BGS Unit Costs @ customer to Average Cost @ transmission nodes</t>
  </si>
  <si>
    <t>as may be determined by the RPM, or its successor, or otherwise</t>
  </si>
  <si>
    <t xml:space="preserve">Zonal Capacity Price ($/MW-day) </t>
  </si>
  <si>
    <t>2024/25
Delivery Year</t>
  </si>
  <si>
    <t>Calculation of June 2024 to May 2025 BGS-RSCP Rates</t>
  </si>
  <si>
    <t>remaining portion of 36 month bid - 2023 auction</t>
  </si>
  <si>
    <t>remaining portion of 36 month bid - 2022/23 filing</t>
  </si>
  <si>
    <t>= line 1 + line 1A</t>
  </si>
  <si>
    <t>= (1 + 1A) * (2)/(3) * (4) * (6) / 1000</t>
  </si>
  <si>
    <t>= (1 + 1A) * (2)/(3) * (5) * (7) / 1000</t>
  </si>
  <si>
    <t>Capacity Proxy Price True-Up Development for Winning Suppliers from 2023 BGS-RSCP Auction</t>
  </si>
  <si>
    <t>*</t>
  </si>
  <si>
    <t>2025/26
Delivery Year</t>
  </si>
  <si>
    <t>Calculation of June 2025 to May 2026 BGS-RSCP Rates</t>
  </si>
  <si>
    <t xml:space="preserve">remaining portion of 36 month bid - 2024 auction </t>
  </si>
  <si>
    <t>36 month bid - 2025 auction</t>
  </si>
  <si>
    <t xml:space="preserve">entered after 2025 BGS Auction </t>
  </si>
  <si>
    <t>Capacity Proxy Price True-Up for Winning Suppliers from 2022 BGS-RSCP Auction</t>
  </si>
  <si>
    <t xml:space="preserve">Quotes for the period June 1, 2024 to May 31, 2025 - corrected for hub-zone basis differential. </t>
  </si>
  <si>
    <t xml:space="preserve"> class totals as of June 2023</t>
  </si>
  <si>
    <t>based on results of February 2024 BGS RSCP Auction</t>
  </si>
  <si>
    <t>remaining portion of 36 month bid - 2023/24 filing</t>
  </si>
  <si>
    <t>36 month bid - 2024/25 filing</t>
  </si>
  <si>
    <t>entered after 2024 BGS Auction</t>
  </si>
  <si>
    <t>Capacity Proxy Price True-Up for Winning Suppliers from 2023 BGS-RSCP Auction</t>
  </si>
  <si>
    <t>per Board Orders dated 11/17/2021 and 11/09/2022</t>
  </si>
  <si>
    <t>Capacity Proxy Price True-Up Development for Winning Suppliers from 2024 BGS-RSCP Auction (if needed) *</t>
  </si>
  <si>
    <t>per Board Order dated 11/09/2022 and XX/XX/2023</t>
  </si>
  <si>
    <t>2026/27
Delivery Year</t>
  </si>
  <si>
    <t>per Board Order dated XX/XX/2023</t>
  </si>
  <si>
    <t>Calculation of June 2026 to May 2027 BGS-RSCP Rates</t>
  </si>
  <si>
    <t xml:space="preserve">entered after 2026 BGS Auction </t>
  </si>
  <si>
    <t>remaining portion of 36 month bid - 2024 auction</t>
  </si>
  <si>
    <t xml:space="preserve">remaining portion of 36 month bid - 2025 auction </t>
  </si>
  <si>
    <t>36 month bid - 2026 auction</t>
  </si>
  <si>
    <t>26/27 Capacity Proxy Price True-up - in $/MWh</t>
  </si>
  <si>
    <t>2024/2025 Delivery Year - Illustrative Data for ACE</t>
  </si>
  <si>
    <t>2025/2026 Delivery Year - Illustrative Data for ACE</t>
  </si>
  <si>
    <t>2026/2027 Delivery Year - Illustrative Data for ACE</t>
  </si>
  <si>
    <t>Capacity Proxy Price True-Up Development for Winning Suppliers from 2024 BGS-RSCP Auction (if needed)*</t>
  </si>
  <si>
    <t>Winners in the 2024 BGS-RSCP Auction will only receive a true-up if results of 2025/2026 BRA are not known at least 5 business days prior to the 2024 BGS-RSCP Auction.</t>
  </si>
  <si>
    <t>Winners in the 2024 BGS-RSCP Auction will only receive a true-up if results of 2026/2027 BRA are not known at least 5 business days prior to the 2024 BGS-RSCP Auction.</t>
  </si>
  <si>
    <t>obligations - values effective June 2023; costs are market estimates</t>
  </si>
  <si>
    <t>25/26 Capacity Proxy Price True-up - in $/MWh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</si>
</sst>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0.0000%"/>
    <numFmt numFmtId="168" formatCode="#,##0.0"/>
    <numFmt numFmtId="169" formatCode="_(&quot;$&quot;* #,##0_);_(&quot;$&quot;* \(#,##0\);_(&quot;$&quot;* &quot;-&quot;??_);_(@_)"/>
    <numFmt numFmtId="170" formatCode="0.000000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0.0%"/>
    <numFmt numFmtId="174" formatCode="_(* #,##0_);_(* \(#,##0\);_(* &quot;-&quot;??_);_(@_)"/>
    <numFmt numFmtId="175" formatCode="_(* #,##0.000_);_(* \(#,##0.000\);_(* &quot;-&quot;??_);_(@_)"/>
    <numFmt numFmtId="176" formatCode="_(* #,##0.0000_);_(* \(#,##0.0000\);_(* &quot;-&quot;??_);_(@_)"/>
    <numFmt numFmtId="177" formatCode="_(* #,##0.00000_);_(* \(#,##0.00000\);_(* &quot;-&quot;??_);_(@_)"/>
    <numFmt numFmtId="178" formatCode="_(&quot;$&quot;* #,##0.000000_);_(&quot;$&quot;* \(#,##0.000000\);_(&quot;$&quot;* &quot;-&quot;??_);_(@_)"/>
    <numFmt numFmtId="179" formatCode="#,##0.0000_);\(#,##0.0000\)"/>
    <numFmt numFmtId="180" formatCode="_(* #,##0.000000_);_(* \(#,##0.000000\);_(* &quot;-&quot;??_);_(@_)"/>
    <numFmt numFmtId="181" formatCode="&quot;$&quot;#,##0.00"/>
    <numFmt numFmtId="182" formatCode="&quot;$&quot;#,##0"/>
    <numFmt numFmtId="183" formatCode="&quot;$&quot;#,##0.0000"/>
    <numFmt numFmtId="184" formatCode="0.0"/>
    <numFmt numFmtId="185" formatCode="&quot;$&quot;#,##0\ ;\(&quot;$&quot;#,##0\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b/>
      <sz val="10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6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1" borderId="0" applyNumberFormat="0" applyBorder="0" applyAlignment="0" applyProtection="0"/>
    <xf numFmtId="0" fontId="33" fillId="5" borderId="0" applyNumberFormat="0" applyBorder="0" applyAlignment="0" applyProtection="0"/>
    <xf numFmtId="0" fontId="34" fillId="22" borderId="15" applyNumberFormat="0" applyAlignment="0" applyProtection="0"/>
    <xf numFmtId="0" fontId="35" fillId="23" borderId="16" applyNumberFormat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37" fillId="6" borderId="0" applyNumberFormat="0" applyBorder="0" applyAlignment="0" applyProtection="0"/>
    <xf numFmtId="0" fontId="28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9" borderId="15" applyNumberFormat="0" applyAlignment="0" applyProtection="0"/>
    <xf numFmtId="0" fontId="42" fillId="0" borderId="20" applyNumberFormat="0" applyFill="0" applyAlignment="0" applyProtection="0"/>
    <xf numFmtId="0" fontId="43" fillId="24" borderId="0" applyNumberFormat="0" applyBorder="0" applyAlignment="0" applyProtection="0"/>
    <xf numFmtId="0" fontId="1" fillId="0" borderId="0"/>
    <xf numFmtId="0" fontId="11" fillId="0" borderId="0"/>
    <xf numFmtId="0" fontId="2" fillId="25" borderId="21" applyNumberFormat="0" applyFont="0" applyAlignment="0" applyProtection="0"/>
    <xf numFmtId="0" fontId="44" fillId="22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23" applyNumberFormat="0" applyFont="0" applyFill="0" applyAlignment="0" applyProtection="0"/>
    <xf numFmtId="0" fontId="45" fillId="0" borderId="24" applyNumberFormat="0" applyFill="0" applyAlignment="0" applyProtection="0"/>
    <xf numFmtId="0" fontId="17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25" borderId="21" applyNumberFormat="0" applyFont="0" applyAlignment="0" applyProtection="0"/>
    <xf numFmtId="9" fontId="2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" fontId="31" fillId="28" borderId="22" applyNumberFormat="0" applyProtection="0">
      <alignment vertical="center"/>
    </xf>
    <xf numFmtId="0" fontId="27" fillId="0" borderId="23" applyNumberFormat="0" applyFont="0" applyFill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/>
    <xf numFmtId="0" fontId="46" fillId="0" borderId="0"/>
    <xf numFmtId="0" fontId="1" fillId="0" borderId="0"/>
    <xf numFmtId="0" fontId="1" fillId="0" borderId="0"/>
    <xf numFmtId="4" fontId="49" fillId="28" borderId="22" applyNumberFormat="0" applyProtection="0">
      <alignment vertical="center"/>
    </xf>
    <xf numFmtId="4" fontId="31" fillId="28" borderId="22" applyNumberFormat="0" applyProtection="0">
      <alignment horizontal="left" vertical="center" indent="1"/>
    </xf>
    <xf numFmtId="4" fontId="31" fillId="28" borderId="22" applyNumberFormat="0" applyProtection="0">
      <alignment horizontal="left" vertical="center" indent="1"/>
    </xf>
    <xf numFmtId="0" fontId="2" fillId="29" borderId="22" applyNumberFormat="0" applyProtection="0">
      <alignment horizontal="left" vertical="center" indent="1"/>
    </xf>
    <xf numFmtId="4" fontId="31" fillId="30" borderId="22" applyNumberFormat="0" applyProtection="0">
      <alignment horizontal="right" vertical="center"/>
    </xf>
    <xf numFmtId="4" fontId="31" fillId="31" borderId="22" applyNumberFormat="0" applyProtection="0">
      <alignment horizontal="right" vertical="center"/>
    </xf>
    <xf numFmtId="4" fontId="31" fillId="32" borderId="22" applyNumberFormat="0" applyProtection="0">
      <alignment horizontal="right" vertical="center"/>
    </xf>
    <xf numFmtId="4" fontId="31" fillId="33" borderId="22" applyNumberFormat="0" applyProtection="0">
      <alignment horizontal="right" vertical="center"/>
    </xf>
    <xf numFmtId="4" fontId="31" fillId="34" borderId="22" applyNumberFormat="0" applyProtection="0">
      <alignment horizontal="right" vertical="center"/>
    </xf>
    <xf numFmtId="4" fontId="31" fillId="35" borderId="22" applyNumberFormat="0" applyProtection="0">
      <alignment horizontal="right" vertical="center"/>
    </xf>
    <xf numFmtId="4" fontId="31" fillId="36" borderId="22" applyNumberFormat="0" applyProtection="0">
      <alignment horizontal="right" vertical="center"/>
    </xf>
    <xf numFmtId="4" fontId="31" fillId="37" borderId="22" applyNumberFormat="0" applyProtection="0">
      <alignment horizontal="right" vertical="center"/>
    </xf>
    <xf numFmtId="4" fontId="31" fillId="38" borderId="22" applyNumberFormat="0" applyProtection="0">
      <alignment horizontal="right" vertical="center"/>
    </xf>
    <xf numFmtId="4" fontId="45" fillId="39" borderId="22" applyNumberFormat="0" applyProtection="0">
      <alignment horizontal="left" vertical="center" indent="1"/>
    </xf>
    <xf numFmtId="4" fontId="31" fillId="40" borderId="2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0" fontId="2" fillId="29" borderId="22" applyNumberFormat="0" applyProtection="0">
      <alignment horizontal="left" vertical="center" indent="1"/>
    </xf>
    <xf numFmtId="4" fontId="31" fillId="40" borderId="22" applyNumberFormat="0" applyProtection="0">
      <alignment horizontal="left" vertical="center" indent="1"/>
    </xf>
    <xf numFmtId="4" fontId="31" fillId="27" borderId="22" applyNumberFormat="0" applyProtection="0">
      <alignment horizontal="left" vertical="center" indent="1"/>
    </xf>
    <xf numFmtId="0" fontId="2" fillId="27" borderId="22" applyNumberFormat="0" applyProtection="0">
      <alignment horizontal="left" vertical="center" indent="1"/>
    </xf>
    <xf numFmtId="0" fontId="2" fillId="27" borderId="22" applyNumberFormat="0" applyProtection="0">
      <alignment horizontal="left" vertical="center" indent="1"/>
    </xf>
    <xf numFmtId="0" fontId="2" fillId="42" borderId="22" applyNumberFormat="0" applyProtection="0">
      <alignment horizontal="left" vertical="center" indent="1"/>
    </xf>
    <xf numFmtId="0" fontId="2" fillId="42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29" borderId="22" applyNumberFormat="0" applyProtection="0">
      <alignment horizontal="left" vertical="center" indent="1"/>
    </xf>
    <xf numFmtId="0" fontId="2" fillId="29" borderId="22" applyNumberFormat="0" applyProtection="0">
      <alignment horizontal="left" vertical="center" indent="1"/>
    </xf>
    <xf numFmtId="4" fontId="31" fillId="43" borderId="22" applyNumberFormat="0" applyProtection="0">
      <alignment vertical="center"/>
    </xf>
    <xf numFmtId="4" fontId="49" fillId="43" borderId="22" applyNumberFormat="0" applyProtection="0">
      <alignment vertical="center"/>
    </xf>
    <xf numFmtId="4" fontId="31" fillId="43" borderId="22" applyNumberFormat="0" applyProtection="0">
      <alignment horizontal="left" vertical="center" indent="1"/>
    </xf>
    <xf numFmtId="4" fontId="31" fillId="43" borderId="22" applyNumberFormat="0" applyProtection="0">
      <alignment horizontal="left" vertical="center" indent="1"/>
    </xf>
    <xf numFmtId="4" fontId="31" fillId="40" borderId="22" applyNumberFormat="0" applyProtection="0">
      <alignment horizontal="right" vertical="center"/>
    </xf>
    <xf numFmtId="4" fontId="49" fillId="40" borderId="22" applyNumberFormat="0" applyProtection="0">
      <alignment horizontal="right" vertical="center"/>
    </xf>
    <xf numFmtId="0" fontId="2" fillId="29" borderId="22" applyNumberFormat="0" applyProtection="0">
      <alignment horizontal="left" vertical="center" indent="1"/>
    </xf>
    <xf numFmtId="0" fontId="2" fillId="29" borderId="22" applyNumberFormat="0" applyProtection="0">
      <alignment horizontal="left" vertical="center" indent="1"/>
    </xf>
    <xf numFmtId="0" fontId="50" fillId="0" borderId="0"/>
    <xf numFmtId="4" fontId="17" fillId="40" borderId="22" applyNumberFormat="0" applyProtection="0">
      <alignment horizontal="right" vertical="center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1" fillId="40" borderId="22" applyNumberFormat="0" applyProtection="0">
      <alignment horizontal="left" vertical="center" indent="1"/>
    </xf>
    <xf numFmtId="4" fontId="31" fillId="27" borderId="22" applyNumberFormat="0" applyProtection="0">
      <alignment horizontal="left" vertical="center" indent="1"/>
    </xf>
  </cellStyleXfs>
  <cellXfs count="300">
    <xf numFmtId="0" fontId="0" fillId="0" borderId="0" xfId="0"/>
    <xf numFmtId="9" fontId="9" fillId="0" borderId="0" xfId="3" applyFont="1" applyFill="1"/>
    <xf numFmtId="9" fontId="9" fillId="0" borderId="0" xfId="3" applyFont="1" applyFill="1" applyBorder="1"/>
    <xf numFmtId="0" fontId="7" fillId="0" borderId="0" xfId="0" applyFont="1" applyFill="1"/>
    <xf numFmtId="0" fontId="5" fillId="0" borderId="0" xfId="0" applyFont="1" applyFill="1"/>
    <xf numFmtId="0" fontId="0" fillId="0" borderId="0" xfId="0" applyFill="1"/>
    <xf numFmtId="44" fontId="9" fillId="0" borderId="0" xfId="2" applyFont="1" applyFill="1"/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0" fillId="0" borderId="0" xfId="0" applyFont="1" applyFill="1" applyAlignment="1">
      <alignment horizontal="center"/>
    </xf>
    <xf numFmtId="170" fontId="8" fillId="0" borderId="0" xfId="0" applyNumberFormat="1" applyFont="1" applyFill="1"/>
    <xf numFmtId="0" fontId="8" fillId="0" borderId="0" xfId="0" applyFont="1" applyFill="1"/>
    <xf numFmtId="170" fontId="10" fillId="0" borderId="0" xfId="0" applyNumberFormat="1" applyFont="1" applyFill="1"/>
    <xf numFmtId="0" fontId="8" fillId="0" borderId="0" xfId="0" applyFont="1" applyFill="1" applyAlignment="1">
      <alignment horizontal="right"/>
    </xf>
    <xf numFmtId="44" fontId="8" fillId="0" borderId="0" xfId="2" quotePrefix="1" applyFont="1" applyFill="1"/>
    <xf numFmtId="0" fontId="7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17" fontId="0" fillId="0" borderId="0" xfId="0" applyNumberFormat="1" applyFill="1" applyBorder="1"/>
    <xf numFmtId="43" fontId="7" fillId="0" borderId="0" xfId="1" quotePrefix="1" applyFont="1" applyFill="1" applyBorder="1"/>
    <xf numFmtId="43" fontId="7" fillId="0" borderId="0" xfId="1" quotePrefix="1" applyNumberFormat="1" applyFont="1" applyFill="1" applyBorder="1"/>
    <xf numFmtId="44" fontId="7" fillId="0" borderId="0" xfId="2" quotePrefix="1" applyFont="1" applyFill="1" applyBorder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center"/>
    </xf>
    <xf numFmtId="164" fontId="8" fillId="0" borderId="0" xfId="0" applyNumberFormat="1" applyFont="1" applyFill="1"/>
    <xf numFmtId="175" fontId="7" fillId="0" borderId="0" xfId="1" quotePrefix="1" applyNumberFormat="1" applyFont="1" applyFill="1" applyBorder="1"/>
    <xf numFmtId="0" fontId="7" fillId="0" borderId="0" xfId="0" applyFont="1" applyFill="1" applyAlignment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17" fontId="0" fillId="0" borderId="0" xfId="0" applyNumberFormat="1" applyFill="1"/>
    <xf numFmtId="17" fontId="0" fillId="0" borderId="0" xfId="0" applyNumberFormat="1" applyFill="1" applyAlignment="1">
      <alignment horizontal="right"/>
    </xf>
    <xf numFmtId="44" fontId="8" fillId="0" borderId="0" xfId="2" applyFont="1" applyFill="1"/>
    <xf numFmtId="173" fontId="7" fillId="0" borderId="0" xfId="0" applyNumberFormat="1" applyFont="1" applyFill="1" applyAlignment="1">
      <alignment horizontal="center"/>
    </xf>
    <xf numFmtId="3" fontId="0" fillId="0" borderId="0" xfId="0" applyNumberFormat="1" applyFill="1"/>
    <xf numFmtId="169" fontId="0" fillId="0" borderId="0" xfId="2" applyNumberFormat="1" applyFont="1" applyFill="1"/>
    <xf numFmtId="169" fontId="12" fillId="0" borderId="0" xfId="2" applyNumberFormat="1" applyFont="1" applyFill="1"/>
    <xf numFmtId="169" fontId="0" fillId="0" borderId="0" xfId="0" applyNumberForma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43" fontId="8" fillId="0" borderId="0" xfId="1" quotePrefix="1" applyFont="1" applyFill="1"/>
    <xf numFmtId="43" fontId="8" fillId="0" borderId="0" xfId="1" quotePrefix="1" applyNumberFormat="1" applyFont="1" applyFill="1" applyBorder="1"/>
    <xf numFmtId="175" fontId="0" fillId="0" borderId="0" xfId="0" applyNumberFormat="1" applyFill="1"/>
    <xf numFmtId="175" fontId="7" fillId="0" borderId="0" xfId="0" applyNumberFormat="1" applyFont="1" applyFill="1"/>
    <xf numFmtId="0" fontId="7" fillId="0" borderId="0" xfId="0" applyFont="1" applyFill="1" applyAlignment="1">
      <alignment horizontal="right"/>
    </xf>
    <xf numFmtId="43" fontId="8" fillId="0" borderId="0" xfId="1" quotePrefix="1" applyNumberFormat="1" applyFont="1" applyFill="1"/>
    <xf numFmtId="175" fontId="8" fillId="0" borderId="0" xfId="1" quotePrefix="1" applyNumberFormat="1" applyFont="1" applyFill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9" fontId="2" fillId="0" borderId="0" xfId="2" applyNumberFormat="1" applyFill="1"/>
    <xf numFmtId="169" fontId="2" fillId="0" borderId="0" xfId="2" quotePrefix="1" applyNumberFormat="1" applyFont="1" applyFill="1"/>
    <xf numFmtId="169" fontId="12" fillId="0" borderId="0" xfId="0" applyNumberFormat="1" applyFont="1" applyFill="1"/>
    <xf numFmtId="167" fontId="2" fillId="0" borderId="0" xfId="3" applyNumberFormat="1" applyFill="1"/>
    <xf numFmtId="175" fontId="7" fillId="0" borderId="0" xfId="1" quotePrefix="1" applyNumberFormat="1" applyFont="1" applyFill="1"/>
    <xf numFmtId="169" fontId="2" fillId="0" borderId="0" xfId="2" quotePrefix="1" applyNumberFormat="1" applyFont="1" applyFill="1" applyBorder="1"/>
    <xf numFmtId="169" fontId="12" fillId="0" borderId="0" xfId="2" quotePrefix="1" applyNumberFormat="1" applyFont="1" applyFill="1" applyBorder="1"/>
    <xf numFmtId="169" fontId="0" fillId="0" borderId="0" xfId="0" applyNumberFormat="1" applyFill="1" applyBorder="1"/>
    <xf numFmtId="174" fontId="2" fillId="0" borderId="0" xfId="1" applyNumberFormat="1" applyFill="1"/>
    <xf numFmtId="174" fontId="2" fillId="0" borderId="0" xfId="1" quotePrefix="1" applyNumberFormat="1" applyFont="1" applyFill="1"/>
    <xf numFmtId="174" fontId="12" fillId="0" borderId="0" xfId="1" applyNumberFormat="1" applyFont="1" applyFill="1"/>
    <xf numFmtId="174" fontId="0" fillId="0" borderId="0" xfId="1" applyNumberFormat="1" applyFont="1" applyFill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165" fontId="0" fillId="0" borderId="6" xfId="0" applyNumberFormat="1" applyFill="1" applyBorder="1"/>
    <xf numFmtId="169" fontId="0" fillId="0" borderId="0" xfId="2" quotePrefix="1" applyNumberFormat="1" applyFont="1" applyFill="1"/>
    <xf numFmtId="0" fontId="0" fillId="0" borderId="0" xfId="0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10" fontId="9" fillId="0" borderId="0" xfId="3" quotePrefix="1" applyNumberFormat="1" applyFont="1" applyFill="1"/>
    <xf numFmtId="169" fontId="9" fillId="0" borderId="0" xfId="2" applyNumberFormat="1" applyFont="1" applyFill="1"/>
    <xf numFmtId="167" fontId="9" fillId="0" borderId="0" xfId="0" applyNumberFormat="1" applyFont="1" applyFill="1"/>
    <xf numFmtId="4" fontId="9" fillId="0" borderId="0" xfId="0" applyNumberFormat="1" applyFont="1" applyFill="1"/>
    <xf numFmtId="166" fontId="9" fillId="0" borderId="0" xfId="0" applyNumberFormat="1" applyFont="1" applyFill="1"/>
    <xf numFmtId="0" fontId="0" fillId="0" borderId="0" xfId="0" applyFill="1" applyAlignment="1"/>
    <xf numFmtId="44" fontId="7" fillId="0" borderId="0" xfId="2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7" fillId="0" borderId="0" xfId="0" quotePrefix="1" applyFont="1" applyFill="1" applyBorder="1"/>
    <xf numFmtId="39" fontId="8" fillId="0" borderId="0" xfId="0" quotePrefix="1" applyNumberFormat="1" applyFont="1" applyFill="1"/>
    <xf numFmtId="0" fontId="5" fillId="0" borderId="0" xfId="0" quotePrefix="1" applyFont="1" applyFill="1"/>
    <xf numFmtId="0" fontId="5" fillId="0" borderId="0" xfId="0" applyFont="1" applyFill="1" applyAlignment="1">
      <alignment horizontal="center"/>
    </xf>
    <xf numFmtId="9" fontId="9" fillId="0" borderId="0" xfId="3" quotePrefix="1" applyFont="1" applyFill="1"/>
    <xf numFmtId="9" fontId="8" fillId="0" borderId="0" xfId="3" quotePrefix="1" applyFont="1" applyFill="1"/>
    <xf numFmtId="9" fontId="0" fillId="0" borderId="0" xfId="0" applyNumberFormat="1" applyFill="1"/>
    <xf numFmtId="17" fontId="7" fillId="0" borderId="0" xfId="0" applyNumberFormat="1" applyFont="1" applyFill="1"/>
    <xf numFmtId="165" fontId="0" fillId="0" borderId="0" xfId="0" applyNumberFormat="1" applyFill="1"/>
    <xf numFmtId="177" fontId="0" fillId="0" borderId="0" xfId="1" applyNumberFormat="1" applyFont="1" applyFill="1"/>
    <xf numFmtId="39" fontId="8" fillId="0" borderId="0" xfId="0" applyNumberFormat="1" applyFont="1" applyFill="1"/>
    <xf numFmtId="39" fontId="0" fillId="0" borderId="0" xfId="0" applyNumberFormat="1" applyFill="1"/>
    <xf numFmtId="2" fontId="0" fillId="0" borderId="0" xfId="0" applyNumberFormat="1" applyFill="1"/>
    <xf numFmtId="2" fontId="7" fillId="0" borderId="0" xfId="0" applyNumberFormat="1" applyFont="1" applyFill="1"/>
    <xf numFmtId="2" fontId="17" fillId="0" borderId="0" xfId="0" applyNumberFormat="1" applyFont="1" applyFill="1"/>
    <xf numFmtId="0" fontId="0" fillId="0" borderId="0" xfId="0" quotePrefix="1" applyFill="1"/>
    <xf numFmtId="44" fontId="2" fillId="0" borderId="0" xfId="2" applyFill="1"/>
    <xf numFmtId="44" fontId="2" fillId="0" borderId="0" xfId="2" quotePrefix="1" applyFont="1" applyFill="1"/>
    <xf numFmtId="44" fontId="0" fillId="0" borderId="0" xfId="0" applyNumberFormat="1" applyFill="1"/>
    <xf numFmtId="172" fontId="0" fillId="0" borderId="0" xfId="0" applyNumberFormat="1" applyFill="1"/>
    <xf numFmtId="171" fontId="0" fillId="0" borderId="0" xfId="0" applyNumberFormat="1" applyFill="1"/>
    <xf numFmtId="9" fontId="2" fillId="0" borderId="0" xfId="3" applyFill="1"/>
    <xf numFmtId="169" fontId="2" fillId="0" borderId="0" xfId="3" applyNumberFormat="1" applyFill="1"/>
    <xf numFmtId="180" fontId="0" fillId="0" borderId="0" xfId="0" applyNumberFormat="1" applyFill="1"/>
    <xf numFmtId="0" fontId="8" fillId="0" borderId="0" xfId="0" applyFont="1" applyFill="1" applyBorder="1"/>
    <xf numFmtId="178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17" fontId="5" fillId="0" borderId="0" xfId="0" applyNumberFormat="1" applyFont="1" applyFill="1"/>
    <xf numFmtId="10" fontId="14" fillId="0" borderId="0" xfId="0" applyNumberFormat="1" applyFont="1" applyFill="1"/>
    <xf numFmtId="3" fontId="5" fillId="0" borderId="0" xfId="0" applyNumberFormat="1" applyFont="1" applyFill="1" applyAlignment="1">
      <alignment horizontal="left"/>
    </xf>
    <xf numFmtId="3" fontId="0" fillId="0" borderId="0" xfId="0" quotePrefix="1" applyNumberFormat="1" applyFill="1"/>
    <xf numFmtId="17" fontId="0" fillId="0" borderId="0" xfId="0" applyNumberFormat="1" applyFill="1" applyAlignment="1">
      <alignment horizontal="center"/>
    </xf>
    <xf numFmtId="168" fontId="9" fillId="0" borderId="0" xfId="0" applyNumberFormat="1" applyFont="1" applyFill="1"/>
    <xf numFmtId="168" fontId="0" fillId="0" borderId="0" xfId="0" applyNumberFormat="1" applyFill="1"/>
    <xf numFmtId="176" fontId="7" fillId="0" borderId="0" xfId="0" applyNumberFormat="1" applyFont="1" applyFill="1" applyAlignment="1">
      <alignment horizontal="center"/>
    </xf>
    <xf numFmtId="168" fontId="8" fillId="0" borderId="0" xfId="0" applyNumberFormat="1" applyFont="1" applyFill="1"/>
    <xf numFmtId="0" fontId="0" fillId="0" borderId="0" xfId="0" quotePrefix="1" applyFill="1" applyAlignment="1">
      <alignment horizontal="right"/>
    </xf>
    <xf numFmtId="168" fontId="8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44" fontId="8" fillId="0" borderId="0" xfId="2" applyNumberFormat="1" applyFont="1" applyFill="1"/>
    <xf numFmtId="174" fontId="0" fillId="0" borderId="0" xfId="0" applyNumberFormat="1" applyFill="1"/>
    <xf numFmtId="179" fontId="16" fillId="0" borderId="0" xfId="1" applyNumberFormat="1" applyFont="1" applyFill="1" applyBorder="1" applyAlignment="1">
      <alignment horizontal="center"/>
    </xf>
    <xf numFmtId="176" fontId="0" fillId="0" borderId="0" xfId="0" applyNumberFormat="1" applyFill="1" applyBorder="1"/>
    <xf numFmtId="43" fontId="0" fillId="0" borderId="0" xfId="0" applyNumberFormat="1" applyFill="1" applyBorder="1"/>
    <xf numFmtId="178" fontId="0" fillId="0" borderId="0" xfId="0" applyNumberFormat="1" applyFill="1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center" wrapText="1"/>
    </xf>
    <xf numFmtId="10" fontId="2" fillId="0" borderId="0" xfId="3" applyNumberFormat="1" applyFill="1"/>
    <xf numFmtId="9" fontId="2" fillId="0" borderId="0" xfId="3" applyFont="1" applyFill="1"/>
    <xf numFmtId="166" fontId="8" fillId="0" borderId="0" xfId="0" applyNumberFormat="1" applyFont="1" applyFill="1"/>
    <xf numFmtId="44" fontId="2" fillId="0" borderId="0" xfId="2" applyNumberFormat="1" applyFill="1"/>
    <xf numFmtId="172" fontId="8" fillId="0" borderId="0" xfId="2" applyNumberFormat="1" applyFont="1" applyFill="1"/>
    <xf numFmtId="44" fontId="7" fillId="0" borderId="0" xfId="2" quotePrefix="1" applyNumberFormat="1" applyFont="1" applyFill="1"/>
    <xf numFmtId="0" fontId="6" fillId="0" borderId="0" xfId="0" applyFont="1" applyFill="1"/>
    <xf numFmtId="166" fontId="6" fillId="0" borderId="0" xfId="0" applyNumberFormat="1" applyFont="1" applyFill="1"/>
    <xf numFmtId="0" fontId="0" fillId="0" borderId="1" xfId="0" applyFill="1" applyBorder="1"/>
    <xf numFmtId="0" fontId="10" fillId="0" borderId="6" xfId="0" applyFont="1" applyFill="1" applyBorder="1" applyAlignment="1">
      <alignment horizontal="center"/>
    </xf>
    <xf numFmtId="0" fontId="0" fillId="0" borderId="7" xfId="0" applyFill="1" applyBorder="1"/>
    <xf numFmtId="0" fontId="0" fillId="0" borderId="2" xfId="0" applyFill="1" applyBorder="1"/>
    <xf numFmtId="0" fontId="0" fillId="0" borderId="8" xfId="0" applyFill="1" applyBorder="1"/>
    <xf numFmtId="169" fontId="8" fillId="0" borderId="0" xfId="2" quotePrefix="1" applyNumberFormat="1" applyFont="1" applyFill="1"/>
    <xf numFmtId="169" fontId="8" fillId="0" borderId="0" xfId="2" applyNumberFormat="1" applyFont="1" applyFill="1"/>
    <xf numFmtId="44" fontId="8" fillId="0" borderId="0" xfId="2" quotePrefix="1" applyNumberFormat="1" applyFont="1" applyFill="1"/>
    <xf numFmtId="169" fontId="0" fillId="0" borderId="2" xfId="0" applyNumberFormat="1" applyFill="1" applyBorder="1"/>
    <xf numFmtId="10" fontId="8" fillId="0" borderId="0" xfId="0" applyNumberFormat="1" applyFont="1" applyFill="1"/>
    <xf numFmtId="2" fontId="7" fillId="0" borderId="0" xfId="0" applyNumberFormat="1" applyFont="1" applyFill="1" applyBorder="1"/>
    <xf numFmtId="176" fontId="7" fillId="0" borderId="0" xfId="1" applyNumberFormat="1" applyFont="1" applyFill="1"/>
    <xf numFmtId="43" fontId="0" fillId="0" borderId="0" xfId="0" applyNumberFormat="1" applyFill="1"/>
    <xf numFmtId="170" fontId="0" fillId="0" borderId="0" xfId="0" applyNumberFormat="1" applyFill="1" applyBorder="1"/>
    <xf numFmtId="178" fontId="2" fillId="0" borderId="0" xfId="2" applyNumberFormat="1" applyFill="1" applyBorder="1"/>
    <xf numFmtId="167" fontId="0" fillId="0" borderId="0" xfId="3" applyNumberFormat="1" applyFont="1" applyFill="1"/>
    <xf numFmtId="174" fontId="2" fillId="0" borderId="0" xfId="1" quotePrefix="1" applyNumberFormat="1" applyFill="1" applyBorder="1" applyAlignment="1">
      <alignment horizontal="left"/>
    </xf>
    <xf numFmtId="174" fontId="0" fillId="0" borderId="2" xfId="1" applyNumberFormat="1" applyFont="1" applyFill="1" applyBorder="1"/>
    <xf numFmtId="165" fontId="0" fillId="0" borderId="0" xfId="0" applyNumberFormat="1" applyFill="1" applyBorder="1"/>
    <xf numFmtId="167" fontId="0" fillId="0" borderId="0" xfId="0" applyNumberFormat="1" applyFill="1"/>
    <xf numFmtId="165" fontId="2" fillId="0" borderId="0" xfId="0" applyNumberFormat="1" applyFont="1" applyFill="1"/>
    <xf numFmtId="164" fontId="0" fillId="0" borderId="10" xfId="0" applyNumberFormat="1" applyFill="1" applyBorder="1"/>
    <xf numFmtId="164" fontId="0" fillId="0" borderId="11" xfId="0" applyNumberFormat="1" applyFill="1" applyBorder="1"/>
    <xf numFmtId="181" fontId="2" fillId="0" borderId="0" xfId="2" applyNumberFormat="1" applyFont="1" applyFill="1" applyAlignment="1">
      <alignment horizontal="center" wrapText="1"/>
    </xf>
    <xf numFmtId="7" fontId="9" fillId="0" borderId="0" xfId="2" applyNumberFormat="1" applyFont="1" applyFill="1"/>
    <xf numFmtId="0" fontId="2" fillId="0" borderId="0" xfId="0" quotePrefix="1" applyFont="1" applyFill="1"/>
    <xf numFmtId="164" fontId="7" fillId="0" borderId="0" xfId="0" applyNumberFormat="1" applyFont="1" applyFill="1"/>
    <xf numFmtId="169" fontId="2" fillId="0" borderId="2" xfId="2" applyNumberFormat="1" applyFill="1" applyBorder="1"/>
    <xf numFmtId="44" fontId="2" fillId="0" borderId="0" xfId="2" applyFont="1" applyFill="1"/>
    <xf numFmtId="0" fontId="2" fillId="0" borderId="0" xfId="0" applyFont="1" applyFill="1" applyAlignment="1">
      <alignment horizontal="right"/>
    </xf>
    <xf numFmtId="167" fontId="2" fillId="0" borderId="0" xfId="0" applyNumberFormat="1" applyFont="1" applyFill="1"/>
    <xf numFmtId="170" fontId="0" fillId="0" borderId="0" xfId="0" applyNumberFormat="1" applyFill="1"/>
    <xf numFmtId="44" fontId="7" fillId="0" borderId="0" xfId="0" applyNumberFormat="1" applyFont="1" applyFill="1" applyAlignment="1">
      <alignment horizontal="center"/>
    </xf>
    <xf numFmtId="174" fontId="18" fillId="0" borderId="0" xfId="1" quotePrefix="1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7" fontId="0" fillId="0" borderId="0" xfId="0" applyNumberFormat="1" applyFill="1"/>
    <xf numFmtId="4" fontId="2" fillId="0" borderId="0" xfId="0" applyNumberFormat="1" applyFont="1" applyFill="1"/>
    <xf numFmtId="44" fontId="20" fillId="0" borderId="0" xfId="2" applyFont="1" applyFill="1"/>
    <xf numFmtId="0" fontId="2" fillId="0" borderId="0" xfId="4"/>
    <xf numFmtId="0" fontId="3" fillId="0" borderId="0" xfId="4" applyFont="1" applyAlignment="1">
      <alignment horizontal="center"/>
    </xf>
    <xf numFmtId="0" fontId="5" fillId="0" borderId="0" xfId="4" applyFont="1" applyFill="1" applyAlignment="1">
      <alignment horizontal="center" wrapText="1"/>
    </xf>
    <xf numFmtId="0" fontId="7" fillId="0" borderId="0" xfId="4" applyFont="1" applyFill="1"/>
    <xf numFmtId="0" fontId="2" fillId="0" borderId="0" xfId="4" quotePrefix="1" applyFont="1" applyAlignment="1">
      <alignment horizontal="center"/>
    </xf>
    <xf numFmtId="0" fontId="2" fillId="0" borderId="0" xfId="4" quotePrefix="1" applyFont="1"/>
    <xf numFmtId="0" fontId="2" fillId="0" borderId="0" xfId="4" applyFont="1" applyFill="1"/>
    <xf numFmtId="174" fontId="2" fillId="0" borderId="0" xfId="1" applyNumberFormat="1" applyFont="1"/>
    <xf numFmtId="174" fontId="2" fillId="0" borderId="2" xfId="1" applyNumberFormat="1" applyFont="1" applyBorder="1"/>
    <xf numFmtId="10" fontId="2" fillId="0" borderId="0" xfId="3" applyNumberFormat="1" applyFont="1"/>
    <xf numFmtId="0" fontId="2" fillId="0" borderId="0" xfId="4" applyFill="1"/>
    <xf numFmtId="0" fontId="7" fillId="0" borderId="0" xfId="4" quotePrefix="1" applyFont="1"/>
    <xf numFmtId="0" fontId="22" fillId="0" borderId="0" xfId="4" applyFont="1" applyFill="1"/>
    <xf numFmtId="0" fontId="3" fillId="0" borderId="0" xfId="4" applyFont="1" applyFill="1"/>
    <xf numFmtId="0" fontId="23" fillId="0" borderId="0" xfId="4" applyFont="1" applyFill="1"/>
    <xf numFmtId="0" fontId="5" fillId="0" borderId="0" xfId="4" applyFont="1" applyFill="1"/>
    <xf numFmtId="0" fontId="6" fillId="0" borderId="0" xfId="4" applyFont="1" applyFill="1" applyAlignment="1">
      <alignment horizontal="center"/>
    </xf>
    <xf numFmtId="0" fontId="2" fillId="0" borderId="0" xfId="4" applyFill="1" applyAlignment="1">
      <alignment horizontal="center"/>
    </xf>
    <xf numFmtId="0" fontId="2" fillId="0" borderId="0" xfId="4" applyFont="1" applyFill="1" applyAlignment="1">
      <alignment horizontal="center"/>
    </xf>
    <xf numFmtId="166" fontId="24" fillId="2" borderId="0" xfId="4" applyNumberFormat="1" applyFont="1" applyFill="1"/>
    <xf numFmtId="44" fontId="19" fillId="0" borderId="0" xfId="5" applyFont="1" applyFill="1"/>
    <xf numFmtId="0" fontId="2" fillId="0" borderId="0" xfId="4" quotePrefix="1" applyFont="1" applyFill="1"/>
    <xf numFmtId="0" fontId="9" fillId="0" borderId="0" xfId="4" applyFont="1" applyFill="1"/>
    <xf numFmtId="9" fontId="0" fillId="0" borderId="0" xfId="3" applyFont="1" applyFill="1"/>
    <xf numFmtId="166" fontId="9" fillId="0" borderId="0" xfId="4" applyNumberFormat="1" applyFont="1" applyFill="1"/>
    <xf numFmtId="3" fontId="2" fillId="0" borderId="0" xfId="4" applyNumberFormat="1" applyFont="1" applyFill="1"/>
    <xf numFmtId="3" fontId="9" fillId="0" borderId="0" xfId="4" applyNumberFormat="1" applyFont="1" applyFill="1"/>
    <xf numFmtId="0" fontId="19" fillId="0" borderId="0" xfId="4" applyFont="1" applyFill="1"/>
    <xf numFmtId="169" fontId="2" fillId="0" borderId="0" xfId="4" applyNumberFormat="1" applyFill="1"/>
    <xf numFmtId="169" fontId="25" fillId="0" borderId="0" xfId="5" applyNumberFormat="1" applyFont="1" applyFill="1"/>
    <xf numFmtId="172" fontId="2" fillId="0" borderId="0" xfId="4" applyNumberFormat="1" applyFill="1"/>
    <xf numFmtId="0" fontId="2" fillId="0" borderId="0" xfId="4" quotePrefix="1" applyFill="1"/>
    <xf numFmtId="172" fontId="2" fillId="0" borderId="0" xfId="5" applyNumberFormat="1" applyFont="1" applyFill="1"/>
    <xf numFmtId="0" fontId="7" fillId="0" borderId="0" xfId="4" applyFont="1" applyFill="1" applyAlignment="1">
      <alignment horizontal="left"/>
    </xf>
    <xf numFmtId="0" fontId="2" fillId="0" borderId="0" xfId="4" applyFill="1" applyAlignment="1">
      <alignment horizontal="right"/>
    </xf>
    <xf numFmtId="169" fontId="12" fillId="0" borderId="0" xfId="4" applyNumberFormat="1" applyFont="1" applyFill="1"/>
    <xf numFmtId="169" fontId="0" fillId="0" borderId="0" xfId="5" applyNumberFormat="1" applyFont="1" applyFill="1"/>
    <xf numFmtId="0" fontId="6" fillId="0" borderId="0" xfId="4" applyFont="1" applyFill="1" applyAlignment="1">
      <alignment horizontal="left"/>
    </xf>
    <xf numFmtId="0" fontId="7" fillId="0" borderId="0" xfId="4" applyFont="1" applyFill="1" applyAlignment="1">
      <alignment horizontal="center"/>
    </xf>
    <xf numFmtId="17" fontId="2" fillId="0" borderId="0" xfId="4" applyNumberFormat="1" applyFill="1"/>
    <xf numFmtId="175" fontId="2" fillId="0" borderId="0" xfId="1" quotePrefix="1" applyNumberFormat="1" applyFont="1" applyFill="1" applyBorder="1"/>
    <xf numFmtId="43" fontId="2" fillId="0" borderId="0" xfId="1" quotePrefix="1" applyFont="1" applyFill="1"/>
    <xf numFmtId="17" fontId="2" fillId="0" borderId="0" xfId="4" applyNumberFormat="1" applyFill="1" applyAlignment="1">
      <alignment horizontal="right"/>
    </xf>
    <xf numFmtId="43" fontId="2" fillId="0" borderId="0" xfId="1" quotePrefix="1" applyNumberFormat="1" applyFont="1" applyFill="1" applyBorder="1"/>
    <xf numFmtId="43" fontId="2" fillId="0" borderId="0" xfId="1" applyNumberFormat="1" applyFont="1" applyFill="1" applyBorder="1" applyAlignment="1">
      <alignment horizontal="right"/>
    </xf>
    <xf numFmtId="175" fontId="2" fillId="0" borderId="0" xfId="4" applyNumberFormat="1" applyFill="1"/>
    <xf numFmtId="175" fontId="7" fillId="0" borderId="0" xfId="4" applyNumberFormat="1" applyFont="1" applyFill="1"/>
    <xf numFmtId="0" fontId="7" fillId="0" borderId="0" xfId="4" applyFont="1" applyFill="1" applyAlignment="1">
      <alignment horizontal="right"/>
    </xf>
    <xf numFmtId="171" fontId="7" fillId="0" borderId="0" xfId="5" quotePrefix="1" applyNumberFormat="1" applyFont="1" applyFill="1" applyBorder="1"/>
    <xf numFmtId="0" fontId="2" fillId="0" borderId="0" xfId="4" applyFont="1" applyFill="1" applyAlignment="1">
      <alignment horizontal="left"/>
    </xf>
    <xf numFmtId="43" fontId="2" fillId="0" borderId="0" xfId="1" quotePrefix="1" applyNumberFormat="1" applyFont="1" applyFill="1"/>
    <xf numFmtId="175" fontId="2" fillId="0" borderId="0" xfId="1" quotePrefix="1" applyNumberFormat="1" applyFont="1" applyFill="1"/>
    <xf numFmtId="0" fontId="7" fillId="0" borderId="0" xfId="4" applyFont="1" applyFill="1" applyAlignment="1">
      <alignment horizontal="center" wrapText="1"/>
    </xf>
    <xf numFmtId="0" fontId="10" fillId="0" borderId="0" xfId="4" applyFont="1" applyFill="1" applyAlignment="1">
      <alignment horizontal="left"/>
    </xf>
    <xf numFmtId="172" fontId="2" fillId="0" borderId="0" xfId="5" quotePrefix="1" applyNumberFormat="1" applyFont="1" applyFill="1"/>
    <xf numFmtId="0" fontId="6" fillId="0" borderId="0" xfId="4" applyFont="1" applyFill="1"/>
    <xf numFmtId="166" fontId="6" fillId="0" borderId="0" xfId="4" applyNumberFormat="1" applyFont="1" applyFill="1"/>
    <xf numFmtId="172" fontId="7" fillId="0" borderId="0" xfId="5" quotePrefix="1" applyNumberFormat="1" applyFont="1" applyFill="1"/>
    <xf numFmtId="169" fontId="0" fillId="0" borderId="0" xfId="5" quotePrefix="1" applyNumberFormat="1" applyFont="1" applyFill="1"/>
    <xf numFmtId="169" fontId="12" fillId="0" borderId="0" xfId="5" applyNumberFormat="1" applyFont="1" applyFill="1"/>
    <xf numFmtId="169" fontId="12" fillId="0" borderId="0" xfId="5" quotePrefix="1" applyNumberFormat="1" applyFont="1" applyFill="1"/>
    <xf numFmtId="169" fontId="7" fillId="0" borderId="0" xfId="4" applyNumberFormat="1" applyFont="1" applyFill="1"/>
    <xf numFmtId="0" fontId="2" fillId="0" borderId="0" xfId="4" applyFill="1" applyAlignment="1">
      <alignment horizontal="left"/>
    </xf>
    <xf numFmtId="0" fontId="2" fillId="0" borderId="0" xfId="4" applyFill="1" applyBorder="1"/>
    <xf numFmtId="183" fontId="7" fillId="0" borderId="0" xfId="5" quotePrefix="1" applyNumberFormat="1" applyFont="1" applyFill="1"/>
    <xf numFmtId="0" fontId="10" fillId="0" borderId="0" xfId="4" applyFont="1" applyFill="1" applyAlignment="1">
      <alignment horizontal="center"/>
    </xf>
    <xf numFmtId="167" fontId="10" fillId="0" borderId="0" xfId="3" applyNumberFormat="1" applyFont="1" applyFill="1"/>
    <xf numFmtId="44" fontId="2" fillId="0" borderId="0" xfId="4" applyNumberFormat="1" applyFill="1"/>
    <xf numFmtId="169" fontId="12" fillId="0" borderId="0" xfId="5" applyNumberFormat="1" applyFont="1" applyFill="1" applyBorder="1"/>
    <xf numFmtId="0" fontId="2" fillId="0" borderId="0" xfId="4" applyFill="1" applyAlignment="1">
      <alignment horizontal="center" wrapText="1"/>
    </xf>
    <xf numFmtId="169" fontId="2" fillId="0" borderId="2" xfId="4" applyNumberFormat="1" applyFill="1" applyBorder="1"/>
    <xf numFmtId="44" fontId="2" fillId="0" borderId="2" xfId="4" applyNumberFormat="1" applyFill="1" applyBorder="1"/>
    <xf numFmtId="44" fontId="0" fillId="0" borderId="0" xfId="5" applyNumberFormat="1" applyFont="1" applyFill="1"/>
    <xf numFmtId="44" fontId="2" fillId="0" borderId="0" xfId="5" applyNumberFormat="1" applyFont="1" applyFill="1"/>
    <xf numFmtId="44" fontId="7" fillId="0" borderId="0" xfId="5" quotePrefix="1" applyNumberFormat="1" applyFont="1" applyFill="1"/>
    <xf numFmtId="17" fontId="0" fillId="0" borderId="0" xfId="0" applyNumberFormat="1" applyFill="1" applyAlignment="1">
      <alignment wrapText="1"/>
    </xf>
    <xf numFmtId="0" fontId="7" fillId="0" borderId="0" xfId="4" applyFont="1" applyFill="1" applyAlignment="1">
      <alignment wrapText="1"/>
    </xf>
    <xf numFmtId="0" fontId="13" fillId="0" borderId="13" xfId="0" applyFont="1" applyFill="1" applyBorder="1"/>
    <xf numFmtId="171" fontId="7" fillId="0" borderId="14" xfId="2" applyNumberFormat="1" applyFont="1" applyFill="1" applyBorder="1"/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169" fontId="19" fillId="0" borderId="0" xfId="5" applyNumberFormat="1" applyFont="1"/>
    <xf numFmtId="0" fontId="26" fillId="0" borderId="0" xfId="0" applyFont="1" applyFill="1" applyBorder="1" applyAlignment="1">
      <alignment horizontal="center"/>
    </xf>
    <xf numFmtId="10" fontId="0" fillId="0" borderId="0" xfId="3" applyNumberFormat="1" applyFont="1" applyFill="1" applyBorder="1"/>
    <xf numFmtId="184" fontId="0" fillId="0" borderId="0" xfId="0" applyNumberFormat="1" applyFill="1" applyBorder="1"/>
    <xf numFmtId="44" fontId="0" fillId="0" borderId="0" xfId="2" applyFont="1" applyFill="1" applyBorder="1"/>
    <xf numFmtId="169" fontId="0" fillId="0" borderId="0" xfId="2" applyNumberFormat="1" applyFont="1" applyFill="1" applyBorder="1"/>
    <xf numFmtId="174" fontId="0" fillId="0" borderId="0" xfId="0" applyNumberFormat="1" applyFill="1" applyBorder="1"/>
    <xf numFmtId="0" fontId="26" fillId="0" borderId="0" xfId="0" applyFont="1" applyFill="1" applyBorder="1" applyAlignment="1">
      <alignment horizontal="center" wrapText="1"/>
    </xf>
    <xf numFmtId="174" fontId="12" fillId="0" borderId="0" xfId="0" applyNumberFormat="1" applyFont="1" applyFill="1"/>
    <xf numFmtId="0" fontId="2" fillId="0" borderId="0" xfId="0" applyFont="1" applyFill="1" applyBorder="1"/>
    <xf numFmtId="0" fontId="0" fillId="0" borderId="0" xfId="0" applyFont="1" applyFill="1"/>
    <xf numFmtId="0" fontId="2" fillId="0" borderId="0" xfId="85" quotePrefix="1" applyFont="1" applyFill="1"/>
    <xf numFmtId="44" fontId="9" fillId="0" borderId="0" xfId="2" applyNumberFormat="1" applyFont="1" applyFill="1"/>
    <xf numFmtId="44" fontId="9" fillId="3" borderId="0" xfId="2" applyFont="1" applyFill="1"/>
    <xf numFmtId="0" fontId="7" fillId="0" borderId="0" xfId="85" applyFont="1"/>
    <xf numFmtId="0" fontId="24" fillId="0" borderId="0" xfId="85" applyFont="1" applyAlignment="1">
      <alignment vertical="center" wrapText="1"/>
    </xf>
    <xf numFmtId="0" fontId="2" fillId="0" borderId="0" xfId="85"/>
    <xf numFmtId="0" fontId="2" fillId="0" borderId="0" xfId="85" applyAlignment="1">
      <alignment horizontal="center" wrapText="1"/>
    </xf>
    <xf numFmtId="181" fontId="2" fillId="0" borderId="0" xfId="85" applyNumberFormat="1"/>
    <xf numFmtId="181" fontId="2" fillId="0" borderId="2" xfId="85" quotePrefix="1" applyNumberFormat="1" applyBorder="1" applyAlignment="1">
      <alignment horizontal="right"/>
    </xf>
    <xf numFmtId="181" fontId="2" fillId="0" borderId="0" xfId="85" quotePrefix="1" applyNumberFormat="1" applyAlignment="1">
      <alignment horizontal="right"/>
    </xf>
    <xf numFmtId="168" fontId="2" fillId="0" borderId="0" xfId="85" applyNumberFormat="1"/>
    <xf numFmtId="3" fontId="2" fillId="0" borderId="2" xfId="85" applyNumberFormat="1" applyBorder="1"/>
    <xf numFmtId="182" fontId="2" fillId="0" borderId="0" xfId="85" quotePrefix="1" applyNumberFormat="1" applyAlignment="1">
      <alignment horizontal="right"/>
    </xf>
    <xf numFmtId="182" fontId="2" fillId="0" borderId="0" xfId="85" applyNumberFormat="1"/>
    <xf numFmtId="3" fontId="2" fillId="0" borderId="0" xfId="85" applyNumberFormat="1"/>
    <xf numFmtId="181" fontId="7" fillId="0" borderId="12" xfId="85" applyNumberFormat="1" applyFont="1" applyBorder="1"/>
    <xf numFmtId="0" fontId="21" fillId="0" borderId="0" xfId="4" applyFont="1" applyAlignment="1">
      <alignment horizontal="center" vertical="center"/>
    </xf>
    <xf numFmtId="169" fontId="2" fillId="0" borderId="0" xfId="2" applyNumberFormat="1" applyFill="1" applyBorder="1"/>
    <xf numFmtId="0" fontId="2" fillId="0" borderId="0" xfId="0" quotePrefix="1" applyFont="1"/>
    <xf numFmtId="174" fontId="18" fillId="0" borderId="2" xfId="1" quotePrefix="1" applyNumberFormat="1" applyFont="1" applyFill="1" applyBorder="1" applyAlignment="1">
      <alignment horizontal="left"/>
    </xf>
    <xf numFmtId="164" fontId="9" fillId="0" borderId="0" xfId="0" applyNumberFormat="1" applyFont="1" applyFill="1"/>
    <xf numFmtId="164" fontId="9" fillId="0" borderId="9" xfId="0" applyNumberFormat="1" applyFont="1" applyFill="1" applyBorder="1"/>
    <xf numFmtId="0" fontId="51" fillId="0" borderId="0" xfId="4" applyFont="1" applyFill="1"/>
    <xf numFmtId="0" fontId="24" fillId="0" borderId="0" xfId="4" applyFont="1" applyAlignment="1">
      <alignment horizontal="center"/>
    </xf>
    <xf numFmtId="168" fontId="14" fillId="0" borderId="0" xfId="0" applyNumberFormat="1" applyFont="1" applyFill="1"/>
    <xf numFmtId="181" fontId="2" fillId="0" borderId="0" xfId="85" applyNumberFormat="1" applyFill="1"/>
    <xf numFmtId="181" fontId="2" fillId="0" borderId="2" xfId="85" quotePrefix="1" applyNumberFormat="1" applyFill="1" applyBorder="1" applyAlignment="1">
      <alignment horizontal="right"/>
    </xf>
    <xf numFmtId="0" fontId="18" fillId="0" borderId="0" xfId="0" applyFont="1" applyFill="1" applyBorder="1"/>
    <xf numFmtId="181" fontId="2" fillId="0" borderId="0" xfId="85" applyNumberFormat="1" applyFont="1" applyFill="1"/>
    <xf numFmtId="181" fontId="2" fillId="0" borderId="2" xfId="85" quotePrefix="1" applyNumberFormat="1" applyFont="1" applyFill="1" applyBorder="1" applyAlignment="1">
      <alignment horizontal="right"/>
    </xf>
    <xf numFmtId="44" fontId="9" fillId="0" borderId="2" xfId="2" applyFont="1" applyFill="1" applyBorder="1"/>
  </cellXfs>
  <cellStyles count="160">
    <cellStyle name="20% - Accent1 2" xfId="6" xr:uid="{367E53F7-FF4F-49B1-8C85-7B99617E20E7}"/>
    <cellStyle name="20% - Accent2 2" xfId="7" xr:uid="{E5ABCEFB-D318-41C3-A18B-C754133E0EAF}"/>
    <cellStyle name="20% - Accent3 2" xfId="8" xr:uid="{383D1B9F-05D8-4BEF-8FA9-FB1DCF248361}"/>
    <cellStyle name="20% - Accent4 2" xfId="9" xr:uid="{4B6A06F1-EAAC-4A73-8DAC-9C0AD5DA8987}"/>
    <cellStyle name="20% - Accent5 2" xfId="10" xr:uid="{22CB1129-7A72-4A52-BFEF-758B357E28F5}"/>
    <cellStyle name="20% - Accent6 2" xfId="11" xr:uid="{1CE9348D-277B-4CEA-9699-E9878DBFEA4C}"/>
    <cellStyle name="40% - Accent1 2" xfId="12" xr:uid="{2D6FD399-ADBA-4810-A7F8-3DA07FB2308C}"/>
    <cellStyle name="40% - Accent2 2" xfId="13" xr:uid="{CC19C381-E359-403D-B94B-179554FC32C9}"/>
    <cellStyle name="40% - Accent3 2" xfId="14" xr:uid="{E130D2A8-292B-405D-808B-67736149B628}"/>
    <cellStyle name="40% - Accent4 2" xfId="15" xr:uid="{0C34D213-F23B-49DF-9260-E284738F3F77}"/>
    <cellStyle name="40% - Accent5 2" xfId="16" xr:uid="{C4640DFF-B17D-4148-9093-38751FC2F8A7}"/>
    <cellStyle name="40% - Accent6 2" xfId="17" xr:uid="{7AF2976A-9176-45C5-B5FA-F3DC6150D5C6}"/>
    <cellStyle name="60% - Accent1 2" xfId="18" xr:uid="{86EEDE17-277F-44B0-9758-A02B8A3284A5}"/>
    <cellStyle name="60% - Accent2 2" xfId="19" xr:uid="{D76B12C1-95E1-4D22-9B80-30E9AE5E2346}"/>
    <cellStyle name="60% - Accent3 2" xfId="20" xr:uid="{4B16F014-F5CF-461F-9901-A4BCE0A20954}"/>
    <cellStyle name="60% - Accent4 2" xfId="21" xr:uid="{86E7D686-B0C3-4DD2-90FE-74496E406F50}"/>
    <cellStyle name="60% - Accent5 2" xfId="22" xr:uid="{642B1DEB-D773-4657-B42C-C7A524DC60AC}"/>
    <cellStyle name="60% - Accent6 2" xfId="23" xr:uid="{D28D4312-33CF-4629-9B03-7986B4A7DA5C}"/>
    <cellStyle name="Accent1 2" xfId="24" xr:uid="{CAF5356F-02EF-4118-A938-86251A26E126}"/>
    <cellStyle name="Accent2 2" xfId="25" xr:uid="{1B09A269-2C0C-4B8E-AB71-723967F337C0}"/>
    <cellStyle name="Accent3 2" xfId="26" xr:uid="{347FD2DF-F89B-4F2E-A2D4-5C11228DC45C}"/>
    <cellStyle name="Accent4 2" xfId="27" xr:uid="{69851C6C-9071-49C6-AC05-1754F6B35DE4}"/>
    <cellStyle name="Accent5 2" xfId="28" xr:uid="{8A549AF1-9F2E-4E62-81F8-BC82C1BEFB35}"/>
    <cellStyle name="Accent6 2" xfId="29" xr:uid="{67A8A66D-0578-4DF9-9423-B7D871C4C764}"/>
    <cellStyle name="Bad 2" xfId="30" xr:uid="{460C7B58-07BE-432F-A114-27F327E9DC7D}"/>
    <cellStyle name="Calculation 2" xfId="31" xr:uid="{BBAE614C-317D-4885-B65B-6C16A1732DFD}"/>
    <cellStyle name="Check Cell 2" xfId="32" xr:uid="{D9F11D42-D4ED-4EAC-B722-37300CB002C0}"/>
    <cellStyle name="Comma" xfId="1" builtinId="3"/>
    <cellStyle name="Comma 2" xfId="33" xr:uid="{9044CDAD-A6D0-4127-BE88-4586EEA19849}"/>
    <cellStyle name="Comma 2 2" xfId="157" xr:uid="{EF4C2E08-C9FD-4764-8209-5697E503E6F6}"/>
    <cellStyle name="Comma 3" xfId="34" xr:uid="{997AE07A-C8D0-457C-998E-ADB6D1576485}"/>
    <cellStyle name="Comma 3 2" xfId="75" xr:uid="{EA50381F-35EE-4CE6-93AC-F9918F501041}"/>
    <cellStyle name="Comma 4" xfId="35" xr:uid="{C338EE94-710A-477C-AB7B-191DD44D5C46}"/>
    <cellStyle name="Comma 4 2" xfId="99" xr:uid="{FC11D06B-CAB0-458E-8D57-712263C3815E}"/>
    <cellStyle name="Comma 5" xfId="71" xr:uid="{02A370E4-77CD-4BA5-9A90-8C68CA6A788F}"/>
    <cellStyle name="Comma 5 2" xfId="74" xr:uid="{BE245CBB-BAB2-4167-8CDE-E7CC1864BED6}"/>
    <cellStyle name="Comma 5 3" xfId="146" xr:uid="{6B563910-BF37-47EE-84B9-59B08B084C61}"/>
    <cellStyle name="Comma 6" xfId="83" xr:uid="{17932DB4-9533-43E3-B5A2-92F3A45B0EE9}"/>
    <cellStyle name="Comma0" xfId="36" xr:uid="{7BE7B47C-58F5-46A2-A45D-D402002B047B}"/>
    <cellStyle name="Currency" xfId="2" builtinId="4"/>
    <cellStyle name="Currency 2" xfId="5" xr:uid="{73F370F8-4ABA-4BEC-8B39-3366B7BE9F64}"/>
    <cellStyle name="Currency 2 2" xfId="37" xr:uid="{0703E6E8-3D53-49B4-A27B-EC8C295A7C60}"/>
    <cellStyle name="Currency 2 2 2" xfId="100" xr:uid="{83E94CE2-EF78-4AD4-BF59-45BD3F488586}"/>
    <cellStyle name="Currency 2 3" xfId="76" xr:uid="{48733798-4292-4012-975C-EAB983C11AA9}"/>
    <cellStyle name="Currency 3" xfId="38" xr:uid="{31A2E52F-123D-45FE-BA4A-398505F878E0}"/>
    <cellStyle name="Currency 3 2" xfId="67" xr:uid="{364B80D0-7DE7-40A1-9D34-591718769D28}"/>
    <cellStyle name="Currency 4" xfId="39" xr:uid="{56DE45CA-6182-4B16-A229-829A1C74A71E}"/>
    <cellStyle name="Currency 4 2" xfId="101" xr:uid="{CC61356B-E9CC-4750-B62B-FB3500264A8A}"/>
    <cellStyle name="Currency 5" xfId="69" xr:uid="{B4F27E6B-51DC-4206-A92C-CBADC5FE016B}"/>
    <cellStyle name="Currency 5 2" xfId="72" xr:uid="{35C1EBD9-A295-4C4C-A331-CEE5F112F90B}"/>
    <cellStyle name="Currency 5 3" xfId="147" xr:uid="{F5362541-8027-41FF-BDD6-815FB9CE58AE}"/>
    <cellStyle name="Currency0" xfId="40" xr:uid="{10A528DF-C6BE-46E5-B415-252AB4B04877}"/>
    <cellStyle name="Date" xfId="41" xr:uid="{FFBB497F-DBA7-473E-8399-7E6C821BDBC8}"/>
    <cellStyle name="Explanatory Text 2" xfId="42" xr:uid="{23B7563F-5869-4EF5-BDC1-6D57AC33D22A}"/>
    <cellStyle name="Fixed" xfId="43" xr:uid="{7631B765-FB39-4456-B51D-97637DBC50C8}"/>
    <cellStyle name="Good 2" xfId="44" xr:uid="{7382CBD7-CADE-44D1-9C82-C6EE9368EE87}"/>
    <cellStyle name="Heading 1 2" xfId="46" xr:uid="{A6C3E194-8AF3-470A-B536-1BA80A983102}"/>
    <cellStyle name="Heading 1 3" xfId="87" xr:uid="{16B45191-B45F-48E0-98B8-FF11920333A4}"/>
    <cellStyle name="Heading 1 4" xfId="45" xr:uid="{CB35D30E-3AE1-4B6C-A9F4-69903202F3A9}"/>
    <cellStyle name="Heading 2 2" xfId="48" xr:uid="{E72C3ECA-F41A-417B-B488-B4AEB2A44270}"/>
    <cellStyle name="Heading 2 3" xfId="88" xr:uid="{52510261-ECA6-4201-9F16-6DD6B4B5C83D}"/>
    <cellStyle name="Heading 2 4" xfId="47" xr:uid="{051B7ED7-59CE-45DD-841B-CD27AAB2D865}"/>
    <cellStyle name="Heading 3 2" xfId="49" xr:uid="{3BEAAAB7-FD75-4F41-B938-853900BBAE1B}"/>
    <cellStyle name="Heading 4 2" xfId="50" xr:uid="{0BBFA10C-DB4A-4275-99D5-89558D71D07B}"/>
    <cellStyle name="Hyperlink 2" xfId="97" xr:uid="{BF29BB7C-D50E-4840-B971-32885FA70F2D}"/>
    <cellStyle name="Input 2" xfId="51" xr:uid="{F5EF6632-7C10-4F43-ADAF-C595092B73F1}"/>
    <cellStyle name="Linked Cell 2" xfId="52" xr:uid="{FD0CF373-59B1-4739-99B0-A949AB0E5CFD}"/>
    <cellStyle name="Neutral 2" xfId="53" xr:uid="{B350D8F7-C946-486F-B58E-FE2E400926D1}"/>
    <cellStyle name="Normal" xfId="0" builtinId="0"/>
    <cellStyle name="Normal 2" xfId="4" xr:uid="{00000000-0005-0000-0000-000003000000}"/>
    <cellStyle name="Normal 2 2" xfId="77" xr:uid="{963FF26E-B212-4240-8304-3F1147C3CF1B}"/>
    <cellStyle name="Normal 2 2 2" xfId="89" xr:uid="{92591BF4-FC13-46FB-B59B-99921EC5409A}"/>
    <cellStyle name="Normal 2 2 2 2" xfId="149" xr:uid="{4D4D737B-05FE-49A6-9426-A7215BF90B1F}"/>
    <cellStyle name="Normal 2 2 3" xfId="90" xr:uid="{DE2B9482-709A-4F55-8EB2-FCF58793E069}"/>
    <cellStyle name="Normal 2 2 3 2" xfId="150" xr:uid="{9F51DCF4-2EC4-4755-AB4C-7635CC48EF63}"/>
    <cellStyle name="Normal 2 2 4" xfId="91" xr:uid="{2150C516-F883-4A64-BE0C-42F349E1D363}"/>
    <cellStyle name="Normal 2 2 4 2" xfId="151" xr:uid="{4C3C2FE5-6F38-464C-B871-81349586191C}"/>
    <cellStyle name="Normal 2 2 5" xfId="148" xr:uid="{B188A332-4240-42C5-803B-D1683ECAB0D9}"/>
    <cellStyle name="Normal 2 3" xfId="78" xr:uid="{40D37A67-AFA6-4A75-A748-159F91DEDE95}"/>
    <cellStyle name="Normal 2 3 2" xfId="92" xr:uid="{2319C8CC-F94E-4D7E-9593-02FD6B5A575F}"/>
    <cellStyle name="Normal 2 3 2 2" xfId="152" xr:uid="{79047EF6-23EF-4DB0-9FA9-C86D0EF970B2}"/>
    <cellStyle name="Normal 2 3 3" xfId="105" xr:uid="{6A59C924-1C9A-4F13-89D0-C18317BE283F}"/>
    <cellStyle name="Normal 2 4" xfId="85" xr:uid="{7328B294-784A-4ECC-8354-3E401B0FB141}"/>
    <cellStyle name="Normal 2 4 2" xfId="107" xr:uid="{5EB761D9-C8FD-4412-9A44-47F7553ADC5A}"/>
    <cellStyle name="Normal 2 4 3" xfId="153" xr:uid="{7BA9E23E-31BF-4A90-8202-736EB8318C82}"/>
    <cellStyle name="Normal 2 5" xfId="98" xr:uid="{A427C0EB-B862-4C99-B765-B4A2B1BE096D}"/>
    <cellStyle name="Normal 2 6" xfId="108" xr:uid="{0320E4F2-B7F4-47EB-AD6C-8432EDAE4385}"/>
    <cellStyle name="Normal 2 7" xfId="54" xr:uid="{F6B388EA-DE51-427C-B20E-1028965B0874}"/>
    <cellStyle name="Normal 3" xfId="55" xr:uid="{E161BBA7-E984-4E2F-A040-F072E17E5875}"/>
    <cellStyle name="Normal 3 2" xfId="86" xr:uid="{7F8242FD-7A67-4CAA-A94A-F148859CDB8F}"/>
    <cellStyle name="Normal 3 2 2" xfId="102" xr:uid="{A9257FBB-76D4-4F21-9F62-0A01BDAAC50E}"/>
    <cellStyle name="Normal 3 3" xfId="93" xr:uid="{B996C2A4-7ECA-46F3-BC6E-59173067821B}"/>
    <cellStyle name="Normal 3 4" xfId="154" xr:uid="{B6CF04D8-B6D1-48F9-9736-14831275B97E}"/>
    <cellStyle name="Normal 4" xfId="79" xr:uid="{23BE8FF4-29DB-495B-AF9F-A4D0482A6B14}"/>
    <cellStyle name="Normal 4 2" xfId="94" xr:uid="{928BBAE0-51E7-403D-A699-B1E4D0A5E112}"/>
    <cellStyle name="Normal 4 3" xfId="106" xr:uid="{D430E3C2-FC09-46BF-82C3-EDE8A9750D63}"/>
    <cellStyle name="Normal 5" xfId="82" xr:uid="{C043620D-1A36-4B18-873B-1AD89B8FB518}"/>
    <cellStyle name="Note 2" xfId="56" xr:uid="{F39A468E-A607-4E8E-B288-B660F3980937}"/>
    <cellStyle name="Note 2 2" xfId="80" xr:uid="{E2573843-33D9-4A4B-98F8-5E6536696191}"/>
    <cellStyle name="Output 2" xfId="57" xr:uid="{81B9FCAC-BF28-4AB6-80A2-A8519FC999D8}"/>
    <cellStyle name="Percent" xfId="3" builtinId="5"/>
    <cellStyle name="Percent 2" xfId="58" xr:uid="{6A86FDCB-73AD-4501-BF5D-9DAA9294B037}"/>
    <cellStyle name="Percent 2 2" xfId="59" xr:uid="{5F736578-4A6A-450B-B081-33E2E0656EBF}"/>
    <cellStyle name="Percent 2 2 2" xfId="103" xr:uid="{41560FC8-2596-4755-B5A9-F46E35FC19B8}"/>
    <cellStyle name="Percent 2 3" xfId="81" xr:uid="{60DD4054-4FC0-4EB4-A068-2F4651B58EB1}"/>
    <cellStyle name="Percent 3" xfId="60" xr:uid="{C96569E1-3671-412E-B1D4-73390E252C2B}"/>
    <cellStyle name="Percent 3 2" xfId="61" xr:uid="{0CF7D8A3-DE84-413E-816A-AEEEA1A9A597}"/>
    <cellStyle name="Percent 3 2 2" xfId="68" xr:uid="{78874194-1F83-4C71-BDA5-9F141F4825B5}"/>
    <cellStyle name="Percent 4" xfId="62" xr:uid="{70C9C536-4933-471F-B9E8-534188857C18}"/>
    <cellStyle name="Percent 4 2" xfId="104" xr:uid="{3FF299B9-8E10-4052-BB7A-6B480C336D73}"/>
    <cellStyle name="Percent 5" xfId="70" xr:uid="{075E5C1D-2023-42E1-A3BE-8818D1C80ABD}"/>
    <cellStyle name="Percent 5 2" xfId="73" xr:uid="{D2D28FE5-7E14-422D-A5F3-6388E4768D3F}"/>
    <cellStyle name="Percent 5 3" xfId="155" xr:uid="{AE0DF695-E75E-48A4-A5B5-85E2B72FE9C0}"/>
    <cellStyle name="Percent 6" xfId="84" xr:uid="{52124B4C-BA62-4C83-B7EB-5F9B38AE1DDB}"/>
    <cellStyle name="Percent 7" xfId="156" xr:uid="{929659BF-C788-4F42-AC14-9C9583A1B943}"/>
    <cellStyle name="SAPBEXaggData" xfId="95" xr:uid="{6321C75C-99BF-466D-9A2C-6DDF3515E326}"/>
    <cellStyle name="SAPBEXaggDataEmph" xfId="109" xr:uid="{61EAABC2-1A56-4744-B172-C3211E60C01A}"/>
    <cellStyle name="SAPBEXaggItem" xfId="110" xr:uid="{3A725F50-14D3-449E-8007-D069813AE090}"/>
    <cellStyle name="SAPBEXaggItemX" xfId="111" xr:uid="{0C7C25CF-480E-429C-A94E-2A8497D37E88}"/>
    <cellStyle name="SAPBEXchaText" xfId="112" xr:uid="{1840FDED-1DD8-4797-999E-60293C60C742}"/>
    <cellStyle name="SAPBEXexcBad7" xfId="113" xr:uid="{98EDB3E1-C5E1-45FA-A194-B636931064E9}"/>
    <cellStyle name="SAPBEXexcBad8" xfId="114" xr:uid="{C1652B1E-F99D-4A69-BBAA-F9B2996B1550}"/>
    <cellStyle name="SAPBEXexcBad9" xfId="115" xr:uid="{06B2FAC8-C453-4A0D-8F38-F9CBE11B8191}"/>
    <cellStyle name="SAPBEXexcCritical4" xfId="116" xr:uid="{5118B6C9-CD45-4996-BD04-E345215851EB}"/>
    <cellStyle name="SAPBEXexcCritical5" xfId="117" xr:uid="{450F581F-CC32-4DD8-BF57-B3F0435ECF95}"/>
    <cellStyle name="SAPBEXexcCritical6" xfId="118" xr:uid="{C2524F7C-C743-4675-ACF0-92395D468528}"/>
    <cellStyle name="SAPBEXexcGood1" xfId="119" xr:uid="{28143273-5087-413E-9CFC-4A7A5AF9739C}"/>
    <cellStyle name="SAPBEXexcGood2" xfId="120" xr:uid="{0EF26311-A100-40EF-8E53-8A0A6E02AB80}"/>
    <cellStyle name="SAPBEXexcGood3" xfId="121" xr:uid="{010EB260-24CE-4BB3-B947-2758D29C7C96}"/>
    <cellStyle name="SAPBEXfilterDrill" xfId="122" xr:uid="{9F13C717-26A4-4833-BBF6-29382C83D395}"/>
    <cellStyle name="SAPBEXfilterItem" xfId="123" xr:uid="{851E434C-0D2B-4DF8-8A76-632BDEFA974D}"/>
    <cellStyle name="SAPBEXfilterText" xfId="124" xr:uid="{C86C92BB-C87D-4F6D-A31E-D49854983557}"/>
    <cellStyle name="SAPBEXformats" xfId="125" xr:uid="{E5492B4F-4D9C-4427-9701-75F6CEBA553C}"/>
    <cellStyle name="SAPBEXheaderItem" xfId="126" xr:uid="{87BA1B66-AADD-462B-9092-18F496695135}"/>
    <cellStyle name="SAPBEXheaderItem 2" xfId="158" xr:uid="{F63AA90E-6C09-4893-BEAB-21CFDE8F1994}"/>
    <cellStyle name="SAPBEXheaderText" xfId="127" xr:uid="{0BF4E643-8CD3-4903-B2D2-7A98A0287EB3}"/>
    <cellStyle name="SAPBEXheaderText 2" xfId="159" xr:uid="{E5566F74-2FA3-48B1-BC8C-52460E26DBF5}"/>
    <cellStyle name="SAPBEXHLevel0" xfId="128" xr:uid="{F8C0FCD1-7E20-43DE-ADB0-813EAF3D3E95}"/>
    <cellStyle name="SAPBEXHLevel0X" xfId="129" xr:uid="{66E09759-B33C-4E41-87CC-56D950DC8B6A}"/>
    <cellStyle name="SAPBEXHLevel1" xfId="130" xr:uid="{5C8E4973-94B2-42C9-9DCF-10450AADD011}"/>
    <cellStyle name="SAPBEXHLevel1X" xfId="131" xr:uid="{DA04F94A-2FC6-4C02-B10E-0B2A15CDF999}"/>
    <cellStyle name="SAPBEXHLevel2" xfId="132" xr:uid="{B82ED15B-B77C-4C47-8A49-55046F134438}"/>
    <cellStyle name="SAPBEXHLevel2X" xfId="133" xr:uid="{45DD58F7-9A3A-4CD7-A0E4-A33DEEF3276A}"/>
    <cellStyle name="SAPBEXHLevel3" xfId="134" xr:uid="{D202585F-D82F-4B87-B177-D1D7C1D53FA7}"/>
    <cellStyle name="SAPBEXHLevel3X" xfId="135" xr:uid="{AF32B8D1-3C53-4605-B2B9-0602895EB08C}"/>
    <cellStyle name="SAPBEXresData" xfId="136" xr:uid="{EE207E98-0FF1-4CD9-A0FC-232C266F922D}"/>
    <cellStyle name="SAPBEXresDataEmph" xfId="137" xr:uid="{E365EBFC-3458-4DEE-A6B1-C5432D24843C}"/>
    <cellStyle name="SAPBEXresItem" xfId="138" xr:uid="{637CA86B-F8A3-4C6A-B6EE-37229F34381F}"/>
    <cellStyle name="SAPBEXresItemX" xfId="139" xr:uid="{ECA9F9B3-4298-4A32-AD4D-8F27C8B77207}"/>
    <cellStyle name="SAPBEXstdData" xfId="140" xr:uid="{6B54E01D-44D5-483B-B62F-3A619600EEC9}"/>
    <cellStyle name="SAPBEXstdDataEmph" xfId="141" xr:uid="{34414970-2DB8-405F-8AD4-B7A3F4154487}"/>
    <cellStyle name="SAPBEXstdItem" xfId="142" xr:uid="{9B2785BC-43FF-4547-8A41-5105E6397313}"/>
    <cellStyle name="SAPBEXstdItemX" xfId="143" xr:uid="{63829B87-14C0-4AB8-A283-BBD8ED7FA097}"/>
    <cellStyle name="SAPBEXtitle" xfId="144" xr:uid="{0172EDF6-068F-42C6-9174-F883661E9C82}"/>
    <cellStyle name="SAPBEXundefined" xfId="145" xr:uid="{6C9BEE8F-F14A-4665-A18C-4FE03F46C6E1}"/>
    <cellStyle name="Title 2" xfId="63" xr:uid="{84AB0F79-D9DA-47AF-90B6-23511B2AF7E3}"/>
    <cellStyle name="Total 2" xfId="65" xr:uid="{6A354CDF-6DF1-4E0B-99A6-68ED56A7FAE4}"/>
    <cellStyle name="Total 3" xfId="96" xr:uid="{0F88AB6C-C374-4410-ACFD-B4B1158D2FDC}"/>
    <cellStyle name="Total 4" xfId="64" xr:uid="{4A92A492-182B-4219-B460-CF580BD02879}"/>
    <cellStyle name="Warning Text 2" xfId="66" xr:uid="{0096672C-3158-4724-95CF-1AF6B0EF9CA7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84243CE-1AE8-456E-9785-51E0F800EF0D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308"/>
  <sheetViews>
    <sheetView tabSelected="1" zoomScaleNormal="100" workbookViewId="0"/>
  </sheetViews>
  <sheetFormatPr defaultColWidth="9.1328125" defaultRowHeight="13" x14ac:dyDescent="0.6"/>
  <cols>
    <col min="1" max="1" width="16.40625" style="26" bestFit="1" customWidth="1"/>
    <col min="2" max="2" width="42.26953125" style="5" customWidth="1"/>
    <col min="3" max="3" width="14.26953125" style="5" customWidth="1"/>
    <col min="4" max="4" width="16.40625" style="5" customWidth="1"/>
    <col min="5" max="5" width="14.86328125" style="5" customWidth="1"/>
    <col min="6" max="6" width="12.54296875" style="5" customWidth="1"/>
    <col min="7" max="7" width="12.86328125" style="5" customWidth="1"/>
    <col min="8" max="8" width="13.7265625" style="5" customWidth="1"/>
    <col min="9" max="9" width="17.40625" style="5" customWidth="1"/>
    <col min="10" max="10" width="15.86328125" style="5" customWidth="1"/>
    <col min="11" max="11" width="10.7265625" style="5" customWidth="1"/>
    <col min="12" max="12" width="10.7265625" style="5" bestFit="1" customWidth="1"/>
    <col min="13" max="13" width="14.7265625" style="5" customWidth="1"/>
    <col min="14" max="14" width="14.40625" style="5" bestFit="1" customWidth="1"/>
    <col min="15" max="15" width="12.54296875" style="5" bestFit="1" customWidth="1"/>
    <col min="16" max="16" width="27.54296875" style="5" customWidth="1"/>
    <col min="17" max="17" width="23.86328125" style="5" bestFit="1" customWidth="1"/>
    <col min="18" max="18" width="18.40625" style="5" bestFit="1" customWidth="1"/>
    <col min="19" max="19" width="25" style="5" bestFit="1" customWidth="1"/>
    <col min="20" max="20" width="25.26953125" style="5" bestFit="1" customWidth="1"/>
    <col min="21" max="21" width="10.1328125" style="5" bestFit="1" customWidth="1"/>
    <col min="22" max="22" width="9.1328125" style="5"/>
    <col min="23" max="23" width="10.1328125" style="5" bestFit="1" customWidth="1"/>
    <col min="24" max="24" width="10.26953125" style="5" customWidth="1"/>
    <col min="25" max="25" width="11.86328125" style="5" customWidth="1"/>
    <col min="26" max="27" width="9.1328125" style="5"/>
    <col min="28" max="28" width="14.1328125" style="5" customWidth="1"/>
    <col min="29" max="16384" width="9.1328125" style="5"/>
  </cols>
  <sheetData>
    <row r="2" spans="1:22" ht="15.5" x14ac:dyDescent="0.7">
      <c r="B2" s="81"/>
    </row>
    <row r="3" spans="1:22" x14ac:dyDescent="0.6">
      <c r="A3" s="82"/>
    </row>
    <row r="4" spans="1:22" x14ac:dyDescent="0.6">
      <c r="F4" s="32"/>
    </row>
    <row r="5" spans="1:22" x14ac:dyDescent="0.6">
      <c r="A5" s="31" t="s">
        <v>0</v>
      </c>
      <c r="B5" s="83" t="s">
        <v>1</v>
      </c>
      <c r="C5" s="84"/>
      <c r="D5" s="84"/>
      <c r="F5" s="4" t="s">
        <v>2</v>
      </c>
      <c r="N5" s="83"/>
      <c r="O5" s="83" t="s">
        <v>3</v>
      </c>
      <c r="P5" s="83"/>
      <c r="Q5" s="12"/>
      <c r="R5" s="12"/>
      <c r="S5" s="12"/>
      <c r="T5" s="12"/>
      <c r="U5" s="12"/>
      <c r="V5" s="12"/>
    </row>
    <row r="6" spans="1:22" x14ac:dyDescent="0.6">
      <c r="A6" s="31"/>
      <c r="B6" s="85" t="s">
        <v>4</v>
      </c>
      <c r="C6" s="84"/>
      <c r="D6" s="84"/>
      <c r="F6" s="4"/>
      <c r="N6" s="83"/>
      <c r="O6" s="83"/>
      <c r="P6" s="83"/>
      <c r="Q6" s="12"/>
      <c r="R6" s="12"/>
      <c r="S6" s="12"/>
      <c r="T6" s="12"/>
      <c r="U6" s="12"/>
      <c r="V6" s="12"/>
    </row>
    <row r="7" spans="1:22" x14ac:dyDescent="0.6">
      <c r="A7" s="32"/>
      <c r="C7" s="49" t="s">
        <v>5</v>
      </c>
      <c r="D7" s="49" t="s">
        <v>119</v>
      </c>
      <c r="E7" s="49" t="s">
        <v>6</v>
      </c>
      <c r="F7" s="49" t="s">
        <v>7</v>
      </c>
      <c r="G7" s="49" t="s">
        <v>8</v>
      </c>
      <c r="H7" s="49" t="s">
        <v>9</v>
      </c>
      <c r="I7" s="49" t="s">
        <v>10</v>
      </c>
      <c r="J7" s="49" t="s">
        <v>11</v>
      </c>
      <c r="L7" s="27"/>
      <c r="N7" s="86"/>
      <c r="O7" s="27" t="s">
        <v>5</v>
      </c>
      <c r="P7" s="27" t="s">
        <v>119</v>
      </c>
      <c r="Q7" s="27" t="s">
        <v>6</v>
      </c>
      <c r="R7" s="27" t="s">
        <v>7</v>
      </c>
      <c r="S7" s="27" t="s">
        <v>8</v>
      </c>
      <c r="T7" s="27" t="s">
        <v>9</v>
      </c>
      <c r="U7" s="27" t="s">
        <v>10</v>
      </c>
      <c r="V7" s="27" t="s">
        <v>11</v>
      </c>
    </row>
    <row r="8" spans="1:22" x14ac:dyDescent="0.6">
      <c r="A8" s="32"/>
      <c r="O8" s="12"/>
      <c r="P8" s="12"/>
      <c r="Q8" s="12"/>
      <c r="R8" s="12"/>
      <c r="S8" s="12"/>
      <c r="T8" s="12"/>
      <c r="U8" s="12"/>
      <c r="V8" s="12"/>
    </row>
    <row r="9" spans="1:22" x14ac:dyDescent="0.6">
      <c r="A9" s="32"/>
      <c r="B9" s="33" t="s">
        <v>12</v>
      </c>
      <c r="C9" s="74">
        <v>0.43428283263609474</v>
      </c>
      <c r="D9" s="74">
        <v>0.43253575511891829</v>
      </c>
      <c r="E9" s="74">
        <v>0.53441468908036383</v>
      </c>
      <c r="F9" s="74">
        <v>0.46879369850970842</v>
      </c>
      <c r="G9" s="74">
        <v>0.52489015299253927</v>
      </c>
      <c r="H9" s="74">
        <v>0.47126316323323247</v>
      </c>
      <c r="I9" s="74">
        <v>0.30941970807405983</v>
      </c>
      <c r="J9" s="74">
        <v>0.45718494768710533</v>
      </c>
      <c r="L9" s="87"/>
      <c r="N9" s="87"/>
      <c r="O9" s="88">
        <f t="shared" ref="O9:O20" si="0">1-C9</f>
        <v>0.5657171673639052</v>
      </c>
      <c r="P9" s="88">
        <f t="shared" ref="P9:P20" si="1">1-D9</f>
        <v>0.56746424488108171</v>
      </c>
      <c r="Q9" s="88">
        <f t="shared" ref="Q9:Q20" si="2">1-E9</f>
        <v>0.46558531091963617</v>
      </c>
      <c r="R9" s="88">
        <f t="shared" ref="R9:R20" si="3">1-F9</f>
        <v>0.53120630149029158</v>
      </c>
      <c r="S9" s="88">
        <f t="shared" ref="S9:S20" si="4">1-G9</f>
        <v>0.47510984700746073</v>
      </c>
      <c r="T9" s="88">
        <f t="shared" ref="T9:T20" si="5">1-H9</f>
        <v>0.52873683676676753</v>
      </c>
      <c r="U9" s="88">
        <f>1-I9</f>
        <v>0.69058029192594017</v>
      </c>
      <c r="V9" s="88">
        <f t="shared" ref="V9:V20" si="6">1-J9</f>
        <v>0.54281505231289473</v>
      </c>
    </row>
    <row r="10" spans="1:22" x14ac:dyDescent="0.6">
      <c r="A10" s="32"/>
      <c r="B10" s="33" t="s">
        <v>13</v>
      </c>
      <c r="C10" s="74">
        <v>0.45626189923868782</v>
      </c>
      <c r="D10" s="74">
        <v>0.4580607326340877</v>
      </c>
      <c r="E10" s="74">
        <v>0.54874433438655079</v>
      </c>
      <c r="F10" s="74">
        <v>0.4956735235878838</v>
      </c>
      <c r="G10" s="74">
        <v>0.52967059651493331</v>
      </c>
      <c r="H10" s="74">
        <v>0.48795156300589498</v>
      </c>
      <c r="I10" s="74">
        <v>0.29866575729021155</v>
      </c>
      <c r="J10" s="74">
        <v>0.47413437227231658</v>
      </c>
      <c r="L10" s="87"/>
      <c r="N10" s="87"/>
      <c r="O10" s="88">
        <f t="shared" si="0"/>
        <v>0.54373810076131224</v>
      </c>
      <c r="P10" s="88">
        <f t="shared" si="1"/>
        <v>0.54193926736591225</v>
      </c>
      <c r="Q10" s="88">
        <f t="shared" si="2"/>
        <v>0.45125566561344921</v>
      </c>
      <c r="R10" s="88">
        <f t="shared" si="3"/>
        <v>0.50432647641211625</v>
      </c>
      <c r="S10" s="88">
        <f t="shared" si="4"/>
        <v>0.47032940348506669</v>
      </c>
      <c r="T10" s="88">
        <f t="shared" si="5"/>
        <v>0.51204843699410496</v>
      </c>
      <c r="U10" s="88">
        <f t="shared" ref="U10:U20" si="7">1-I10</f>
        <v>0.70133424270978839</v>
      </c>
      <c r="V10" s="88">
        <f t="shared" si="6"/>
        <v>0.52586562772768342</v>
      </c>
    </row>
    <row r="11" spans="1:22" x14ac:dyDescent="0.6">
      <c r="A11" s="32"/>
      <c r="B11" s="33" t="s">
        <v>14</v>
      </c>
      <c r="C11" s="74">
        <v>0.46170338096232005</v>
      </c>
      <c r="D11" s="74">
        <v>0.46260149821888935</v>
      </c>
      <c r="E11" s="74">
        <v>0.55603431860561459</v>
      </c>
      <c r="F11" s="74">
        <v>0.49023683384233713</v>
      </c>
      <c r="G11" s="74">
        <v>0.55436215546217038</v>
      </c>
      <c r="H11" s="74">
        <v>0.49921791733221077</v>
      </c>
      <c r="I11" s="74">
        <v>0.27377872272553572</v>
      </c>
      <c r="J11" s="74">
        <v>0.48517259273155022</v>
      </c>
      <c r="L11" s="87"/>
      <c r="N11" s="87"/>
      <c r="O11" s="88">
        <f t="shared" si="0"/>
        <v>0.53829661903767989</v>
      </c>
      <c r="P11" s="88">
        <f t="shared" si="1"/>
        <v>0.5373985017811107</v>
      </c>
      <c r="Q11" s="88">
        <f t="shared" si="2"/>
        <v>0.44396568139438541</v>
      </c>
      <c r="R11" s="88">
        <f t="shared" si="3"/>
        <v>0.50976316615766293</v>
      </c>
      <c r="S11" s="88">
        <f t="shared" si="4"/>
        <v>0.44563784453782962</v>
      </c>
      <c r="T11" s="88">
        <f t="shared" si="5"/>
        <v>0.50078208266778923</v>
      </c>
      <c r="U11" s="88">
        <f t="shared" si="7"/>
        <v>0.72622127727446428</v>
      </c>
      <c r="V11" s="88">
        <f t="shared" si="6"/>
        <v>0.51482740726844978</v>
      </c>
    </row>
    <row r="12" spans="1:22" x14ac:dyDescent="0.6">
      <c r="A12" s="32"/>
      <c r="B12" s="252" t="s">
        <v>15</v>
      </c>
      <c r="C12" s="74">
        <v>0.45036554834648496</v>
      </c>
      <c r="D12" s="74">
        <v>0.45135661179924341</v>
      </c>
      <c r="E12" s="74">
        <v>0.55460705795858467</v>
      </c>
      <c r="F12" s="74">
        <v>0.45098361623742572</v>
      </c>
      <c r="G12" s="74">
        <v>0.51471162651301872</v>
      </c>
      <c r="H12" s="74">
        <v>0.46144380046821337</v>
      </c>
      <c r="I12" s="74">
        <v>0.21876616049613123</v>
      </c>
      <c r="J12" s="74">
        <v>0.43948055376259948</v>
      </c>
      <c r="L12" s="87"/>
      <c r="N12" s="87"/>
      <c r="O12" s="88">
        <f t="shared" si="0"/>
        <v>0.54963445165351499</v>
      </c>
      <c r="P12" s="88">
        <f t="shared" si="1"/>
        <v>0.54864338820075664</v>
      </c>
      <c r="Q12" s="88">
        <f t="shared" si="2"/>
        <v>0.44539294204141533</v>
      </c>
      <c r="R12" s="88">
        <f t="shared" si="3"/>
        <v>0.54901638376257433</v>
      </c>
      <c r="S12" s="88">
        <f t="shared" si="4"/>
        <v>0.48528837348698128</v>
      </c>
      <c r="T12" s="88">
        <f t="shared" si="5"/>
        <v>0.53855619953178668</v>
      </c>
      <c r="U12" s="88">
        <f t="shared" si="7"/>
        <v>0.78123383950386871</v>
      </c>
      <c r="V12" s="88">
        <f t="shared" si="6"/>
        <v>0.56051944623740058</v>
      </c>
    </row>
    <row r="13" spans="1:22" x14ac:dyDescent="0.6">
      <c r="A13" s="32"/>
      <c r="B13" s="33" t="s">
        <v>16</v>
      </c>
      <c r="C13" s="74">
        <v>0.41956740205311832</v>
      </c>
      <c r="D13" s="74">
        <v>0.42439289077934361</v>
      </c>
      <c r="E13" s="74">
        <v>0.50348145912188735</v>
      </c>
      <c r="F13" s="74">
        <v>0.45080512566990116</v>
      </c>
      <c r="G13" s="74">
        <v>0.50307932565101687</v>
      </c>
      <c r="H13" s="74">
        <v>0.46088948731513224</v>
      </c>
      <c r="I13" s="74">
        <v>0.20258190897764675</v>
      </c>
      <c r="J13" s="74">
        <v>0.44205249666507868</v>
      </c>
      <c r="L13" s="87"/>
      <c r="N13" s="87"/>
      <c r="O13" s="88">
        <f t="shared" si="0"/>
        <v>0.58043259794688162</v>
      </c>
      <c r="P13" s="88">
        <f t="shared" si="1"/>
        <v>0.57560710922065639</v>
      </c>
      <c r="Q13" s="88">
        <f t="shared" si="2"/>
        <v>0.49651854087811265</v>
      </c>
      <c r="R13" s="88">
        <f t="shared" si="3"/>
        <v>0.54919487433009884</v>
      </c>
      <c r="S13" s="88">
        <f t="shared" si="4"/>
        <v>0.49692067434898313</v>
      </c>
      <c r="T13" s="88">
        <f t="shared" si="5"/>
        <v>0.53911051268486776</v>
      </c>
      <c r="U13" s="88">
        <f t="shared" si="7"/>
        <v>0.79741809102235328</v>
      </c>
      <c r="V13" s="88">
        <f t="shared" si="6"/>
        <v>0.55794750333492127</v>
      </c>
    </row>
    <row r="14" spans="1:22" x14ac:dyDescent="0.6">
      <c r="A14" s="32"/>
      <c r="B14" s="33" t="s">
        <v>17</v>
      </c>
      <c r="C14" s="74">
        <v>0.53854749759908549</v>
      </c>
      <c r="D14" s="74">
        <v>0.53686335980445254</v>
      </c>
      <c r="E14" s="74">
        <v>0.63483911014047856</v>
      </c>
      <c r="F14" s="74">
        <v>0.53179160773490153</v>
      </c>
      <c r="G14" s="74">
        <v>0.56076843246313346</v>
      </c>
      <c r="H14" s="74">
        <v>0.49681783844876137</v>
      </c>
      <c r="I14" s="74">
        <v>0.2038748435062854</v>
      </c>
      <c r="J14" s="74">
        <v>0.47234689040614303</v>
      </c>
      <c r="L14" s="87"/>
      <c r="N14" s="87"/>
      <c r="O14" s="88">
        <f t="shared" si="0"/>
        <v>0.46145250240091451</v>
      </c>
      <c r="P14" s="88">
        <f t="shared" si="1"/>
        <v>0.46313664019554746</v>
      </c>
      <c r="Q14" s="88">
        <f t="shared" si="2"/>
        <v>0.36516088985952144</v>
      </c>
      <c r="R14" s="88">
        <f t="shared" si="3"/>
        <v>0.46820839226509847</v>
      </c>
      <c r="S14" s="88">
        <f t="shared" si="4"/>
        <v>0.43923156753686654</v>
      </c>
      <c r="T14" s="88">
        <f t="shared" si="5"/>
        <v>0.50318216155123863</v>
      </c>
      <c r="U14" s="88">
        <f t="shared" si="7"/>
        <v>0.79612515649371463</v>
      </c>
      <c r="V14" s="88">
        <f t="shared" si="6"/>
        <v>0.52765310959385703</v>
      </c>
    </row>
    <row r="15" spans="1:22" x14ac:dyDescent="0.6">
      <c r="A15" s="32"/>
      <c r="B15" s="33" t="s">
        <v>18</v>
      </c>
      <c r="C15" s="74">
        <v>0.48595721354116761</v>
      </c>
      <c r="D15" s="74">
        <v>0.48826551583741368</v>
      </c>
      <c r="E15" s="74">
        <v>0.51467108559188657</v>
      </c>
      <c r="F15" s="74">
        <v>0.49272243033430085</v>
      </c>
      <c r="G15" s="74">
        <v>0.49855404825216115</v>
      </c>
      <c r="H15" s="74">
        <v>0.45268015121714766</v>
      </c>
      <c r="I15" s="74">
        <v>0.1770999705245897</v>
      </c>
      <c r="J15" s="74">
        <v>0.4280914383448155</v>
      </c>
      <c r="L15" s="87"/>
      <c r="N15" s="87"/>
      <c r="O15" s="88">
        <f t="shared" si="0"/>
        <v>0.51404278645883239</v>
      </c>
      <c r="P15" s="88">
        <f t="shared" si="1"/>
        <v>0.51173448416258638</v>
      </c>
      <c r="Q15" s="88">
        <f t="shared" si="2"/>
        <v>0.48532891440811343</v>
      </c>
      <c r="R15" s="88">
        <f t="shared" si="3"/>
        <v>0.50727756966569915</v>
      </c>
      <c r="S15" s="88">
        <f t="shared" si="4"/>
        <v>0.5014459517478389</v>
      </c>
      <c r="T15" s="88">
        <f t="shared" si="5"/>
        <v>0.54731984878285234</v>
      </c>
      <c r="U15" s="88">
        <f t="shared" si="7"/>
        <v>0.8229000294754103</v>
      </c>
      <c r="V15" s="88">
        <f t="shared" si="6"/>
        <v>0.57190856165518444</v>
      </c>
    </row>
    <row r="16" spans="1:22" x14ac:dyDescent="0.6">
      <c r="A16" s="32"/>
      <c r="B16" s="33" t="s">
        <v>19</v>
      </c>
      <c r="C16" s="74">
        <v>0.56403524239174141</v>
      </c>
      <c r="D16" s="74">
        <v>0.56713756652289171</v>
      </c>
      <c r="E16" s="74">
        <v>0.56760792294775242</v>
      </c>
      <c r="F16" s="74">
        <v>0.53598934856539726</v>
      </c>
      <c r="G16" s="74">
        <v>0.55581349329295171</v>
      </c>
      <c r="H16" s="74">
        <v>0.51214986302694543</v>
      </c>
      <c r="I16" s="74">
        <v>0.22003181523824578</v>
      </c>
      <c r="J16" s="74">
        <v>0.49003366627213019</v>
      </c>
      <c r="L16" s="87"/>
      <c r="N16" s="87"/>
      <c r="O16" s="88">
        <f t="shared" si="0"/>
        <v>0.43596475760825859</v>
      </c>
      <c r="P16" s="88">
        <f t="shared" si="1"/>
        <v>0.43286243347710829</v>
      </c>
      <c r="Q16" s="88">
        <f t="shared" si="2"/>
        <v>0.43239207705224758</v>
      </c>
      <c r="R16" s="88">
        <f t="shared" si="3"/>
        <v>0.46401065143460274</v>
      </c>
      <c r="S16" s="88">
        <f t="shared" si="4"/>
        <v>0.44418650670704829</v>
      </c>
      <c r="T16" s="88">
        <f t="shared" si="5"/>
        <v>0.48785013697305457</v>
      </c>
      <c r="U16" s="88">
        <f t="shared" si="7"/>
        <v>0.77996818476175422</v>
      </c>
      <c r="V16" s="88">
        <f t="shared" si="6"/>
        <v>0.50996633372786981</v>
      </c>
    </row>
    <row r="17" spans="1:22" x14ac:dyDescent="0.6">
      <c r="A17" s="32"/>
      <c r="B17" s="33" t="s">
        <v>20</v>
      </c>
      <c r="C17" s="74">
        <v>0.47241073710628062</v>
      </c>
      <c r="D17" s="74">
        <v>0.47509217705942403</v>
      </c>
      <c r="E17" s="74">
        <v>0.5352451222512985</v>
      </c>
      <c r="F17" s="74">
        <v>0.4878055489825085</v>
      </c>
      <c r="G17" s="74">
        <v>0.53529395926982704</v>
      </c>
      <c r="H17" s="74">
        <v>0.48607462098786597</v>
      </c>
      <c r="I17" s="74">
        <v>0.23256074852383168</v>
      </c>
      <c r="J17" s="74">
        <v>0.46474794196882779</v>
      </c>
      <c r="L17" s="87"/>
      <c r="N17" s="87"/>
      <c r="O17" s="88">
        <f t="shared" si="0"/>
        <v>0.52758926289371932</v>
      </c>
      <c r="P17" s="88">
        <f t="shared" si="1"/>
        <v>0.52490782294057592</v>
      </c>
      <c r="Q17" s="88">
        <f t="shared" si="2"/>
        <v>0.4647548777487015</v>
      </c>
      <c r="R17" s="88">
        <f t="shared" si="3"/>
        <v>0.5121944510174915</v>
      </c>
      <c r="S17" s="88">
        <f t="shared" si="4"/>
        <v>0.46470604073017296</v>
      </c>
      <c r="T17" s="88">
        <f t="shared" si="5"/>
        <v>0.51392537901213409</v>
      </c>
      <c r="U17" s="88">
        <f t="shared" si="7"/>
        <v>0.76743925147616832</v>
      </c>
      <c r="V17" s="88">
        <f t="shared" si="6"/>
        <v>0.53525205803117215</v>
      </c>
    </row>
    <row r="18" spans="1:22" x14ac:dyDescent="0.6">
      <c r="A18" s="32"/>
      <c r="B18" s="33" t="s">
        <v>21</v>
      </c>
      <c r="C18" s="74">
        <v>0.45866132710353918</v>
      </c>
      <c r="D18" s="74">
        <v>0.45942220838292847</v>
      </c>
      <c r="E18" s="74">
        <v>0.50669071656118403</v>
      </c>
      <c r="F18" s="74">
        <v>0.47464618990347773</v>
      </c>
      <c r="G18" s="74">
        <v>0.5202246030188391</v>
      </c>
      <c r="H18" s="74">
        <v>0.47380752905880935</v>
      </c>
      <c r="I18" s="74">
        <v>0.25693630213917484</v>
      </c>
      <c r="J18" s="74">
        <v>0.44532467896468575</v>
      </c>
      <c r="L18" s="87"/>
      <c r="N18" s="87"/>
      <c r="O18" s="88">
        <f t="shared" si="0"/>
        <v>0.54133867289646087</v>
      </c>
      <c r="P18" s="88">
        <f>1-D18</f>
        <v>0.54057779161707153</v>
      </c>
      <c r="Q18" s="88">
        <f t="shared" si="2"/>
        <v>0.49330928343881597</v>
      </c>
      <c r="R18" s="88">
        <f t="shared" si="3"/>
        <v>0.52535381009652227</v>
      </c>
      <c r="S18" s="88">
        <f t="shared" si="4"/>
        <v>0.4797753969811609</v>
      </c>
      <c r="T18" s="88">
        <f t="shared" si="5"/>
        <v>0.5261924709411907</v>
      </c>
      <c r="U18" s="88">
        <f t="shared" si="7"/>
        <v>0.74306369786082516</v>
      </c>
      <c r="V18" s="88">
        <f t="shared" si="6"/>
        <v>0.55467532103531425</v>
      </c>
    </row>
    <row r="19" spans="1:22" x14ac:dyDescent="0.6">
      <c r="A19" s="32"/>
      <c r="B19" s="33" t="s">
        <v>22</v>
      </c>
      <c r="C19" s="74">
        <v>0.46586919446670311</v>
      </c>
      <c r="D19" s="74">
        <v>0.46290750077062021</v>
      </c>
      <c r="E19" s="74">
        <v>0.50763236873338857</v>
      </c>
      <c r="F19" s="74">
        <v>0.49960380341412342</v>
      </c>
      <c r="G19" s="74">
        <v>0.52589923905327329</v>
      </c>
      <c r="H19" s="74">
        <v>0.48955470262728951</v>
      </c>
      <c r="I19" s="74">
        <v>0.31033763398788666</v>
      </c>
      <c r="J19" s="74">
        <v>0.46465039719775947</v>
      </c>
      <c r="L19" s="87"/>
      <c r="N19" s="87"/>
      <c r="O19" s="88">
        <f t="shared" si="0"/>
        <v>0.53413080553329695</v>
      </c>
      <c r="P19" s="88">
        <f t="shared" si="1"/>
        <v>0.53709249922937974</v>
      </c>
      <c r="Q19" s="88">
        <f t="shared" si="2"/>
        <v>0.49236763126661143</v>
      </c>
      <c r="R19" s="88">
        <f t="shared" si="3"/>
        <v>0.50039619658587653</v>
      </c>
      <c r="S19" s="88">
        <f t="shared" si="4"/>
        <v>0.47410076094672671</v>
      </c>
      <c r="T19" s="88">
        <f t="shared" si="5"/>
        <v>0.51044529737271049</v>
      </c>
      <c r="U19" s="88">
        <f t="shared" si="7"/>
        <v>0.68966236601211328</v>
      </c>
      <c r="V19" s="88">
        <f t="shared" si="6"/>
        <v>0.53534960280224053</v>
      </c>
    </row>
    <row r="20" spans="1:22" x14ac:dyDescent="0.6">
      <c r="A20" s="32"/>
      <c r="B20" s="33" t="s">
        <v>23</v>
      </c>
      <c r="C20" s="74">
        <v>0.45347601466295351</v>
      </c>
      <c r="D20" s="74">
        <v>0.45587633785482418</v>
      </c>
      <c r="E20" s="74">
        <v>0.49109555270682115</v>
      </c>
      <c r="F20" s="74">
        <v>0.48984389097721293</v>
      </c>
      <c r="G20" s="74">
        <v>0.48830414517166165</v>
      </c>
      <c r="H20" s="74">
        <v>0.47864844687570607</v>
      </c>
      <c r="I20" s="74">
        <v>0.31282425598577357</v>
      </c>
      <c r="J20" s="74">
        <v>0.4569759327309843</v>
      </c>
      <c r="L20" s="87"/>
      <c r="N20" s="87"/>
      <c r="O20" s="88">
        <f t="shared" si="0"/>
        <v>0.54652398533704649</v>
      </c>
      <c r="P20" s="88">
        <f t="shared" si="1"/>
        <v>0.54412366214517582</v>
      </c>
      <c r="Q20" s="88">
        <f t="shared" si="2"/>
        <v>0.50890444729317885</v>
      </c>
      <c r="R20" s="88">
        <f t="shared" si="3"/>
        <v>0.51015610902278707</v>
      </c>
      <c r="S20" s="88">
        <f t="shared" si="4"/>
        <v>0.51169585482833835</v>
      </c>
      <c r="T20" s="88">
        <f t="shared" si="5"/>
        <v>0.52135155312429393</v>
      </c>
      <c r="U20" s="88">
        <f t="shared" si="7"/>
        <v>0.68717574401422643</v>
      </c>
      <c r="V20" s="88">
        <f t="shared" si="6"/>
        <v>0.54302406726901564</v>
      </c>
    </row>
    <row r="21" spans="1:22" x14ac:dyDescent="0.6">
      <c r="A21" s="32"/>
      <c r="J21" s="89"/>
    </row>
    <row r="22" spans="1:22" x14ac:dyDescent="0.6">
      <c r="A22" s="32"/>
    </row>
    <row r="23" spans="1:22" x14ac:dyDescent="0.6">
      <c r="A23" s="31" t="s">
        <v>24</v>
      </c>
      <c r="B23" s="83" t="s">
        <v>120</v>
      </c>
    </row>
    <row r="24" spans="1:22" x14ac:dyDescent="0.6">
      <c r="A24" s="31"/>
      <c r="B24" s="83"/>
    </row>
    <row r="25" spans="1:22" x14ac:dyDescent="0.6">
      <c r="A25" s="32"/>
      <c r="D25" s="49" t="str">
        <f>D7</f>
        <v>RS TOU - BGS</v>
      </c>
      <c r="P25" s="27" t="s">
        <v>119</v>
      </c>
    </row>
    <row r="26" spans="1:22" x14ac:dyDescent="0.6">
      <c r="A26" s="32"/>
      <c r="D26" s="49"/>
      <c r="P26" s="12"/>
    </row>
    <row r="27" spans="1:22" x14ac:dyDescent="0.6">
      <c r="A27" s="32"/>
      <c r="B27" s="33" t="str">
        <f>B9</f>
        <v>January</v>
      </c>
      <c r="D27" s="74">
        <v>0.29006813542645954</v>
      </c>
      <c r="F27" s="74"/>
      <c r="P27" s="88">
        <f>1-D27</f>
        <v>0.70993186457354041</v>
      </c>
    </row>
    <row r="28" spans="1:22" x14ac:dyDescent="0.6">
      <c r="A28" s="32"/>
      <c r="B28" s="33" t="str">
        <f t="shared" ref="B28:B38" si="8">B10</f>
        <v>February</v>
      </c>
      <c r="D28" s="74">
        <v>0.29938760101137624</v>
      </c>
      <c r="F28" s="74"/>
      <c r="P28" s="88">
        <f t="shared" ref="P28:P38" si="9">1-D28</f>
        <v>0.70061239898862371</v>
      </c>
    </row>
    <row r="29" spans="1:22" x14ac:dyDescent="0.6">
      <c r="A29" s="32"/>
      <c r="B29" s="33" t="str">
        <f t="shared" si="8"/>
        <v>March</v>
      </c>
      <c r="D29" s="74">
        <v>0.30901137421461528</v>
      </c>
      <c r="F29" s="74"/>
      <c r="P29" s="88">
        <f t="shared" si="9"/>
        <v>0.69098862578538478</v>
      </c>
    </row>
    <row r="30" spans="1:22" x14ac:dyDescent="0.6">
      <c r="A30" s="32"/>
      <c r="B30" s="33" t="str">
        <f t="shared" si="8"/>
        <v>April</v>
      </c>
      <c r="D30" s="74">
        <v>0.30055620582100989</v>
      </c>
      <c r="F30" s="74"/>
      <c r="P30" s="88">
        <f t="shared" si="9"/>
        <v>0.69944379417899016</v>
      </c>
    </row>
    <row r="31" spans="1:22" x14ac:dyDescent="0.6">
      <c r="A31" s="32"/>
      <c r="B31" s="33" t="str">
        <f t="shared" si="8"/>
        <v>May</v>
      </c>
      <c r="D31" s="74">
        <v>0.29728316607444966</v>
      </c>
      <c r="F31" s="74"/>
      <c r="P31" s="88">
        <f t="shared" si="9"/>
        <v>0.70271683392555029</v>
      </c>
    </row>
    <row r="32" spans="1:22" x14ac:dyDescent="0.6">
      <c r="A32" s="32"/>
      <c r="B32" s="33" t="str">
        <f t="shared" si="8"/>
        <v>June</v>
      </c>
      <c r="D32" s="74">
        <v>0.38971939951921009</v>
      </c>
      <c r="F32" s="74"/>
      <c r="P32" s="88">
        <f t="shared" si="9"/>
        <v>0.61028060048078991</v>
      </c>
    </row>
    <row r="33" spans="1:25" x14ac:dyDescent="0.6">
      <c r="A33" s="32"/>
      <c r="B33" s="33" t="str">
        <f t="shared" si="8"/>
        <v>July</v>
      </c>
      <c r="D33" s="74">
        <v>0.37362628961900507</v>
      </c>
      <c r="F33" s="74"/>
      <c r="P33" s="88">
        <f t="shared" si="9"/>
        <v>0.62637371038099499</v>
      </c>
    </row>
    <row r="34" spans="1:25" x14ac:dyDescent="0.6">
      <c r="A34" s="32"/>
      <c r="B34" s="33" t="str">
        <f t="shared" si="8"/>
        <v>August</v>
      </c>
      <c r="D34" s="74">
        <v>0.43525549969070998</v>
      </c>
      <c r="F34" s="74"/>
      <c r="P34" s="88">
        <f t="shared" si="9"/>
        <v>0.56474450030929002</v>
      </c>
    </row>
    <row r="35" spans="1:25" x14ac:dyDescent="0.6">
      <c r="A35" s="32"/>
      <c r="B35" s="33" t="str">
        <f t="shared" si="8"/>
        <v>September</v>
      </c>
      <c r="D35" s="74">
        <v>0.3514292870432752</v>
      </c>
      <c r="F35" s="74"/>
      <c r="P35" s="88">
        <f t="shared" si="9"/>
        <v>0.64857071295672486</v>
      </c>
    </row>
    <row r="36" spans="1:25" x14ac:dyDescent="0.6">
      <c r="A36" s="32"/>
      <c r="B36" s="33" t="str">
        <f t="shared" si="8"/>
        <v>October</v>
      </c>
      <c r="D36" s="74">
        <v>0.31875639852635496</v>
      </c>
      <c r="F36" s="74"/>
      <c r="P36" s="88">
        <f t="shared" si="9"/>
        <v>0.68124360147364504</v>
      </c>
    </row>
    <row r="37" spans="1:25" x14ac:dyDescent="0.6">
      <c r="A37" s="32"/>
      <c r="B37" s="33" t="str">
        <f t="shared" si="8"/>
        <v>November</v>
      </c>
      <c r="D37" s="74">
        <v>0.30732233816150284</v>
      </c>
      <c r="F37" s="74"/>
      <c r="P37" s="88">
        <f t="shared" si="9"/>
        <v>0.69267766183849711</v>
      </c>
    </row>
    <row r="38" spans="1:25" x14ac:dyDescent="0.6">
      <c r="A38" s="32"/>
      <c r="B38" s="33" t="str">
        <f t="shared" si="8"/>
        <v>December</v>
      </c>
      <c r="D38" s="74">
        <v>0.32226402580091795</v>
      </c>
      <c r="F38" s="74"/>
      <c r="P38" s="88">
        <f t="shared" si="9"/>
        <v>0.67773597419908205</v>
      </c>
    </row>
    <row r="39" spans="1:25" x14ac:dyDescent="0.6">
      <c r="A39" s="32"/>
    </row>
    <row r="40" spans="1:25" x14ac:dyDescent="0.6">
      <c r="A40" s="32"/>
    </row>
    <row r="41" spans="1:25" x14ac:dyDescent="0.6">
      <c r="A41" s="31" t="s">
        <v>32</v>
      </c>
      <c r="B41" s="90" t="s">
        <v>25</v>
      </c>
      <c r="O41" s="3" t="s">
        <v>26</v>
      </c>
      <c r="P41" s="3"/>
    </row>
    <row r="42" spans="1:25" x14ac:dyDescent="0.6">
      <c r="A42" s="32"/>
      <c r="B42" s="110" t="s">
        <v>27</v>
      </c>
    </row>
    <row r="43" spans="1:25" x14ac:dyDescent="0.6">
      <c r="A43" s="32"/>
      <c r="B43" s="4" t="s">
        <v>28</v>
      </c>
      <c r="C43" s="49" t="s">
        <v>5</v>
      </c>
      <c r="D43" s="49" t="str">
        <f>D7</f>
        <v>RS TOU - BGS</v>
      </c>
      <c r="E43" s="49" t="s">
        <v>6</v>
      </c>
      <c r="F43" s="49" t="s">
        <v>7</v>
      </c>
      <c r="G43" s="49" t="s">
        <v>8</v>
      </c>
      <c r="H43" s="49" t="s">
        <v>9</v>
      </c>
      <c r="I43" s="49" t="s">
        <v>10</v>
      </c>
      <c r="J43" s="49" t="s">
        <v>11</v>
      </c>
      <c r="K43" s="49" t="s">
        <v>29</v>
      </c>
      <c r="L43" s="27"/>
      <c r="O43" s="27" t="s">
        <v>5</v>
      </c>
      <c r="P43" s="27" t="s">
        <v>119</v>
      </c>
      <c r="Q43" s="27" t="s">
        <v>6</v>
      </c>
      <c r="R43" s="27" t="s">
        <v>7</v>
      </c>
      <c r="S43" s="27" t="s">
        <v>8</v>
      </c>
      <c r="T43" s="27" t="s">
        <v>9</v>
      </c>
      <c r="U43" s="27" t="s">
        <v>10</v>
      </c>
      <c r="V43" s="27" t="s">
        <v>11</v>
      </c>
      <c r="X43" s="27"/>
      <c r="Y43" s="27"/>
    </row>
    <row r="44" spans="1:25" x14ac:dyDescent="0.6">
      <c r="A44" s="32"/>
    </row>
    <row r="45" spans="1:25" x14ac:dyDescent="0.6">
      <c r="A45" s="32"/>
      <c r="B45" s="33">
        <v>45658</v>
      </c>
      <c r="C45" s="44">
        <v>352933.0521523612</v>
      </c>
      <c r="D45" s="44">
        <v>191.29459786962306</v>
      </c>
      <c r="E45" s="44">
        <v>77661.360771308566</v>
      </c>
      <c r="F45" s="44">
        <v>5713.0110471220778</v>
      </c>
      <c r="G45" s="44">
        <v>65497.895640039911</v>
      </c>
      <c r="H45" s="44">
        <v>6429.3238234210976</v>
      </c>
      <c r="I45" s="44">
        <v>5768.8941185532567</v>
      </c>
      <c r="J45" s="44">
        <v>916.53835463141422</v>
      </c>
      <c r="K45" s="44">
        <f>SUM(C45:J45)</f>
        <v>515111.37050530716</v>
      </c>
      <c r="L45" s="44"/>
      <c r="N45" s="26" t="s">
        <v>30</v>
      </c>
      <c r="O45" s="37">
        <f>SUM(C45:C49,C54:C56)</f>
        <v>2133131.1238208311</v>
      </c>
      <c r="P45" s="37">
        <f>SUM(D45:D49,D54:D56)</f>
        <v>1156.1865856596653</v>
      </c>
      <c r="Q45" s="37">
        <f t="shared" ref="Q45:S45" si="10">SUM(E45:E49,E54:E56)</f>
        <v>601405.91544853465</v>
      </c>
      <c r="R45" s="37">
        <f t="shared" si="10"/>
        <v>44176.380946986559</v>
      </c>
      <c r="S45" s="37">
        <f t="shared" si="10"/>
        <v>507789.49586822139</v>
      </c>
      <c r="T45" s="37">
        <f>SUM(H45:H49,H54:H56)</f>
        <v>43492.515896343488</v>
      </c>
      <c r="U45" s="37">
        <f>SUM(I45:I49,I54:I56)</f>
        <v>37612.201369622511</v>
      </c>
      <c r="V45" s="37">
        <f>SUM(J45:J49,J54:J56)</f>
        <v>6950.9665183974303</v>
      </c>
      <c r="W45" s="37">
        <f>SUM(O45:V45)</f>
        <v>3375714.786454597</v>
      </c>
      <c r="X45" s="111"/>
      <c r="Y45" s="111"/>
    </row>
    <row r="46" spans="1:25" x14ac:dyDescent="0.6">
      <c r="A46" s="32"/>
      <c r="B46" s="33">
        <v>45689</v>
      </c>
      <c r="C46" s="44">
        <v>318506.5327116077</v>
      </c>
      <c r="D46" s="44">
        <v>172.63494796631312</v>
      </c>
      <c r="E46" s="44">
        <v>76003.381265598786</v>
      </c>
      <c r="F46" s="44">
        <v>5436.4168064396026</v>
      </c>
      <c r="G46" s="44">
        <v>64480.649625209255</v>
      </c>
      <c r="H46" s="44">
        <v>5977.2146178300536</v>
      </c>
      <c r="I46" s="44">
        <v>4802.8304321868991</v>
      </c>
      <c r="J46" s="44">
        <v>878.77588962096888</v>
      </c>
      <c r="K46" s="44">
        <f t="shared" ref="K46:K56" si="11">SUM(C46:J46)</f>
        <v>476258.43629645952</v>
      </c>
      <c r="L46" s="44"/>
      <c r="N46" s="5" t="s">
        <v>117</v>
      </c>
      <c r="P46" s="37">
        <f>SUMPRODUCT($D$45:$D$49,$D$9:$D$13)+SUMPRODUCT($D$54:$D$56,$D$18:$D$20)</f>
        <v>521.3981339219373</v>
      </c>
      <c r="W46" s="37"/>
      <c r="X46" s="111"/>
      <c r="Y46" s="111"/>
    </row>
    <row r="47" spans="1:25" x14ac:dyDescent="0.6">
      <c r="A47" s="32"/>
      <c r="B47" s="33">
        <v>45717</v>
      </c>
      <c r="C47" s="44">
        <v>277230.39694773208</v>
      </c>
      <c r="D47" s="44">
        <v>150.26271123640231</v>
      </c>
      <c r="E47" s="44">
        <v>74407.167562052418</v>
      </c>
      <c r="F47" s="44">
        <v>5210.8995713015647</v>
      </c>
      <c r="G47" s="44">
        <v>65679.159608118061</v>
      </c>
      <c r="H47" s="44">
        <v>5453.0841931095429</v>
      </c>
      <c r="I47" s="44">
        <v>4685.3256317430696</v>
      </c>
      <c r="J47" s="44">
        <v>852.87621986282898</v>
      </c>
      <c r="K47" s="44">
        <f t="shared" si="11"/>
        <v>433669.17244515603</v>
      </c>
      <c r="L47" s="44"/>
      <c r="N47" s="5" t="s">
        <v>118</v>
      </c>
      <c r="P47" s="37">
        <f>SUMPRODUCT($D$45:$D$49,$P$9:$P$13)+SUMPRODUCT($D$54:$D$56,$P$18:$P$20)</f>
        <v>634.78845173772788</v>
      </c>
      <c r="X47" s="111"/>
      <c r="Y47" s="111"/>
    </row>
    <row r="48" spans="1:25" x14ac:dyDescent="0.6">
      <c r="A48" s="32"/>
      <c r="B48" s="33">
        <v>45748</v>
      </c>
      <c r="C48" s="44">
        <v>239546.34213540389</v>
      </c>
      <c r="D48" s="44">
        <v>129.83743208655062</v>
      </c>
      <c r="E48" s="44">
        <v>73653.770402994895</v>
      </c>
      <c r="F48" s="44">
        <v>5410.8642244910416</v>
      </c>
      <c r="G48" s="44">
        <v>60895.847164094077</v>
      </c>
      <c r="H48" s="44">
        <v>5862.3859758175022</v>
      </c>
      <c r="I48" s="44">
        <v>4150.0630782376838</v>
      </c>
      <c r="J48" s="44">
        <v>839.02300343567424</v>
      </c>
      <c r="K48" s="44">
        <f t="shared" si="11"/>
        <v>390488.13341656141</v>
      </c>
      <c r="L48" s="44"/>
      <c r="N48" s="26" t="s">
        <v>31</v>
      </c>
      <c r="O48" s="37">
        <f>+SUM(C50:C53)</f>
        <v>1645820.169966924</v>
      </c>
      <c r="P48" s="37">
        <f>+SUM(D50:D53)</f>
        <v>892.05730565473505</v>
      </c>
      <c r="Q48" s="37">
        <f t="shared" ref="Q48:S48" si="12">+SUM(E50:E53)</f>
        <v>380630.53120994981</v>
      </c>
      <c r="R48" s="37">
        <f t="shared" si="12"/>
        <v>27869.477880793762</v>
      </c>
      <c r="S48" s="37">
        <f t="shared" si="12"/>
        <v>322159.9552135758</v>
      </c>
      <c r="T48" s="37">
        <f>+SUM(H50:H53)</f>
        <v>21873.042360808358</v>
      </c>
      <c r="U48" s="37">
        <f>+SUM(I50:I53)</f>
        <v>15751.802573006746</v>
      </c>
      <c r="V48" s="37">
        <f>+SUM(J50:J53)</f>
        <v>4228.2047499862283</v>
      </c>
      <c r="W48" s="37">
        <f>SUM(O48:V48)</f>
        <v>2419225.241260699</v>
      </c>
      <c r="X48" s="111"/>
      <c r="Y48" s="111"/>
    </row>
    <row r="49" spans="1:25" x14ac:dyDescent="0.6">
      <c r="A49" s="32"/>
      <c r="B49" s="33">
        <v>45778</v>
      </c>
      <c r="C49" s="44">
        <v>196962.03883269854</v>
      </c>
      <c r="D49" s="44">
        <v>106.75615044922645</v>
      </c>
      <c r="E49" s="44">
        <v>71123.381149569934</v>
      </c>
      <c r="F49" s="44">
        <v>5583.4824459702331</v>
      </c>
      <c r="G49" s="44">
        <v>56680.304067950921</v>
      </c>
      <c r="H49" s="44">
        <v>5259.6430417425545</v>
      </c>
      <c r="I49" s="44">
        <v>3502.0913669318234</v>
      </c>
      <c r="J49" s="44">
        <v>803.12982980206311</v>
      </c>
      <c r="K49" s="44">
        <f t="shared" si="11"/>
        <v>340020.8268851153</v>
      </c>
      <c r="L49" s="44"/>
      <c r="N49" s="5" t="s">
        <v>117</v>
      </c>
      <c r="P49" s="37">
        <f>SUMPRODUCT($D$50:$D$53,$D$14:$D$17)</f>
        <v>461.08479192521111</v>
      </c>
      <c r="X49" s="111"/>
      <c r="Y49" s="111"/>
    </row>
    <row r="50" spans="1:25" x14ac:dyDescent="0.6">
      <c r="A50" s="112"/>
      <c r="B50" s="33">
        <v>45444</v>
      </c>
      <c r="C50" s="44">
        <v>285975.71363241173</v>
      </c>
      <c r="D50" s="44">
        <v>155.00279389014062</v>
      </c>
      <c r="E50" s="44">
        <v>85940.095421941631</v>
      </c>
      <c r="F50" s="44">
        <v>5794.2873816654883</v>
      </c>
      <c r="G50" s="44">
        <v>73145.352875146666</v>
      </c>
      <c r="H50" s="44">
        <v>5610.6277375857817</v>
      </c>
      <c r="I50" s="44">
        <v>3538.1061962195913</v>
      </c>
      <c r="J50" s="44">
        <v>953.01059606467561</v>
      </c>
      <c r="K50" s="44">
        <f t="shared" si="11"/>
        <v>461112.19663492567</v>
      </c>
      <c r="L50" s="44"/>
      <c r="N50" s="5" t="s">
        <v>118</v>
      </c>
      <c r="P50" s="37">
        <f>SUMPRODUCT($D$50:$D$53,$P$14:$P$17)</f>
        <v>430.972513729524</v>
      </c>
      <c r="Q50" s="37"/>
      <c r="R50" s="37"/>
      <c r="S50" s="37"/>
      <c r="T50" s="37"/>
      <c r="U50" s="37"/>
      <c r="V50" s="37"/>
      <c r="W50" s="37">
        <f>W45+W48</f>
        <v>5794940.0277152956</v>
      </c>
      <c r="X50" s="111"/>
      <c r="Y50" s="111"/>
    </row>
    <row r="51" spans="1:25" x14ac:dyDescent="0.6">
      <c r="A51" s="32"/>
      <c r="B51" s="33">
        <v>45474</v>
      </c>
      <c r="C51" s="44">
        <v>430272.95622166566</v>
      </c>
      <c r="D51" s="44">
        <v>233.21389604242768</v>
      </c>
      <c r="E51" s="44">
        <v>96052.056322919845</v>
      </c>
      <c r="F51" s="44">
        <v>6525.8999406447165</v>
      </c>
      <c r="G51" s="44">
        <v>81634.790670153467</v>
      </c>
      <c r="H51" s="44">
        <v>5957.0487649438974</v>
      </c>
      <c r="I51" s="44">
        <v>3678.2570848413416</v>
      </c>
      <c r="J51" s="44">
        <v>1058.084628927254</v>
      </c>
      <c r="K51" s="44">
        <f t="shared" si="11"/>
        <v>625412.30753013864</v>
      </c>
      <c r="L51" s="44"/>
      <c r="O51" s="37"/>
      <c r="P51" s="37"/>
      <c r="Q51" s="37"/>
      <c r="R51" s="37"/>
      <c r="S51" s="37"/>
      <c r="T51" s="37"/>
      <c r="U51" s="37"/>
      <c r="V51" s="37"/>
      <c r="X51" s="111"/>
      <c r="Y51" s="111"/>
    </row>
    <row r="52" spans="1:25" x14ac:dyDescent="0.6">
      <c r="A52" s="32"/>
      <c r="B52" s="33">
        <v>45505</v>
      </c>
      <c r="C52" s="44">
        <v>493655.93882642308</v>
      </c>
      <c r="D52" s="44">
        <v>267.56834965682049</v>
      </c>
      <c r="E52" s="44">
        <v>99914.267676388234</v>
      </c>
      <c r="F52" s="44">
        <v>8426.2031469011781</v>
      </c>
      <c r="G52" s="44">
        <v>84317.308244273503</v>
      </c>
      <c r="H52" s="44">
        <v>4951.8999590889707</v>
      </c>
      <c r="I52" s="44">
        <v>4025.8048033505866</v>
      </c>
      <c r="J52" s="44">
        <v>1104.9047048756784</v>
      </c>
      <c r="K52" s="44">
        <f t="shared" si="11"/>
        <v>696663.89571095817</v>
      </c>
      <c r="L52" s="44"/>
      <c r="M52" s="37"/>
      <c r="N52" s="7" t="s">
        <v>177</v>
      </c>
      <c r="O52" s="113">
        <f>+O48*F160</f>
        <v>1032670.1379650561</v>
      </c>
      <c r="P52" s="37"/>
      <c r="Q52" s="37"/>
      <c r="R52" s="37"/>
      <c r="S52" s="37"/>
      <c r="T52" s="37"/>
      <c r="X52" s="111"/>
      <c r="Y52" s="111"/>
    </row>
    <row r="53" spans="1:25" x14ac:dyDescent="0.6">
      <c r="A53" s="32"/>
      <c r="B53" s="33">
        <v>45536</v>
      </c>
      <c r="C53" s="44">
        <v>435915.56128642353</v>
      </c>
      <c r="D53" s="44">
        <v>236.27226606534626</v>
      </c>
      <c r="E53" s="44">
        <v>98724.111788700087</v>
      </c>
      <c r="F53" s="44">
        <v>7123.087411582379</v>
      </c>
      <c r="G53" s="44">
        <v>83062.503424002163</v>
      </c>
      <c r="H53" s="44">
        <v>5353.4658991897095</v>
      </c>
      <c r="I53" s="44">
        <v>4509.6344885952276</v>
      </c>
      <c r="J53" s="44">
        <v>1112.2048201186203</v>
      </c>
      <c r="K53" s="44">
        <f t="shared" si="11"/>
        <v>636036.84138467698</v>
      </c>
      <c r="L53" s="44"/>
      <c r="M53" s="37"/>
      <c r="N53" s="7" t="s">
        <v>178</v>
      </c>
      <c r="O53" s="37">
        <f>+O48-O52</f>
        <v>613150.03200186789</v>
      </c>
      <c r="P53" s="37"/>
      <c r="Q53" s="37"/>
      <c r="R53" s="37"/>
      <c r="S53" s="37"/>
      <c r="T53" s="37"/>
      <c r="X53" s="111"/>
      <c r="Y53" s="111"/>
    </row>
    <row r="54" spans="1:25" x14ac:dyDescent="0.6">
      <c r="A54" s="32"/>
      <c r="B54" s="33">
        <v>45566</v>
      </c>
      <c r="C54" s="44">
        <v>241750.86939673193</v>
      </c>
      <c r="D54" s="44">
        <v>131.03231636666141</v>
      </c>
      <c r="E54" s="44">
        <v>77936.061277040062</v>
      </c>
      <c r="F54" s="44">
        <v>5943.370034034916</v>
      </c>
      <c r="G54" s="44">
        <v>64592.890200399692</v>
      </c>
      <c r="H54" s="44">
        <v>4611.568409390813</v>
      </c>
      <c r="I54" s="44">
        <v>4446.984820984585</v>
      </c>
      <c r="J54" s="44">
        <v>901.2721473544525</v>
      </c>
      <c r="K54" s="44">
        <f t="shared" si="11"/>
        <v>400314.04860230302</v>
      </c>
      <c r="L54" s="44"/>
      <c r="O54" s="37">
        <f>SUM(O52:O53)</f>
        <v>1645820.169966924</v>
      </c>
      <c r="X54" s="111"/>
      <c r="Y54" s="111"/>
    </row>
    <row r="55" spans="1:25" x14ac:dyDescent="0.6">
      <c r="A55" s="32"/>
      <c r="B55" s="33">
        <v>45597</v>
      </c>
      <c r="C55" s="44">
        <v>231060.49063432583</v>
      </c>
      <c r="D55" s="44">
        <v>125.2379831525945</v>
      </c>
      <c r="E55" s="44">
        <v>76594.105653837702</v>
      </c>
      <c r="F55" s="44">
        <v>5851.2493082368419</v>
      </c>
      <c r="G55" s="44">
        <v>62605.399436804597</v>
      </c>
      <c r="H55" s="44">
        <v>4834.7514859601015</v>
      </c>
      <c r="I55" s="44">
        <v>4962.0981422664299</v>
      </c>
      <c r="J55" s="44">
        <v>896.74986523575308</v>
      </c>
      <c r="K55" s="44">
        <f t="shared" si="11"/>
        <v>386930.08250981983</v>
      </c>
      <c r="L55" s="44"/>
      <c r="X55" s="111"/>
      <c r="Y55" s="111"/>
    </row>
    <row r="56" spans="1:25" x14ac:dyDescent="0.6">
      <c r="A56" s="32"/>
      <c r="B56" s="33">
        <v>45627</v>
      </c>
      <c r="C56" s="44">
        <v>275141.40100997011</v>
      </c>
      <c r="D56" s="44">
        <v>149.13044653229369</v>
      </c>
      <c r="E56" s="44">
        <v>74026.687366132319</v>
      </c>
      <c r="F56" s="44">
        <v>5027.0875093902787</v>
      </c>
      <c r="G56" s="44">
        <v>67357.350125604964</v>
      </c>
      <c r="H56" s="44">
        <v>5064.5443490718262</v>
      </c>
      <c r="I56" s="44">
        <v>5293.9137787187674</v>
      </c>
      <c r="J56" s="44">
        <v>862.601208454274</v>
      </c>
      <c r="K56" s="44">
        <f t="shared" si="11"/>
        <v>432922.71579387481</v>
      </c>
      <c r="L56" s="44"/>
      <c r="P56" s="5" t="s">
        <v>208</v>
      </c>
      <c r="Q56" s="65">
        <f>SUMPRODUCT(O45:V45,C84:J84)</f>
        <v>3568922.275829779</v>
      </c>
      <c r="X56" s="111"/>
      <c r="Y56" s="111"/>
    </row>
    <row r="57" spans="1:25" x14ac:dyDescent="0.6">
      <c r="A57" s="32"/>
      <c r="B57" s="114" t="s">
        <v>29</v>
      </c>
      <c r="C57" s="37">
        <f>SUM(C45:C56)</f>
        <v>3778951.2937877551</v>
      </c>
      <c r="D57" s="37">
        <f t="shared" ref="D57:I57" si="13">SUM(D45:D56)</f>
        <v>2048.2438913144001</v>
      </c>
      <c r="E57" s="37">
        <f t="shared" si="13"/>
        <v>982036.44665848452</v>
      </c>
      <c r="F57" s="37">
        <f t="shared" si="13"/>
        <v>72045.858827780321</v>
      </c>
      <c r="G57" s="37">
        <f t="shared" si="13"/>
        <v>829949.45108179725</v>
      </c>
      <c r="H57" s="37">
        <f t="shared" si="13"/>
        <v>65365.558257151846</v>
      </c>
      <c r="I57" s="37">
        <f t="shared" si="13"/>
        <v>53364.003942629264</v>
      </c>
      <c r="J57" s="37">
        <f t="shared" ref="J57" si="14">SUM(J45:J56)</f>
        <v>11179.171268383659</v>
      </c>
      <c r="K57" s="37">
        <f>SUM(K45:K56)</f>
        <v>5794940.0277152965</v>
      </c>
      <c r="L57" s="37"/>
      <c r="Q57" s="156">
        <f>SUMPRODUCT(O48:V48,C84:J84)</f>
        <v>2558050.782650935</v>
      </c>
    </row>
    <row r="58" spans="1:25" x14ac:dyDescent="0.6">
      <c r="A58" s="32"/>
      <c r="B58" s="33"/>
      <c r="C58" s="37"/>
      <c r="D58" s="37"/>
      <c r="E58" s="37"/>
      <c r="F58" s="37"/>
      <c r="G58" s="37"/>
      <c r="H58" s="37"/>
      <c r="I58" s="37"/>
      <c r="J58" s="37"/>
      <c r="K58" s="44"/>
      <c r="L58" s="37"/>
      <c r="Q58" s="123">
        <f>SUM(Q56:Q57)</f>
        <v>6126973.0584807135</v>
      </c>
    </row>
    <row r="59" spans="1:25" x14ac:dyDescent="0.6">
      <c r="A59" s="32"/>
      <c r="D59" s="37"/>
      <c r="E59" s="37"/>
    </row>
    <row r="60" spans="1:25" x14ac:dyDescent="0.6">
      <c r="A60" s="31" t="s">
        <v>34</v>
      </c>
      <c r="B60" s="3" t="s">
        <v>33</v>
      </c>
      <c r="G60" s="128" t="s">
        <v>38</v>
      </c>
      <c r="H60" s="3" t="s">
        <v>113</v>
      </c>
      <c r="J60" s="30" t="s">
        <v>121</v>
      </c>
    </row>
    <row r="61" spans="1:25" s="79" customFormat="1" x14ac:dyDescent="0.6">
      <c r="A61" s="32"/>
      <c r="B61" s="79" t="s">
        <v>122</v>
      </c>
      <c r="D61" s="27" t="s">
        <v>109</v>
      </c>
      <c r="G61" s="12"/>
    </row>
    <row r="62" spans="1:25" x14ac:dyDescent="0.6">
      <c r="A62" s="32"/>
      <c r="C62" s="49" t="s">
        <v>36</v>
      </c>
      <c r="D62" s="27" t="s">
        <v>110</v>
      </c>
      <c r="E62" s="49" t="s">
        <v>37</v>
      </c>
      <c r="G62" s="27"/>
      <c r="H62" s="49" t="s">
        <v>36</v>
      </c>
      <c r="I62" s="49" t="s">
        <v>37</v>
      </c>
    </row>
    <row r="63" spans="1:25" x14ac:dyDescent="0.6">
      <c r="A63" s="32"/>
      <c r="B63" s="33">
        <f t="shared" ref="B63:B74" si="15">B45</f>
        <v>45658</v>
      </c>
      <c r="C63" s="77">
        <v>72.3</v>
      </c>
      <c r="D63" s="289">
        <v>0.81985996180776577</v>
      </c>
      <c r="E63" s="175">
        <f t="shared" ref="E63:E74" si="16">ROUND(C63*D63,2)</f>
        <v>59.28</v>
      </c>
      <c r="H63" s="1">
        <v>0.80975809758097583</v>
      </c>
      <c r="I63" s="1">
        <v>0.88363015369602338</v>
      </c>
      <c r="N63" s="2"/>
      <c r="O63" s="2"/>
      <c r="P63" s="2"/>
    </row>
    <row r="64" spans="1:25" x14ac:dyDescent="0.6">
      <c r="A64" s="32"/>
      <c r="B64" s="33">
        <f t="shared" si="15"/>
        <v>45689</v>
      </c>
      <c r="C64" s="77">
        <v>68.5</v>
      </c>
      <c r="D64" s="28">
        <f>+$D$63</f>
        <v>0.81985996180776577</v>
      </c>
      <c r="E64" s="175">
        <f t="shared" si="16"/>
        <v>56.16</v>
      </c>
      <c r="H64" s="132">
        <f>H$63</f>
        <v>0.80975809758097583</v>
      </c>
      <c r="I64" s="132">
        <f>I$63</f>
        <v>0.88363015369602338</v>
      </c>
      <c r="N64" s="2"/>
      <c r="O64" s="2"/>
      <c r="P64" s="2"/>
    </row>
    <row r="65" spans="1:16" x14ac:dyDescent="0.6">
      <c r="A65" s="32"/>
      <c r="B65" s="33">
        <f t="shared" si="15"/>
        <v>45717</v>
      </c>
      <c r="C65" s="77">
        <v>48.3</v>
      </c>
      <c r="D65" s="28">
        <f>+$D$63</f>
        <v>0.81985996180776577</v>
      </c>
      <c r="E65" s="175">
        <f t="shared" si="16"/>
        <v>39.6</v>
      </c>
      <c r="H65" s="132">
        <f t="shared" ref="H65:I67" si="17">H$63</f>
        <v>0.80975809758097583</v>
      </c>
      <c r="I65" s="132">
        <f t="shared" si="17"/>
        <v>0.88363015369602338</v>
      </c>
      <c r="N65" s="2"/>
      <c r="O65" s="2"/>
      <c r="P65" s="2"/>
    </row>
    <row r="66" spans="1:16" x14ac:dyDescent="0.6">
      <c r="A66" s="32"/>
      <c r="B66" s="33">
        <f t="shared" si="15"/>
        <v>45748</v>
      </c>
      <c r="C66" s="77">
        <v>44.25</v>
      </c>
      <c r="D66" s="28">
        <f>+$D$63</f>
        <v>0.81985996180776577</v>
      </c>
      <c r="E66" s="175">
        <f t="shared" si="16"/>
        <v>36.28</v>
      </c>
      <c r="H66" s="132">
        <f t="shared" si="17"/>
        <v>0.80975809758097583</v>
      </c>
      <c r="I66" s="132">
        <f t="shared" si="17"/>
        <v>0.88363015369602338</v>
      </c>
      <c r="N66" s="2"/>
      <c r="O66" s="2"/>
      <c r="P66" s="2"/>
    </row>
    <row r="67" spans="1:16" x14ac:dyDescent="0.6">
      <c r="A67" s="32"/>
      <c r="B67" s="33">
        <f t="shared" si="15"/>
        <v>45778</v>
      </c>
      <c r="C67" s="77">
        <v>45.85</v>
      </c>
      <c r="D67" s="28">
        <f>+$D$63</f>
        <v>0.81985996180776577</v>
      </c>
      <c r="E67" s="175">
        <f t="shared" si="16"/>
        <v>37.590000000000003</v>
      </c>
      <c r="H67" s="132">
        <f t="shared" si="17"/>
        <v>0.80975809758097583</v>
      </c>
      <c r="I67" s="132">
        <f t="shared" si="17"/>
        <v>0.88363015369602338</v>
      </c>
      <c r="N67" s="2"/>
      <c r="O67" s="2"/>
      <c r="P67" s="2"/>
    </row>
    <row r="68" spans="1:16" x14ac:dyDescent="0.6">
      <c r="A68" s="32"/>
      <c r="B68" s="33">
        <f t="shared" si="15"/>
        <v>45444</v>
      </c>
      <c r="C68" s="77">
        <v>43.85</v>
      </c>
      <c r="D68" s="290">
        <v>0.63883495145631064</v>
      </c>
      <c r="E68" s="175">
        <f t="shared" si="16"/>
        <v>28.01</v>
      </c>
      <c r="H68" s="1">
        <v>0.84513071395811046</v>
      </c>
      <c r="I68" s="1">
        <v>0.90962441314553988</v>
      </c>
      <c r="N68" s="2"/>
      <c r="O68" s="2"/>
      <c r="P68" s="2"/>
    </row>
    <row r="69" spans="1:16" x14ac:dyDescent="0.6">
      <c r="A69" s="32"/>
      <c r="B69" s="33">
        <f t="shared" si="15"/>
        <v>45474</v>
      </c>
      <c r="C69" s="77">
        <v>61.15</v>
      </c>
      <c r="D69" s="160">
        <f>+$D$68</f>
        <v>0.63883495145631064</v>
      </c>
      <c r="E69" s="175">
        <f t="shared" si="16"/>
        <v>39.06</v>
      </c>
      <c r="H69" s="132">
        <f t="shared" ref="H69:I71" si="18">H$68</f>
        <v>0.84513071395811046</v>
      </c>
      <c r="I69" s="132">
        <f t="shared" si="18"/>
        <v>0.90962441314553988</v>
      </c>
      <c r="N69" s="2"/>
      <c r="O69" s="2"/>
      <c r="P69" s="2"/>
    </row>
    <row r="70" spans="1:16" x14ac:dyDescent="0.6">
      <c r="A70" s="32"/>
      <c r="B70" s="33">
        <f t="shared" si="15"/>
        <v>45505</v>
      </c>
      <c r="C70" s="77">
        <v>54.7</v>
      </c>
      <c r="D70" s="160">
        <f>+$D$68</f>
        <v>0.63883495145631064</v>
      </c>
      <c r="E70" s="175">
        <f t="shared" si="16"/>
        <v>34.94</v>
      </c>
      <c r="H70" s="132">
        <f t="shared" si="18"/>
        <v>0.84513071395811046</v>
      </c>
      <c r="I70" s="132">
        <f t="shared" si="18"/>
        <v>0.90962441314553988</v>
      </c>
      <c r="N70" s="2"/>
      <c r="O70" s="2"/>
      <c r="P70" s="2"/>
    </row>
    <row r="71" spans="1:16" x14ac:dyDescent="0.6">
      <c r="A71" s="32"/>
      <c r="B71" s="33">
        <f t="shared" si="15"/>
        <v>45536</v>
      </c>
      <c r="C71" s="77">
        <v>43.4</v>
      </c>
      <c r="D71" s="161">
        <f>+$D$68</f>
        <v>0.63883495145631064</v>
      </c>
      <c r="E71" s="175">
        <f t="shared" si="16"/>
        <v>27.73</v>
      </c>
      <c r="H71" s="132">
        <f t="shared" si="18"/>
        <v>0.84513071395811046</v>
      </c>
      <c r="I71" s="132">
        <f t="shared" si="18"/>
        <v>0.90962441314553988</v>
      </c>
      <c r="N71" s="2"/>
      <c r="O71" s="2"/>
      <c r="P71" s="2"/>
    </row>
    <row r="72" spans="1:16" x14ac:dyDescent="0.6">
      <c r="A72" s="32"/>
      <c r="B72" s="33">
        <f t="shared" si="15"/>
        <v>45566</v>
      </c>
      <c r="C72" s="77">
        <v>38.950000000000003</v>
      </c>
      <c r="D72" s="28">
        <f>+$D$63</f>
        <v>0.81985996180776577</v>
      </c>
      <c r="E72" s="175">
        <f t="shared" si="16"/>
        <v>31.93</v>
      </c>
      <c r="H72" s="132">
        <f t="shared" ref="H72:I74" si="19">H$63</f>
        <v>0.80975809758097583</v>
      </c>
      <c r="I72" s="132">
        <f t="shared" si="19"/>
        <v>0.88363015369602338</v>
      </c>
      <c r="N72" s="2"/>
      <c r="O72" s="2"/>
      <c r="P72" s="2"/>
    </row>
    <row r="73" spans="1:16" x14ac:dyDescent="0.6">
      <c r="A73" s="32"/>
      <c r="B73" s="33">
        <f t="shared" si="15"/>
        <v>45597</v>
      </c>
      <c r="C73" s="77">
        <v>42.4</v>
      </c>
      <c r="D73" s="28">
        <f>+$D$63</f>
        <v>0.81985996180776577</v>
      </c>
      <c r="E73" s="175">
        <f t="shared" si="16"/>
        <v>34.76</v>
      </c>
      <c r="H73" s="132">
        <f t="shared" si="19"/>
        <v>0.80975809758097583</v>
      </c>
      <c r="I73" s="132">
        <f t="shared" si="19"/>
        <v>0.88363015369602338</v>
      </c>
      <c r="N73" s="2"/>
      <c r="O73" s="2"/>
      <c r="P73" s="2"/>
    </row>
    <row r="74" spans="1:16" x14ac:dyDescent="0.6">
      <c r="A74" s="32"/>
      <c r="B74" s="33">
        <f t="shared" si="15"/>
        <v>45627</v>
      </c>
      <c r="C74" s="77">
        <v>54.5</v>
      </c>
      <c r="D74" s="28">
        <f>+$D$63</f>
        <v>0.81985996180776577</v>
      </c>
      <c r="E74" s="175">
        <f t="shared" si="16"/>
        <v>44.68</v>
      </c>
      <c r="H74" s="132">
        <f t="shared" si="19"/>
        <v>0.80975809758097583</v>
      </c>
      <c r="I74" s="132">
        <f t="shared" si="19"/>
        <v>0.88363015369602338</v>
      </c>
      <c r="N74" s="2"/>
      <c r="O74" s="2"/>
      <c r="P74" s="2"/>
    </row>
    <row r="75" spans="1:16" x14ac:dyDescent="0.6">
      <c r="A75" s="32"/>
      <c r="B75" s="33"/>
      <c r="C75" s="77"/>
      <c r="D75" s="28"/>
      <c r="E75" s="77"/>
      <c r="H75" s="1"/>
      <c r="I75" s="1"/>
      <c r="N75" s="2"/>
      <c r="O75" s="2"/>
      <c r="P75" s="2"/>
    </row>
    <row r="76" spans="1:16" x14ac:dyDescent="0.6">
      <c r="A76" s="32"/>
      <c r="B76" s="33"/>
      <c r="C76" s="77"/>
      <c r="D76" s="77"/>
      <c r="E76" s="77"/>
      <c r="H76" s="1"/>
      <c r="K76" s="1"/>
    </row>
    <row r="77" spans="1:16" x14ac:dyDescent="0.6">
      <c r="A77" s="31" t="s">
        <v>41</v>
      </c>
      <c r="B77" s="90" t="s">
        <v>39</v>
      </c>
      <c r="C77" s="49" t="s">
        <v>5</v>
      </c>
      <c r="D77" s="49" t="s">
        <v>119</v>
      </c>
      <c r="E77" s="49" t="s">
        <v>6</v>
      </c>
      <c r="F77" s="49" t="s">
        <v>7</v>
      </c>
      <c r="G77" s="49" t="s">
        <v>8</v>
      </c>
      <c r="H77" s="49" t="s">
        <v>9</v>
      </c>
      <c r="I77" s="49" t="s">
        <v>10</v>
      </c>
      <c r="J77" s="49" t="s">
        <v>11</v>
      </c>
      <c r="L77" s="27"/>
    </row>
    <row r="78" spans="1:16" x14ac:dyDescent="0.6">
      <c r="A78" s="32"/>
      <c r="B78" s="5" t="s">
        <v>202</v>
      </c>
      <c r="C78" s="76">
        <v>6.6720174709983343E-2</v>
      </c>
      <c r="D78" s="76">
        <v>6.6720174709983343E-2</v>
      </c>
      <c r="E78" s="76">
        <v>6.6720174709983343E-2</v>
      </c>
      <c r="F78" s="76">
        <v>4.1640711102592348E-2</v>
      </c>
      <c r="G78" s="76">
        <v>6.6720174709983343E-2</v>
      </c>
      <c r="H78" s="76">
        <v>4.1640711102592348E-2</v>
      </c>
      <c r="I78" s="76">
        <v>6.6720174709983343E-2</v>
      </c>
      <c r="J78" s="76">
        <v>6.6720174709983343E-2</v>
      </c>
      <c r="L78" s="158"/>
      <c r="M78" s="158"/>
    </row>
    <row r="79" spans="1:16" x14ac:dyDescent="0.6">
      <c r="A79" s="32"/>
      <c r="B79" s="33" t="s">
        <v>201</v>
      </c>
      <c r="C79" s="169">
        <f>1-((1-C78)*(1-0.4251%))</f>
        <v>7.0687547247291205E-2</v>
      </c>
      <c r="D79" s="169">
        <f t="shared" ref="D79:J79" si="20">1-((1-D78)*(1-0.4251%))</f>
        <v>7.0687547247291205E-2</v>
      </c>
      <c r="E79" s="169">
        <f t="shared" si="20"/>
        <v>7.0687547247291205E-2</v>
      </c>
      <c r="F79" s="169">
        <f t="shared" si="20"/>
        <v>4.5714696439695279E-2</v>
      </c>
      <c r="G79" s="169">
        <f t="shared" si="20"/>
        <v>7.0687547247291205E-2</v>
      </c>
      <c r="H79" s="169">
        <f t="shared" si="20"/>
        <v>4.5714696439695279E-2</v>
      </c>
      <c r="I79" s="169">
        <f t="shared" si="20"/>
        <v>7.0687547247291205E-2</v>
      </c>
      <c r="J79" s="169">
        <f t="shared" si="20"/>
        <v>7.0687547247291205E-2</v>
      </c>
      <c r="L79" s="76"/>
    </row>
    <row r="80" spans="1:16" x14ac:dyDescent="0.6">
      <c r="A80" s="32"/>
      <c r="B80" s="5" t="s">
        <v>40</v>
      </c>
      <c r="C80" s="91">
        <f>1/(1-C79)</f>
        <v>1.0760643495499369</v>
      </c>
      <c r="D80" s="91">
        <f t="shared" ref="D80:J80" si="21">1/(1-D79)</f>
        <v>1.0760643495499369</v>
      </c>
      <c r="E80" s="91">
        <f t="shared" si="21"/>
        <v>1.0760643495499369</v>
      </c>
      <c r="F80" s="91">
        <f t="shared" si="21"/>
        <v>1.0479046426358449</v>
      </c>
      <c r="G80" s="91">
        <f t="shared" si="21"/>
        <v>1.0760643495499369</v>
      </c>
      <c r="H80" s="91">
        <f t="shared" si="21"/>
        <v>1.0479046426358449</v>
      </c>
      <c r="I80" s="91">
        <f t="shared" si="21"/>
        <v>1.0760643495499369</v>
      </c>
      <c r="J80" s="91">
        <f t="shared" si="21"/>
        <v>1.0760643495499369</v>
      </c>
      <c r="L80" s="91"/>
      <c r="M80" s="154"/>
    </row>
    <row r="81" spans="1:20" x14ac:dyDescent="0.6">
      <c r="A81" s="32"/>
      <c r="C81" s="91"/>
      <c r="D81" s="91"/>
      <c r="E81" s="91"/>
      <c r="F81" s="91"/>
      <c r="G81" s="91"/>
      <c r="H81" s="91"/>
      <c r="I81" s="91"/>
      <c r="J81" s="91"/>
      <c r="L81" s="159"/>
      <c r="M81" s="129"/>
      <c r="T81" s="103"/>
    </row>
    <row r="82" spans="1:20" x14ac:dyDescent="0.6">
      <c r="A82" s="32"/>
      <c r="B82" s="129" t="s">
        <v>200</v>
      </c>
      <c r="C82" s="76">
        <v>1.6830587705479419E-2</v>
      </c>
      <c r="D82" s="76">
        <f>$C$82</f>
        <v>1.6830587705479419E-2</v>
      </c>
      <c r="E82" s="76">
        <f t="shared" ref="E82:J82" si="22">$C$82</f>
        <v>1.6830587705479419E-2</v>
      </c>
      <c r="F82" s="76">
        <f t="shared" si="22"/>
        <v>1.6830587705479419E-2</v>
      </c>
      <c r="G82" s="76">
        <f t="shared" si="22"/>
        <v>1.6830587705479419E-2</v>
      </c>
      <c r="H82" s="76">
        <f t="shared" si="22"/>
        <v>1.6830587705479419E-2</v>
      </c>
      <c r="I82" s="76">
        <f t="shared" si="22"/>
        <v>1.6830587705479419E-2</v>
      </c>
      <c r="J82" s="76">
        <f t="shared" si="22"/>
        <v>1.6830587705479419E-2</v>
      </c>
      <c r="L82" s="170"/>
    </row>
    <row r="83" spans="1:20" x14ac:dyDescent="0.6">
      <c r="A83" s="32"/>
      <c r="B83" s="5" t="s">
        <v>203</v>
      </c>
      <c r="C83" s="169">
        <f t="shared" ref="C83:J83" si="23">1-((1-C79)/(1-C82))</f>
        <v>5.4778920975704914E-2</v>
      </c>
      <c r="D83" s="169">
        <f t="shared" si="23"/>
        <v>5.4778920975704914E-2</v>
      </c>
      <c r="E83" s="169">
        <f t="shared" si="23"/>
        <v>5.4778920975704914E-2</v>
      </c>
      <c r="F83" s="169">
        <f t="shared" si="23"/>
        <v>2.9378567287611346E-2</v>
      </c>
      <c r="G83" s="169">
        <f t="shared" si="23"/>
        <v>5.4778920975704914E-2</v>
      </c>
      <c r="H83" s="169">
        <f t="shared" si="23"/>
        <v>2.9378567287611346E-2</v>
      </c>
      <c r="I83" s="169">
        <f t="shared" si="23"/>
        <v>5.4778920975704914E-2</v>
      </c>
      <c r="J83" s="169">
        <f t="shared" si="23"/>
        <v>5.4778920975704914E-2</v>
      </c>
      <c r="L83" s="91"/>
    </row>
    <row r="84" spans="1:20" x14ac:dyDescent="0.6">
      <c r="A84" s="32"/>
      <c r="B84" s="5" t="s">
        <v>204</v>
      </c>
      <c r="C84" s="91">
        <f t="shared" ref="C84:J84" si="24">1/(1-C83)</f>
        <v>1.0579535541380969</v>
      </c>
      <c r="D84" s="91">
        <f t="shared" si="24"/>
        <v>1.0579535541380969</v>
      </c>
      <c r="E84" s="91">
        <f t="shared" si="24"/>
        <v>1.0579535541380969</v>
      </c>
      <c r="F84" s="91">
        <f t="shared" si="24"/>
        <v>1.0302677916409835</v>
      </c>
      <c r="G84" s="91">
        <f t="shared" si="24"/>
        <v>1.0579535541380969</v>
      </c>
      <c r="H84" s="91">
        <f t="shared" si="24"/>
        <v>1.0302677916409835</v>
      </c>
      <c r="I84" s="91">
        <f t="shared" si="24"/>
        <v>1.0579535541380969</v>
      </c>
      <c r="J84" s="91">
        <f t="shared" si="24"/>
        <v>1.0579535541380969</v>
      </c>
      <c r="L84" s="91"/>
    </row>
    <row r="85" spans="1:20" x14ac:dyDescent="0.6">
      <c r="A85" s="32"/>
      <c r="C85" s="91"/>
      <c r="D85" s="91"/>
      <c r="E85" s="91"/>
      <c r="F85" s="170"/>
      <c r="G85" s="91"/>
      <c r="H85" s="91"/>
      <c r="I85" s="91"/>
      <c r="J85" s="91"/>
      <c r="L85" s="91"/>
    </row>
    <row r="86" spans="1:20" x14ac:dyDescent="0.6">
      <c r="A86" s="32"/>
      <c r="C86" s="158"/>
      <c r="D86" s="158"/>
      <c r="E86" s="158"/>
      <c r="F86" s="158"/>
      <c r="G86" s="158"/>
      <c r="H86" s="158"/>
      <c r="I86" s="158"/>
    </row>
    <row r="87" spans="1:20" x14ac:dyDescent="0.6">
      <c r="A87" s="31" t="s">
        <v>47</v>
      </c>
      <c r="B87" s="3" t="s">
        <v>260</v>
      </c>
    </row>
    <row r="88" spans="1:20" x14ac:dyDescent="0.6">
      <c r="A88" s="32"/>
      <c r="B88" s="4" t="s">
        <v>42</v>
      </c>
      <c r="L88" s="158"/>
    </row>
    <row r="89" spans="1:20" x14ac:dyDescent="0.6">
      <c r="A89" s="32"/>
      <c r="B89" s="4" t="s">
        <v>35</v>
      </c>
    </row>
    <row r="90" spans="1:20" x14ac:dyDescent="0.6">
      <c r="A90" s="32"/>
      <c r="B90" s="3"/>
      <c r="C90" s="49" t="s">
        <v>5</v>
      </c>
      <c r="D90" s="49" t="s">
        <v>119</v>
      </c>
      <c r="E90" s="49" t="s">
        <v>6</v>
      </c>
      <c r="F90" s="49" t="s">
        <v>7</v>
      </c>
      <c r="G90" s="49" t="s">
        <v>8</v>
      </c>
      <c r="H90" s="49" t="s">
        <v>9</v>
      </c>
      <c r="I90" s="49" t="s">
        <v>10</v>
      </c>
      <c r="J90" s="49" t="s">
        <v>11</v>
      </c>
      <c r="L90" s="27"/>
    </row>
    <row r="91" spans="1:20" x14ac:dyDescent="0.6">
      <c r="A91" s="32"/>
    </row>
    <row r="92" spans="1:20" x14ac:dyDescent="0.6">
      <c r="A92" s="32"/>
      <c r="B92" s="33" t="s">
        <v>43</v>
      </c>
      <c r="C92" s="15">
        <f t="shared" ref="C92:J92" si="25">(SUMPRODUCT(C14:C17,C50:C53,$C68:$C71,$H68:$H71)*C80+SUMPRODUCT(O14:O17,C50:C53,$E68:$E71,$I68:$I71)*C80)/SUM(C50:C53)</f>
        <v>39.752369989509695</v>
      </c>
      <c r="D92" s="15">
        <f t="shared" si="25"/>
        <v>39.782430015573468</v>
      </c>
      <c r="E92" s="15">
        <f t="shared" si="25"/>
        <v>39.925998367115099</v>
      </c>
      <c r="F92" s="15">
        <f t="shared" si="25"/>
        <v>38.338532457618498</v>
      </c>
      <c r="G92" s="15">
        <f t="shared" si="25"/>
        <v>39.606555336396546</v>
      </c>
      <c r="H92" s="15">
        <f t="shared" si="25"/>
        <v>37.814056339646264</v>
      </c>
      <c r="I92" s="15">
        <f t="shared" si="25"/>
        <v>34.581605880117344</v>
      </c>
      <c r="J92" s="15">
        <f t="shared" si="25"/>
        <v>38.509537183858633</v>
      </c>
      <c r="K92" s="92"/>
      <c r="L92" s="15"/>
    </row>
    <row r="93" spans="1:20" x14ac:dyDescent="0.6">
      <c r="A93" s="32"/>
      <c r="B93" s="33" t="s">
        <v>115</v>
      </c>
      <c r="C93" s="15">
        <f t="shared" ref="C93:J93" si="26">(SUMPRODUCT(C$14:C$17,C$50:C$53,$C$68:$C$71,$H$68:$H$71)*C$80)/SUMPRODUCT(C$14:C$17,C$50:C$53)</f>
        <v>46.901979295733121</v>
      </c>
      <c r="D93" s="15">
        <f t="shared" si="26"/>
        <v>46.911028228482799</v>
      </c>
      <c r="E93" s="15">
        <f t="shared" si="26"/>
        <v>46.039117548135394</v>
      </c>
      <c r="F93" s="15">
        <f t="shared" si="26"/>
        <v>45.222726927371099</v>
      </c>
      <c r="G93" s="15">
        <f t="shared" si="26"/>
        <v>46.145273418202919</v>
      </c>
      <c r="H93" s="15">
        <f t="shared" si="26"/>
        <v>44.920284003233689</v>
      </c>
      <c r="I93" s="15">
        <f t="shared" si="26"/>
        <v>45.489609497554966</v>
      </c>
      <c r="J93" s="15">
        <f t="shared" si="26"/>
        <v>46.126950243814107</v>
      </c>
      <c r="K93" s="92"/>
      <c r="L93" s="15"/>
    </row>
    <row r="94" spans="1:20" x14ac:dyDescent="0.6">
      <c r="A94" s="32"/>
      <c r="B94" s="33" t="s">
        <v>116</v>
      </c>
      <c r="C94" s="15">
        <f>(SUMPRODUCT(O$14:O$17,C$50:C$53,$E$68:$E$71,$I$68:$I$71)*C$80)/SUMPRODUCT(O$14:O$17,C$50:C$53)</f>
        <v>32.162752870840187</v>
      </c>
      <c r="D94" s="15">
        <f t="shared" ref="D94:J94" si="27">(SUMPRODUCT(P$14:P$17,D$50:D$53,$E$68:$E$71,$I$68:$I$71)*D$80)/SUMPRODUCT(P$14:P$17,D$50:D$53)</f>
        <v>32.155752863302531</v>
      </c>
      <c r="E94" s="15">
        <f t="shared" si="27"/>
        <v>32.112904204145273</v>
      </c>
      <c r="F94" s="15">
        <f t="shared" si="27"/>
        <v>31.096374018551728</v>
      </c>
      <c r="G94" s="15">
        <f t="shared" si="27"/>
        <v>32.018546433060649</v>
      </c>
      <c r="H94" s="15">
        <f t="shared" si="27"/>
        <v>31.104648858396033</v>
      </c>
      <c r="I94" s="15">
        <f t="shared" si="27"/>
        <v>31.682630612905196</v>
      </c>
      <c r="J94" s="15">
        <f t="shared" si="27"/>
        <v>31.918136361622214</v>
      </c>
      <c r="K94" s="92"/>
      <c r="L94" s="15"/>
    </row>
    <row r="95" spans="1:20" x14ac:dyDescent="0.6">
      <c r="A95" s="32"/>
      <c r="B95" s="33"/>
      <c r="C95" s="15"/>
      <c r="D95" s="15"/>
      <c r="E95" s="15"/>
      <c r="F95" s="15"/>
      <c r="G95" s="15"/>
      <c r="H95" s="15"/>
      <c r="I95" s="15"/>
      <c r="J95" s="15"/>
      <c r="K95" s="92"/>
      <c r="L95" s="15"/>
    </row>
    <row r="96" spans="1:20" x14ac:dyDescent="0.6">
      <c r="A96" s="32"/>
      <c r="B96" s="33" t="s">
        <v>44</v>
      </c>
      <c r="C96" s="15">
        <f>(SUMPRODUCT(C9:C13,C45:C49,$C63:$C67,$H63:$H67)*C80+SUMPRODUCT(O9:O13,C45:C49,$E63:$E67,$I63:$I67)*C80+SUMPRODUCT(C18:C20,C54:C56,$C72:$C74,$H72:$H74)*C80+SUMPRODUCT(O18:O20,C54:C56,$E72:$E74,$I72:$I74)*C80)/SUM(C45:C49,C54:C56)</f>
        <v>44.08227194897313</v>
      </c>
      <c r="D96" s="15">
        <f t="shared" ref="D96:J96" si="28">(SUMPRODUCT(D9:D13,D45:D49,$C63:$C67,$H63:$H67)*D80+SUMPRODUCT(P9:P13,D45:D49,$E63:$E67,$I63:$I67)*D80+SUMPRODUCT(D18:D20,D54:D56,$C72:$C74,$H72:$H74)*D80+SUMPRODUCT(P18:P20,D54:D56,$E72:$E74,$I72:$I74)*D80)/SUM(D45:D49,D54:D56)</f>
        <v>44.085497449515223</v>
      </c>
      <c r="E96" s="15">
        <f t="shared" si="28"/>
        <v>43.024924382837547</v>
      </c>
      <c r="F96" s="15">
        <f t="shared" si="28"/>
        <v>41.498012307769294</v>
      </c>
      <c r="G96" s="15">
        <f t="shared" si="28"/>
        <v>43.110628567041026</v>
      </c>
      <c r="H96" s="15">
        <f t="shared" si="28"/>
        <v>42.384637597162971</v>
      </c>
      <c r="I96" s="15">
        <f t="shared" si="28"/>
        <v>42.590038618281262</v>
      </c>
      <c r="J96" s="15">
        <f t="shared" si="28"/>
        <v>42.76466598191503</v>
      </c>
      <c r="K96" s="92"/>
      <c r="L96" s="15"/>
    </row>
    <row r="97" spans="1:12" x14ac:dyDescent="0.6">
      <c r="A97" s="32"/>
      <c r="B97" s="33" t="s">
        <v>115</v>
      </c>
      <c r="C97" s="15">
        <f t="shared" ref="C97:J97" si="29">((SUMPRODUCT(C$9:C$13,C$45:C$49,$C$63:$C$67,$H$63:$H$67)*C$80)+(SUMPRODUCT(C$18:C$20,C$54:C$56,$C$72:$C$74,$H$72:$H$74)*C$80))/(SUMPRODUCT(C$9:C$13,C$45:C$49)+SUMPRODUCT(C$18:C$20,C$54:C$56))</f>
        <v>46.691951275268423</v>
      </c>
      <c r="D97" s="15">
        <f t="shared" si="29"/>
        <v>46.684421780879269</v>
      </c>
      <c r="E97" s="15">
        <f t="shared" si="29"/>
        <v>45.429076800181448</v>
      </c>
      <c r="F97" s="15">
        <f t="shared" si="29"/>
        <v>43.974306502834828</v>
      </c>
      <c r="G97" s="15">
        <f t="shared" si="29"/>
        <v>45.429255901871066</v>
      </c>
      <c r="H97" s="15">
        <f t="shared" si="29"/>
        <v>44.880599954468416</v>
      </c>
      <c r="I97" s="15">
        <f t="shared" si="29"/>
        <v>46.82706122688105</v>
      </c>
      <c r="J97" s="15">
        <f t="shared" si="29"/>
        <v>45.462558629032628</v>
      </c>
      <c r="K97" s="92"/>
      <c r="L97" s="15"/>
    </row>
    <row r="98" spans="1:12" x14ac:dyDescent="0.6">
      <c r="A98" s="32"/>
      <c r="B98" s="33" t="s">
        <v>116</v>
      </c>
      <c r="C98" s="15">
        <f t="shared" ref="C98:J98" si="30">((SUMPRODUCT(O$9:O$13,C$45:C$49,$E$63:$E$67,$I$63:$I$67)*C$80)+(SUMPRODUCT(O$18:O$20,C$54:C$56,$E$72:$E$74,$I$72:$I$74)*C$80))/(SUMPRODUCT(O$9:O$13,C$45:C$49)+SUMPRODUCT(O$18:O$20,C$54:C$56))</f>
        <v>41.945047030385652</v>
      </c>
      <c r="D98" s="15">
        <f t="shared" si="30"/>
        <v>41.950811015210981</v>
      </c>
      <c r="E98" s="15">
        <f t="shared" si="30"/>
        <v>40.363657989417028</v>
      </c>
      <c r="F98" s="15">
        <f t="shared" si="30"/>
        <v>39.235535510778327</v>
      </c>
      <c r="G98" s="15">
        <f t="shared" si="30"/>
        <v>40.595440352435546</v>
      </c>
      <c r="H98" s="15">
        <f t="shared" si="30"/>
        <v>40.102297209420847</v>
      </c>
      <c r="I98" s="15">
        <f t="shared" si="30"/>
        <v>40.958190242032423</v>
      </c>
      <c r="J98" s="15">
        <f t="shared" si="30"/>
        <v>40.48236329406879</v>
      </c>
      <c r="K98" s="92"/>
      <c r="L98" s="15"/>
    </row>
    <row r="99" spans="1:12" x14ac:dyDescent="0.6">
      <c r="A99" s="32"/>
      <c r="B99" s="33"/>
      <c r="C99" s="15"/>
      <c r="D99" s="15"/>
      <c r="E99" s="15"/>
      <c r="F99" s="15"/>
      <c r="G99" s="15"/>
      <c r="H99" s="15"/>
      <c r="I99" s="15"/>
      <c r="J99" s="15"/>
      <c r="K99" s="92"/>
      <c r="L99" s="15"/>
    </row>
    <row r="100" spans="1:12" x14ac:dyDescent="0.6">
      <c r="A100" s="32"/>
      <c r="B100" s="5" t="s">
        <v>45</v>
      </c>
      <c r="C100" s="35">
        <f>(C92*SUM(C50:C53)+C96*SUM(C45:C49,C54:C56))/C57</f>
        <v>42.196500097248261</v>
      </c>
      <c r="D100" s="35">
        <f t="shared" ref="D100:J100" si="31">(D92*SUM(D50:D53)+D96*SUM(D45:D49,D54:D56))/D57</f>
        <v>42.211412650605162</v>
      </c>
      <c r="E100" s="35">
        <f t="shared" si="31"/>
        <v>41.823802103151969</v>
      </c>
      <c r="F100" s="35">
        <f t="shared" si="31"/>
        <v>40.275831668503486</v>
      </c>
      <c r="G100" s="35">
        <f t="shared" si="31"/>
        <v>41.750458892155301</v>
      </c>
      <c r="H100" s="35">
        <f t="shared" si="31"/>
        <v>40.85520038091704</v>
      </c>
      <c r="I100" s="35">
        <f t="shared" si="31"/>
        <v>40.22613707246807</v>
      </c>
      <c r="J100" s="35">
        <f t="shared" si="31"/>
        <v>41.155284090913142</v>
      </c>
      <c r="L100" s="35"/>
    </row>
    <row r="101" spans="1:12" x14ac:dyDescent="0.6">
      <c r="A101" s="32"/>
    </row>
    <row r="102" spans="1:12" x14ac:dyDescent="0.6">
      <c r="A102" s="32"/>
      <c r="B102" s="5" t="s">
        <v>46</v>
      </c>
      <c r="C102" s="93"/>
      <c r="D102" s="93"/>
      <c r="F102" s="94"/>
      <c r="G102" s="15">
        <f>SUMPRODUCT(C100:J100,C57:J57)/SUM(C57:J57)</f>
        <v>42.010302911267992</v>
      </c>
    </row>
    <row r="103" spans="1:12" x14ac:dyDescent="0.6">
      <c r="A103" s="32"/>
      <c r="C103" s="93"/>
      <c r="D103" s="93"/>
    </row>
    <row r="104" spans="1:12" x14ac:dyDescent="0.6">
      <c r="A104" s="32"/>
      <c r="C104" s="95"/>
      <c r="D104" s="95"/>
      <c r="E104" s="95"/>
      <c r="F104" s="96"/>
      <c r="G104" s="95"/>
      <c r="H104" s="95"/>
      <c r="J104" s="95"/>
    </row>
    <row r="105" spans="1:12" x14ac:dyDescent="0.6">
      <c r="A105" s="31" t="s">
        <v>72</v>
      </c>
      <c r="B105" s="3" t="s">
        <v>261</v>
      </c>
      <c r="C105" s="95"/>
      <c r="D105" s="95"/>
      <c r="E105" s="95"/>
      <c r="F105" s="96"/>
      <c r="G105" s="95"/>
      <c r="H105" s="95"/>
      <c r="J105" s="95"/>
    </row>
    <row r="106" spans="1:12" x14ac:dyDescent="0.6">
      <c r="A106" s="32"/>
      <c r="B106" s="4" t="s">
        <v>123</v>
      </c>
      <c r="C106" s="95"/>
      <c r="D106" s="95"/>
      <c r="E106" s="95"/>
      <c r="F106" s="96"/>
      <c r="G106" s="95"/>
      <c r="H106" s="95"/>
      <c r="J106" s="95"/>
    </row>
    <row r="107" spans="1:12" x14ac:dyDescent="0.6">
      <c r="A107" s="32"/>
      <c r="B107" s="4" t="s">
        <v>124</v>
      </c>
      <c r="C107" s="95"/>
      <c r="D107" s="95"/>
      <c r="E107" s="95"/>
      <c r="F107" s="96"/>
      <c r="G107" s="95"/>
      <c r="H107" s="95"/>
      <c r="J107" s="95"/>
    </row>
    <row r="108" spans="1:12" x14ac:dyDescent="0.6">
      <c r="A108" s="32"/>
      <c r="C108" s="49" t="s">
        <v>5</v>
      </c>
      <c r="D108" s="49" t="s">
        <v>119</v>
      </c>
      <c r="E108" s="49" t="s">
        <v>6</v>
      </c>
      <c r="F108" s="49" t="s">
        <v>7</v>
      </c>
      <c r="G108" s="49" t="s">
        <v>8</v>
      </c>
      <c r="H108" s="49" t="s">
        <v>9</v>
      </c>
      <c r="I108" s="49" t="s">
        <v>10</v>
      </c>
      <c r="J108" s="49" t="s">
        <v>11</v>
      </c>
      <c r="K108" s="49"/>
    </row>
    <row r="109" spans="1:12" x14ac:dyDescent="0.6">
      <c r="A109" s="32"/>
      <c r="C109" s="95"/>
      <c r="D109" s="95"/>
      <c r="E109" s="95"/>
      <c r="F109" s="96"/>
      <c r="G109" s="95"/>
      <c r="H109" s="95"/>
      <c r="J109" s="95"/>
    </row>
    <row r="110" spans="1:12" x14ac:dyDescent="0.6">
      <c r="B110" s="33" t="s">
        <v>43</v>
      </c>
      <c r="C110" s="144">
        <f>SUM(C50:C53)*C92/1000</f>
        <v>65425.252332722892</v>
      </c>
      <c r="D110" s="144">
        <f t="shared" ref="D110:J110" si="32">SUM(D50:D53)*D92/1000</f>
        <v>35.488207332090525</v>
      </c>
      <c r="E110" s="144">
        <f t="shared" si="32"/>
        <v>15197.053967562608</v>
      </c>
      <c r="F110" s="144">
        <f t="shared" si="32"/>
        <v>1068.4748823096925</v>
      </c>
      <c r="G110" s="144">
        <f t="shared" si="32"/>
        <v>12759.646093337522</v>
      </c>
      <c r="H110" s="144">
        <f t="shared" si="32"/>
        <v>827.10845615107655</v>
      </c>
      <c r="I110" s="144">
        <f t="shared" si="32"/>
        <v>544.72262848113758</v>
      </c>
      <c r="J110" s="144">
        <f t="shared" si="32"/>
        <v>162.82620804056234</v>
      </c>
    </row>
    <row r="111" spans="1:12" x14ac:dyDescent="0.6">
      <c r="B111" s="34" t="s">
        <v>125</v>
      </c>
      <c r="C111" s="144">
        <f t="shared" ref="C111:J111" si="33">SUMPRODUCT(C50:C53,C14:C17)*C93/1000</f>
        <v>39748.315433279931</v>
      </c>
      <c r="D111" s="144">
        <f t="shared" si="33"/>
        <v>21.629961689727697</v>
      </c>
      <c r="E111" s="144">
        <f t="shared" si="33"/>
        <v>9831.5190738102992</v>
      </c>
      <c r="F111" s="144">
        <f t="shared" si="33"/>
        <v>646.13542054027698</v>
      </c>
      <c r="G111" s="144">
        <f t="shared" si="33"/>
        <v>7985.1864215369314</v>
      </c>
      <c r="H111" s="144">
        <f t="shared" si="33"/>
        <v>477.16106642236457</v>
      </c>
      <c r="I111" s="144">
        <f t="shared" si="33"/>
        <v>150.44865794934967</v>
      </c>
      <c r="J111" s="144">
        <f t="shared" si="33"/>
        <v>90.475428265969001</v>
      </c>
    </row>
    <row r="112" spans="1:12" x14ac:dyDescent="0.6">
      <c r="B112" s="34" t="s">
        <v>126</v>
      </c>
      <c r="C112" s="144">
        <f t="shared" ref="C112:J112" si="34">SUMPRODUCT(C50:C53,O14:O17)*C94/1000</f>
        <v>25676.936899442964</v>
      </c>
      <c r="D112" s="144">
        <f t="shared" si="34"/>
        <v>13.85824564236283</v>
      </c>
      <c r="E112" s="144">
        <f t="shared" si="34"/>
        <v>5365.5348937523104</v>
      </c>
      <c r="F112" s="144">
        <f t="shared" si="34"/>
        <v>422.33946176941549</v>
      </c>
      <c r="G112" s="144">
        <f t="shared" si="34"/>
        <v>4774.4596718005914</v>
      </c>
      <c r="H112" s="144">
        <f t="shared" si="34"/>
        <v>349.94738972871204</v>
      </c>
      <c r="I112" s="144">
        <f t="shared" si="34"/>
        <v>394.27397053178794</v>
      </c>
      <c r="J112" s="144">
        <f t="shared" si="34"/>
        <v>72.350779774593349</v>
      </c>
    </row>
    <row r="113" spans="1:29" x14ac:dyDescent="0.6">
      <c r="C113" s="95"/>
      <c r="D113" s="95"/>
      <c r="E113" s="95"/>
      <c r="F113" s="95"/>
      <c r="G113" s="95"/>
      <c r="H113" s="95"/>
      <c r="I113" s="95"/>
      <c r="J113" s="95"/>
    </row>
    <row r="114" spans="1:29" x14ac:dyDescent="0.6">
      <c r="B114" s="33" t="s">
        <v>44</v>
      </c>
      <c r="C114" s="145">
        <f t="shared" ref="C114:J114" si="35">SUM(C45:C49,C54:C56)*C96/1000</f>
        <v>94033.266303088545</v>
      </c>
      <c r="D114" s="145">
        <f t="shared" si="35"/>
        <v>50.971060773262892</v>
      </c>
      <c r="E114" s="145">
        <f t="shared" si="35"/>
        <v>25875.444035564396</v>
      </c>
      <c r="F114" s="145">
        <f t="shared" si="35"/>
        <v>1833.2320002507533</v>
      </c>
      <c r="G114" s="145">
        <f t="shared" si="35"/>
        <v>21891.124346619908</v>
      </c>
      <c r="H114" s="145">
        <f t="shared" si="35"/>
        <v>1843.4145244553683</v>
      </c>
      <c r="I114" s="145">
        <f t="shared" si="35"/>
        <v>1601.9051088507942</v>
      </c>
      <c r="J114" s="145">
        <f t="shared" si="35"/>
        <v>297.25576141074094</v>
      </c>
    </row>
    <row r="115" spans="1:29" x14ac:dyDescent="0.6">
      <c r="B115" s="34" t="s">
        <v>125</v>
      </c>
      <c r="C115" s="144">
        <f t="shared" ref="C115:J115" si="36">(SUMPRODUCT(C45:C49,C9:C13)+SUMPRODUCT(C54:C56,C18:C20))*C97/1000</f>
        <v>44843.482695814208</v>
      </c>
      <c r="D115" s="144">
        <f t="shared" si="36"/>
        <v>24.341170399775095</v>
      </c>
      <c r="E115" s="144">
        <f t="shared" si="36"/>
        <v>14354.05472604736</v>
      </c>
      <c r="F115" s="144">
        <f t="shared" si="36"/>
        <v>927.48639150099291</v>
      </c>
      <c r="G115" s="144">
        <f t="shared" si="36"/>
        <v>12003.274866308166</v>
      </c>
      <c r="H115" s="144">
        <f t="shared" si="36"/>
        <v>932.35206656276875</v>
      </c>
      <c r="I115" s="144">
        <f t="shared" si="36"/>
        <v>489.72344611004797</v>
      </c>
      <c r="J115" s="144">
        <f t="shared" si="36"/>
        <v>144.81913039195649</v>
      </c>
    </row>
    <row r="116" spans="1:29" x14ac:dyDescent="0.6">
      <c r="B116" s="34" t="s">
        <v>126</v>
      </c>
      <c r="C116" s="144">
        <f t="shared" ref="C116:J116" si="37">+(SUMPRODUCT(C45:C49,O9:O13)+SUMPRODUCT(C54:C56,O18:O20))*C98/1000</f>
        <v>49189.78360727433</v>
      </c>
      <c r="D116" s="144">
        <f t="shared" si="37"/>
        <v>26.6298903734878</v>
      </c>
      <c r="E116" s="144">
        <f t="shared" si="37"/>
        <v>11521.389309517039</v>
      </c>
      <c r="F116" s="144">
        <f t="shared" si="37"/>
        <v>905.74560874975975</v>
      </c>
      <c r="G116" s="144">
        <f t="shared" si="37"/>
        <v>9887.849480311741</v>
      </c>
      <c r="H116" s="144">
        <f t="shared" si="37"/>
        <v>911.06245789259958</v>
      </c>
      <c r="I116" s="144">
        <f t="shared" si="37"/>
        <v>1112.1816627407461</v>
      </c>
      <c r="J116" s="144">
        <f t="shared" si="37"/>
        <v>152.43663101878448</v>
      </c>
    </row>
    <row r="117" spans="1:29" x14ac:dyDescent="0.6">
      <c r="C117" s="95"/>
      <c r="D117" s="95"/>
      <c r="E117" s="95"/>
      <c r="F117" s="96"/>
      <c r="G117" s="95"/>
      <c r="H117" s="95"/>
      <c r="J117" s="95"/>
    </row>
    <row r="118" spans="1:29" x14ac:dyDescent="0.6">
      <c r="B118" s="5" t="s">
        <v>45</v>
      </c>
      <c r="C118" s="145">
        <f>+C110+C114</f>
        <v>159458.51863581143</v>
      </c>
      <c r="D118" s="145">
        <f t="shared" ref="D118:J118" si="38">+D110+D114</f>
        <v>86.459268105353416</v>
      </c>
      <c r="E118" s="145">
        <f t="shared" si="38"/>
        <v>41072.498003127002</v>
      </c>
      <c r="F118" s="145">
        <f t="shared" si="38"/>
        <v>2901.7068825604456</v>
      </c>
      <c r="G118" s="145">
        <f t="shared" si="38"/>
        <v>34650.770439957429</v>
      </c>
      <c r="H118" s="145">
        <f>+H110+H114</f>
        <v>2670.5229806064449</v>
      </c>
      <c r="I118" s="145">
        <f t="shared" si="38"/>
        <v>2146.6277373319317</v>
      </c>
      <c r="J118" s="145">
        <f t="shared" si="38"/>
        <v>460.08196945130328</v>
      </c>
    </row>
    <row r="119" spans="1:29" x14ac:dyDescent="0.6">
      <c r="C119" s="95"/>
      <c r="D119" s="95"/>
      <c r="E119" s="95"/>
      <c r="F119" s="96"/>
      <c r="G119" s="95"/>
      <c r="H119" s="95"/>
      <c r="J119" s="95"/>
    </row>
    <row r="120" spans="1:29" x14ac:dyDescent="0.6">
      <c r="B120" s="5" t="s">
        <v>127</v>
      </c>
      <c r="C120" s="144">
        <f>SUM(C118:J118)</f>
        <v>243447.18591695136</v>
      </c>
      <c r="D120" s="95"/>
      <c r="E120" s="95"/>
      <c r="F120" s="96"/>
      <c r="G120" s="95"/>
      <c r="H120" s="95"/>
      <c r="J120" s="95"/>
    </row>
    <row r="121" spans="1:29" x14ac:dyDescent="0.6">
      <c r="A121" s="32"/>
      <c r="C121" s="95"/>
      <c r="D121" s="95"/>
      <c r="E121" s="95"/>
      <c r="F121" s="96"/>
      <c r="G121" s="95"/>
      <c r="H121" s="95"/>
      <c r="J121" s="95"/>
    </row>
    <row r="122" spans="1:29" x14ac:dyDescent="0.6">
      <c r="A122" s="32"/>
      <c r="C122" s="95"/>
      <c r="D122" s="95"/>
      <c r="E122" s="95"/>
      <c r="F122" s="96"/>
      <c r="G122" s="95"/>
      <c r="H122" s="95"/>
      <c r="J122" s="95"/>
    </row>
    <row r="123" spans="1:29" x14ac:dyDescent="0.6">
      <c r="A123" s="31" t="s">
        <v>73</v>
      </c>
      <c r="B123" s="3" t="s">
        <v>262</v>
      </c>
      <c r="C123" s="95"/>
      <c r="D123" s="95"/>
      <c r="E123" s="95"/>
      <c r="F123" s="96"/>
      <c r="G123" s="95"/>
      <c r="H123" s="95"/>
      <c r="J123" s="95"/>
      <c r="P123" s="5" t="s">
        <v>137</v>
      </c>
      <c r="Q123" s="5" t="s">
        <v>133</v>
      </c>
      <c r="R123" s="5" t="s">
        <v>134</v>
      </c>
      <c r="S123" s="7" t="s">
        <v>135</v>
      </c>
    </row>
    <row r="124" spans="1:29" x14ac:dyDescent="0.6">
      <c r="A124" s="32"/>
      <c r="B124" s="4" t="s">
        <v>128</v>
      </c>
      <c r="C124" s="95"/>
      <c r="D124" s="95"/>
      <c r="E124" s="95"/>
      <c r="F124" s="96"/>
      <c r="G124" s="95"/>
      <c r="H124" s="95"/>
      <c r="J124" s="95"/>
      <c r="R124" s="5" t="s">
        <v>138</v>
      </c>
      <c r="S124" s="7" t="s">
        <v>139</v>
      </c>
      <c r="T124" s="5" t="s">
        <v>136</v>
      </c>
    </row>
    <row r="125" spans="1:29" x14ac:dyDescent="0.6">
      <c r="A125" s="32"/>
      <c r="B125" s="4" t="s">
        <v>35</v>
      </c>
      <c r="C125" s="95"/>
      <c r="D125" s="95"/>
      <c r="E125" s="95"/>
      <c r="F125" s="96"/>
      <c r="G125" s="95"/>
      <c r="H125" s="95"/>
      <c r="J125" s="95"/>
    </row>
    <row r="126" spans="1:29" x14ac:dyDescent="0.6">
      <c r="A126" s="32"/>
      <c r="B126" s="3"/>
      <c r="C126" s="49" t="s">
        <v>5</v>
      </c>
      <c r="D126" s="49" t="s">
        <v>119</v>
      </c>
      <c r="E126" s="49" t="s">
        <v>6</v>
      </c>
      <c r="F126" s="49" t="s">
        <v>7</v>
      </c>
      <c r="G126" s="49" t="s">
        <v>8</v>
      </c>
      <c r="H126" s="49" t="s">
        <v>9</v>
      </c>
      <c r="I126" s="49" t="s">
        <v>10</v>
      </c>
      <c r="J126" s="49" t="s">
        <v>11</v>
      </c>
      <c r="P126" s="27" t="str">
        <f>+D126</f>
        <v>RS TOU - BGS</v>
      </c>
      <c r="Q126" s="27" t="str">
        <f>P126</f>
        <v>RS TOU - BGS</v>
      </c>
      <c r="R126" s="27" t="str">
        <f>+D126</f>
        <v>RS TOU - BGS</v>
      </c>
      <c r="S126" s="27" t="str">
        <f>+D126</f>
        <v>RS TOU - BGS</v>
      </c>
      <c r="T126" s="36" t="str">
        <f>+D126</f>
        <v>RS TOU - BGS</v>
      </c>
      <c r="U126" s="27"/>
      <c r="W126" s="27"/>
      <c r="Z126" s="27"/>
      <c r="AC126" s="27"/>
    </row>
    <row r="127" spans="1:29" x14ac:dyDescent="0.6">
      <c r="A127" s="32"/>
      <c r="C127" s="95"/>
      <c r="D127" s="95"/>
      <c r="E127" s="95"/>
      <c r="F127" s="96"/>
      <c r="G127" s="95"/>
      <c r="H127" s="95"/>
      <c r="J127" s="95"/>
    </row>
    <row r="128" spans="1:29" x14ac:dyDescent="0.6">
      <c r="A128" s="32"/>
      <c r="B128" s="33" t="s">
        <v>43</v>
      </c>
      <c r="C128" s="146">
        <f t="shared" ref="C128:J128" si="39">+C110/SUM(C50:C53)*1000</f>
        <v>39.752369989509695</v>
      </c>
      <c r="D128" s="146">
        <f>+D110/SUM(D50:D53)*1000</f>
        <v>39.782430015573468</v>
      </c>
      <c r="E128" s="146">
        <f>+E110/SUM(E50:E53)*1000</f>
        <v>39.925998367115099</v>
      </c>
      <c r="F128" s="146">
        <f t="shared" si="39"/>
        <v>38.338532457618498</v>
      </c>
      <c r="G128" s="146">
        <f t="shared" si="39"/>
        <v>39.606555336396546</v>
      </c>
      <c r="H128" s="146">
        <f t="shared" si="39"/>
        <v>37.814056339646264</v>
      </c>
      <c r="I128" s="146">
        <f t="shared" si="39"/>
        <v>34.581605880117344</v>
      </c>
      <c r="J128" s="146">
        <f t="shared" si="39"/>
        <v>38.509537183858626</v>
      </c>
    </row>
    <row r="129" spans="1:29" x14ac:dyDescent="0.6">
      <c r="A129" s="32"/>
      <c r="B129" s="34" t="s">
        <v>131</v>
      </c>
      <c r="C129" s="95"/>
      <c r="D129" s="146">
        <f>+(D111*1000-R129*AVERAGE(D$93,D$94))/P129</f>
        <v>49.335590489630064</v>
      </c>
      <c r="E129" s="97"/>
      <c r="F129" s="96"/>
      <c r="G129" s="95"/>
      <c r="H129" s="95"/>
      <c r="J129" s="95"/>
      <c r="P129" s="37">
        <f>SUMPRODUCT(D50:D53,D32:D35)</f>
        <v>347.03602816733178</v>
      </c>
      <c r="Q129" s="37">
        <f>SUMPRODUCT(D50:D53,D14:D17)</f>
        <v>461.08479192521111</v>
      </c>
      <c r="R129" s="37">
        <f>+Q129-P129</f>
        <v>114.04876375787933</v>
      </c>
      <c r="S129" s="38">
        <f>+D129*P129/1000</f>
        <v>17.121227370811205</v>
      </c>
      <c r="W129" s="37"/>
      <c r="Z129" s="38"/>
    </row>
    <row r="130" spans="1:29" ht="15.25" x14ac:dyDescent="1.05">
      <c r="A130" s="32"/>
      <c r="B130" s="34" t="s">
        <v>132</v>
      </c>
      <c r="C130" s="95"/>
      <c r="D130" s="146">
        <f>+(D112*1000-R130*AVERAGE(D$93,D$94))/P130</f>
        <v>33.699564989375716</v>
      </c>
      <c r="E130" s="95"/>
      <c r="F130" s="96"/>
      <c r="G130" s="95"/>
      <c r="H130" s="95"/>
      <c r="J130" s="95"/>
      <c r="P130" s="37">
        <f>SUMPRODUCT(D50:D53,P32:P35)</f>
        <v>545.02127748740327</v>
      </c>
      <c r="Q130" s="37">
        <f>SUMPRODUCT(D50:D53,P14:P17)</f>
        <v>430.972513729524</v>
      </c>
      <c r="R130" s="37">
        <f>+Q130-P130</f>
        <v>-114.04876375787927</v>
      </c>
      <c r="S130" s="39">
        <f>+D130*P130/1000</f>
        <v>18.36697996127932</v>
      </c>
      <c r="W130" s="37"/>
      <c r="Z130" s="39"/>
    </row>
    <row r="131" spans="1:29" x14ac:dyDescent="0.6">
      <c r="A131" s="32"/>
      <c r="C131" s="95"/>
      <c r="D131" s="95"/>
      <c r="E131" s="95"/>
      <c r="F131" s="96"/>
      <c r="G131" s="95"/>
      <c r="H131" s="95"/>
      <c r="J131" s="95"/>
      <c r="P131" s="37">
        <f>SUM(P129:P130)</f>
        <v>892.05730565473505</v>
      </c>
      <c r="Q131" s="37">
        <f>SUM(Q129:Q130)</f>
        <v>892.05730565473505</v>
      </c>
      <c r="R131" s="37"/>
      <c r="S131" s="38">
        <f>+S130+S129</f>
        <v>35.488207332090525</v>
      </c>
      <c r="T131" s="40">
        <f>+D110</f>
        <v>35.488207332090525</v>
      </c>
      <c r="W131" s="37"/>
      <c r="Z131" s="38"/>
      <c r="AC131" s="40"/>
    </row>
    <row r="132" spans="1:29" x14ac:dyDescent="0.6">
      <c r="A132" s="32"/>
      <c r="B132" s="33" t="s">
        <v>44</v>
      </c>
      <c r="C132" s="35">
        <f t="shared" ref="C132:J132" si="40">+C114/SUM(C45:C49,C54:C56)*1000</f>
        <v>44.08227194897313</v>
      </c>
      <c r="D132" s="35">
        <f t="shared" si="40"/>
        <v>44.085497449515223</v>
      </c>
      <c r="E132" s="35">
        <f t="shared" si="40"/>
        <v>43.024924382837554</v>
      </c>
      <c r="F132" s="35">
        <f t="shared" si="40"/>
        <v>41.498012307769294</v>
      </c>
      <c r="G132" s="35">
        <f t="shared" si="40"/>
        <v>43.110628567041033</v>
      </c>
      <c r="H132" s="35">
        <f t="shared" si="40"/>
        <v>42.384637597162971</v>
      </c>
      <c r="I132" s="35">
        <f>+I114/SUM(I45:I49,I54:I56)*1000</f>
        <v>42.590038618281262</v>
      </c>
      <c r="J132" s="35">
        <f t="shared" si="40"/>
        <v>42.76466598191503</v>
      </c>
      <c r="M132" s="40"/>
      <c r="P132" s="37"/>
      <c r="Q132" s="37"/>
      <c r="R132" s="37"/>
      <c r="S132" s="38"/>
      <c r="T132" s="40"/>
      <c r="W132" s="37"/>
      <c r="Z132" s="38"/>
    </row>
    <row r="133" spans="1:29" x14ac:dyDescent="0.6">
      <c r="A133" s="32"/>
      <c r="B133" s="34" t="s">
        <v>131</v>
      </c>
      <c r="C133" s="95"/>
      <c r="D133" s="146">
        <f>+(D115*1000-R133*AVERAGE(D$97,D$98))/P133</f>
        <v>47.81665923643893</v>
      </c>
      <c r="E133" s="95"/>
      <c r="F133" s="96"/>
      <c r="G133" s="95"/>
      <c r="H133" s="95"/>
      <c r="J133" s="95"/>
      <c r="M133" s="37"/>
      <c r="P133" s="37">
        <f>SUMPRODUCT(D45:D49,D27:D31)+SUMPRODUCT(D54:D56,D36:D38)</f>
        <v>352.68156663454653</v>
      </c>
      <c r="Q133" s="37">
        <f>SUMPRODUCT(D45:D49,D9:D13)+SUMPRODUCT(D54:D56,D18:D20)</f>
        <v>521.3981339219373</v>
      </c>
      <c r="R133" s="37">
        <f>+Q133-P133</f>
        <v>168.71656728739077</v>
      </c>
      <c r="S133" s="38">
        <f>+D133*P133/1000</f>
        <v>16.864054290737542</v>
      </c>
      <c r="T133" s="40"/>
      <c r="W133" s="37"/>
      <c r="Z133" s="38"/>
    </row>
    <row r="134" spans="1:29" ht="15.25" x14ac:dyDescent="1.05">
      <c r="A134" s="32"/>
      <c r="B134" s="34" t="s">
        <v>132</v>
      </c>
      <c r="C134" s="95"/>
      <c r="D134" s="146">
        <f>+(D116*1000-R134*AVERAGE(D$97,D$98))/P134</f>
        <v>42.447782745535186</v>
      </c>
      <c r="E134" s="95"/>
      <c r="F134" s="96"/>
      <c r="G134" s="95"/>
      <c r="H134" s="95"/>
      <c r="J134" s="95"/>
      <c r="P134" s="37">
        <f>SUMPRODUCT(D45:D49,P27:P31)+SUMPRODUCT(D54:D56,P36:P38)</f>
        <v>803.5050190251186</v>
      </c>
      <c r="Q134" s="37">
        <f>SUMPRODUCT(D45:D49,P9:P13)+SUMPRODUCT(D54:D56,P18:P20)</f>
        <v>634.78845173772788</v>
      </c>
      <c r="R134" s="37">
        <f>+Q134-P134</f>
        <v>-168.71656728739072</v>
      </c>
      <c r="S134" s="39">
        <f>+D134*P134/1000</f>
        <v>34.10700648252535</v>
      </c>
      <c r="T134" s="40"/>
      <c r="W134" s="37"/>
      <c r="Z134" s="39"/>
    </row>
    <row r="135" spans="1:29" x14ac:dyDescent="0.6">
      <c r="A135" s="32"/>
      <c r="C135" s="95"/>
      <c r="D135" s="95"/>
      <c r="E135" s="95"/>
      <c r="F135" s="96"/>
      <c r="G135" s="95"/>
      <c r="H135" s="95"/>
      <c r="J135" s="95"/>
      <c r="M135" s="101"/>
      <c r="N135" s="101"/>
      <c r="P135" s="37">
        <f>SUM(P133:P134)</f>
        <v>1156.1865856596651</v>
      </c>
      <c r="Q135" s="37">
        <f>SUM(Q133:Q134)</f>
        <v>1156.1865856596651</v>
      </c>
      <c r="S135" s="38">
        <f>+S134+S133</f>
        <v>50.971060773262892</v>
      </c>
      <c r="T135" s="40">
        <f>+D114</f>
        <v>50.971060773262892</v>
      </c>
      <c r="Z135" s="38"/>
      <c r="AC135" s="40"/>
    </row>
    <row r="136" spans="1:29" x14ac:dyDescent="0.6">
      <c r="A136" s="32"/>
      <c r="B136" s="5" t="s">
        <v>129</v>
      </c>
      <c r="C136" s="15">
        <f t="shared" ref="C136:J136" si="41">(C128*SUM(C50:C53)+C132*SUM(C45:C49,C54:C56))/C57</f>
        <v>42.196500097248261</v>
      </c>
      <c r="D136" s="15">
        <f t="shared" si="41"/>
        <v>42.211412650605162</v>
      </c>
      <c r="E136" s="15">
        <f t="shared" si="41"/>
        <v>41.823802103151969</v>
      </c>
      <c r="F136" s="15">
        <f t="shared" si="41"/>
        <v>40.275831668503486</v>
      </c>
      <c r="G136" s="15">
        <f t="shared" si="41"/>
        <v>41.750458892155301</v>
      </c>
      <c r="H136" s="15">
        <f t="shared" si="41"/>
        <v>40.85520038091704</v>
      </c>
      <c r="I136" s="15">
        <f t="shared" si="41"/>
        <v>40.22613707246807</v>
      </c>
      <c r="J136" s="15">
        <f t="shared" si="41"/>
        <v>41.155284090913135</v>
      </c>
      <c r="P136" s="37"/>
      <c r="Q136" s="37"/>
    </row>
    <row r="137" spans="1:29" x14ac:dyDescent="0.6">
      <c r="A137" s="32"/>
      <c r="B137" s="5" t="s">
        <v>130</v>
      </c>
      <c r="C137" s="146">
        <f>+C120/SUM(C57:J57)*1000</f>
        <v>42.010302911267999</v>
      </c>
      <c r="D137" s="95"/>
      <c r="E137" s="95"/>
      <c r="F137" s="96"/>
      <c r="G137" s="95"/>
      <c r="H137" s="95"/>
      <c r="J137" s="95"/>
      <c r="M137" s="101"/>
    </row>
    <row r="138" spans="1:29" x14ac:dyDescent="0.6">
      <c r="A138" s="32"/>
      <c r="C138" s="95"/>
      <c r="D138" s="95"/>
      <c r="E138" s="95"/>
      <c r="F138" s="96"/>
      <c r="G138" s="95"/>
      <c r="H138" s="95"/>
      <c r="J138" s="95"/>
      <c r="M138" s="101"/>
    </row>
    <row r="139" spans="1:29" x14ac:dyDescent="0.6">
      <c r="A139" s="32"/>
      <c r="C139" s="95"/>
      <c r="D139" s="95"/>
      <c r="E139" s="95"/>
      <c r="F139" s="96"/>
      <c r="G139" s="95"/>
      <c r="H139" s="95"/>
      <c r="J139" s="95"/>
      <c r="M139" s="101"/>
    </row>
    <row r="140" spans="1:29" x14ac:dyDescent="0.6">
      <c r="A140" s="31" t="s">
        <v>79</v>
      </c>
      <c r="B140" s="3" t="s">
        <v>263</v>
      </c>
      <c r="M140" s="101"/>
    </row>
    <row r="141" spans="1:29" x14ac:dyDescent="0.6">
      <c r="A141" s="32"/>
      <c r="B141" s="4" t="s">
        <v>315</v>
      </c>
    </row>
    <row r="142" spans="1:29" x14ac:dyDescent="0.6">
      <c r="A142" s="32"/>
      <c r="B142" s="4" t="s">
        <v>48</v>
      </c>
      <c r="C142" s="49" t="s">
        <v>5</v>
      </c>
      <c r="D142" s="49" t="s">
        <v>119</v>
      </c>
      <c r="E142" s="49" t="s">
        <v>6</v>
      </c>
      <c r="F142" s="49" t="s">
        <v>7</v>
      </c>
      <c r="G142" s="49" t="s">
        <v>8</v>
      </c>
      <c r="H142" s="49" t="s">
        <v>9</v>
      </c>
      <c r="I142" s="49" t="s">
        <v>10</v>
      </c>
      <c r="J142" s="49" t="s">
        <v>11</v>
      </c>
      <c r="K142" s="49" t="s">
        <v>29</v>
      </c>
      <c r="L142" s="27"/>
    </row>
    <row r="143" spans="1:29" x14ac:dyDescent="0.6">
      <c r="A143" s="32"/>
    </row>
    <row r="144" spans="1:29" x14ac:dyDescent="0.6">
      <c r="A144" s="32"/>
      <c r="B144" s="5" t="s">
        <v>49</v>
      </c>
      <c r="C144" s="115">
        <v>1319.6181137999988</v>
      </c>
      <c r="D144" s="115">
        <v>0.46377660000000009</v>
      </c>
      <c r="E144" s="115">
        <v>280.59297460000005</v>
      </c>
      <c r="F144" s="115">
        <v>12.1475407</v>
      </c>
      <c r="G144" s="115">
        <v>174.11007515000006</v>
      </c>
      <c r="H144" s="115">
        <v>9.8804050999999991</v>
      </c>
      <c r="I144" s="115">
        <v>9.5586999999999998E-3</v>
      </c>
      <c r="J144" s="115">
        <v>1.3582755999999998</v>
      </c>
      <c r="K144" s="115">
        <f>SUM(C144:J144)</f>
        <v>1798.1807202499992</v>
      </c>
      <c r="L144" s="115"/>
    </row>
    <row r="145" spans="1:19" x14ac:dyDescent="0.6">
      <c r="A145" s="32"/>
      <c r="B145" s="5" t="s">
        <v>50</v>
      </c>
      <c r="C145" s="293">
        <v>1512.3043538263692</v>
      </c>
      <c r="D145" s="293">
        <v>0.53149571383429073</v>
      </c>
      <c r="E145" s="293">
        <v>321.56422581888347</v>
      </c>
      <c r="F145" s="293">
        <v>13.921284117563495</v>
      </c>
      <c r="G145" s="293">
        <v>199.53304819085582</v>
      </c>
      <c r="H145" s="293">
        <v>11.323108931318364</v>
      </c>
      <c r="I145" s="293">
        <v>1.0954429524533651E-2</v>
      </c>
      <c r="J145" s="293">
        <v>1.5566064773550439</v>
      </c>
      <c r="K145" s="293">
        <f>SUM(C145:J145)</f>
        <v>2060.7450775057046</v>
      </c>
      <c r="L145" s="116"/>
    </row>
    <row r="146" spans="1:19" x14ac:dyDescent="0.6">
      <c r="A146" s="32"/>
    </row>
    <row r="147" spans="1:19" x14ac:dyDescent="0.6">
      <c r="B147" s="5" t="s">
        <v>51</v>
      </c>
      <c r="L147" s="27"/>
      <c r="M147" s="117"/>
      <c r="N147" s="117"/>
    </row>
    <row r="148" spans="1:19" x14ac:dyDescent="0.6">
      <c r="E148" s="7" t="s">
        <v>52</v>
      </c>
      <c r="F148" s="42">
        <f>30+31+31+30</f>
        <v>122</v>
      </c>
      <c r="H148" s="7" t="s">
        <v>53</v>
      </c>
      <c r="I148" s="42">
        <v>4</v>
      </c>
      <c r="K148" s="118"/>
    </row>
    <row r="149" spans="1:19" x14ac:dyDescent="0.6">
      <c r="E149" s="119" t="s">
        <v>54</v>
      </c>
      <c r="F149" s="42">
        <v>243</v>
      </c>
      <c r="H149" s="119" t="s">
        <v>55</v>
      </c>
      <c r="I149" s="42">
        <v>8</v>
      </c>
      <c r="K149" s="120"/>
      <c r="L149" s="6"/>
    </row>
    <row r="150" spans="1:19" x14ac:dyDescent="0.6">
      <c r="H150" s="7" t="s">
        <v>56</v>
      </c>
      <c r="I150" s="5">
        <f>+I148+I149</f>
        <v>12</v>
      </c>
      <c r="K150" s="120"/>
      <c r="L150" s="6"/>
      <c r="M150" s="40"/>
    </row>
    <row r="151" spans="1:19" x14ac:dyDescent="0.6">
      <c r="A151" s="32"/>
      <c r="E151" s="100"/>
      <c r="F151" s="98"/>
    </row>
    <row r="152" spans="1:19" ht="26" x14ac:dyDescent="0.6">
      <c r="A152" s="32"/>
      <c r="B152" s="5" t="s">
        <v>57</v>
      </c>
      <c r="D152" s="162" t="s">
        <v>207</v>
      </c>
      <c r="E152" s="162"/>
      <c r="Q152" s="7"/>
      <c r="R152" s="7"/>
      <c r="S152" s="99"/>
    </row>
    <row r="153" spans="1:19" x14ac:dyDescent="0.6">
      <c r="A153" s="32"/>
      <c r="C153" s="5" t="s">
        <v>58</v>
      </c>
      <c r="D153" s="163">
        <v>50.34</v>
      </c>
      <c r="E153" s="98" t="s">
        <v>59</v>
      </c>
      <c r="F153" s="163"/>
      <c r="I153" s="7" t="s">
        <v>60</v>
      </c>
      <c r="J153" s="40">
        <f>$K$145*$D153*$F148</f>
        <v>12656024.678599736</v>
      </c>
      <c r="K153" s="7"/>
      <c r="L153" s="99"/>
      <c r="M153" s="95"/>
    </row>
    <row r="154" spans="1:19" x14ac:dyDescent="0.6">
      <c r="A154" s="32"/>
      <c r="C154" s="5" t="s">
        <v>61</v>
      </c>
      <c r="D154" s="163">
        <f>+D153</f>
        <v>50.34</v>
      </c>
      <c r="E154" s="98" t="s">
        <v>59</v>
      </c>
      <c r="F154" s="163"/>
      <c r="I154" s="121" t="s">
        <v>62</v>
      </c>
      <c r="J154" s="147">
        <f>$K$145*$D154*$F149</f>
        <v>25208311.449997835</v>
      </c>
      <c r="K154" s="7"/>
      <c r="L154" s="99"/>
    </row>
    <row r="155" spans="1:19" x14ac:dyDescent="0.6">
      <c r="A155" s="32"/>
      <c r="F155" s="122"/>
      <c r="G155" s="98"/>
      <c r="I155" s="7" t="s">
        <v>63</v>
      </c>
      <c r="J155" s="40">
        <f>SUM(J153:J154)</f>
        <v>37864336.128597572</v>
      </c>
      <c r="K155" s="7"/>
      <c r="L155" s="99"/>
    </row>
    <row r="156" spans="1:19" x14ac:dyDescent="0.6">
      <c r="A156" s="32"/>
      <c r="E156" s="146"/>
      <c r="F156" s="122"/>
      <c r="G156" s="98"/>
      <c r="I156" s="7"/>
      <c r="J156" s="40"/>
      <c r="K156" s="7"/>
      <c r="L156" s="99"/>
    </row>
    <row r="157" spans="1:19" x14ac:dyDescent="0.6">
      <c r="A157" s="32"/>
      <c r="B157" s="4" t="s">
        <v>64</v>
      </c>
      <c r="J157" s="7"/>
      <c r="K157" s="7"/>
      <c r="L157" s="99"/>
    </row>
    <row r="158" spans="1:19" x14ac:dyDescent="0.6">
      <c r="A158" s="32"/>
      <c r="B158" s="4"/>
      <c r="C158" s="8" t="str">
        <f>" ---------- Rate "&amp;C142&amp;" ----------"</f>
        <v xml:space="preserve"> ---------- Rate RS ----------</v>
      </c>
      <c r="D158" s="8"/>
      <c r="E158" s="9"/>
      <c r="F158" s="9"/>
      <c r="J158" s="7"/>
      <c r="K158" s="7"/>
      <c r="L158" s="99"/>
    </row>
    <row r="159" spans="1:19" x14ac:dyDescent="0.6">
      <c r="A159" s="32"/>
      <c r="C159" s="10" t="s">
        <v>65</v>
      </c>
      <c r="D159" s="10"/>
      <c r="F159" s="10" t="s">
        <v>66</v>
      </c>
      <c r="H159" s="5" t="s">
        <v>67</v>
      </c>
      <c r="J159" s="172">
        <v>1145011675.6723466</v>
      </c>
      <c r="K159" s="7"/>
      <c r="L159" s="99"/>
      <c r="M159" s="172"/>
    </row>
    <row r="160" spans="1:19" x14ac:dyDescent="0.6">
      <c r="A160" s="32"/>
      <c r="B160" s="7" t="s">
        <v>68</v>
      </c>
      <c r="C160" s="11">
        <v>5.4802</v>
      </c>
      <c r="D160" s="11"/>
      <c r="E160" s="12"/>
      <c r="F160" s="148">
        <f>J159/($J$159+$J$160)</f>
        <v>0.62745016546115706</v>
      </c>
      <c r="H160" s="5" t="s">
        <v>71</v>
      </c>
      <c r="J160" s="172">
        <v>679853052.55797815</v>
      </c>
      <c r="K160" s="7"/>
      <c r="L160" s="99"/>
      <c r="M160" s="172"/>
    </row>
    <row r="161" spans="1:13" x14ac:dyDescent="0.6">
      <c r="A161" s="32"/>
      <c r="B161" s="7" t="s">
        <v>69</v>
      </c>
      <c r="C161" s="13">
        <v>6.3453999999999997</v>
      </c>
      <c r="D161" s="13"/>
      <c r="E161" s="12"/>
      <c r="F161" s="148">
        <f>1-F160</f>
        <v>0.37254983453884294</v>
      </c>
      <c r="J161" s="155"/>
      <c r="K161" s="7"/>
      <c r="L161" s="99"/>
      <c r="M161" s="155"/>
    </row>
    <row r="162" spans="1:13" x14ac:dyDescent="0.6">
      <c r="A162" s="32"/>
      <c r="B162" s="14" t="s">
        <v>70</v>
      </c>
      <c r="C162" s="11">
        <f>C161-C160</f>
        <v>0.86519999999999975</v>
      </c>
      <c r="D162" s="11"/>
      <c r="E162" s="12"/>
      <c r="F162" s="12"/>
      <c r="G162" s="98"/>
      <c r="H162" s="129" t="s">
        <v>212</v>
      </c>
      <c r="J162" s="288">
        <v>2200358871.7696753</v>
      </c>
      <c r="M162" s="172"/>
    </row>
    <row r="163" spans="1:13" x14ac:dyDescent="0.6">
      <c r="A163" s="32"/>
      <c r="B163" s="14"/>
      <c r="C163" s="11"/>
      <c r="D163" s="11"/>
      <c r="E163" s="12"/>
      <c r="F163" s="12"/>
      <c r="G163" s="98"/>
      <c r="J163" s="155">
        <f>SUM(J159:J162)</f>
        <v>4025223600</v>
      </c>
      <c r="M163" s="155"/>
    </row>
    <row r="164" spans="1:13" x14ac:dyDescent="0.6">
      <c r="A164" s="32"/>
      <c r="B164" s="14"/>
      <c r="C164" s="11"/>
      <c r="D164" s="11"/>
      <c r="E164" s="12"/>
      <c r="F164" s="12"/>
      <c r="G164" s="98"/>
    </row>
    <row r="165" spans="1:13" x14ac:dyDescent="0.6">
      <c r="A165" s="31" t="s">
        <v>81</v>
      </c>
      <c r="B165" s="3" t="s">
        <v>213</v>
      </c>
      <c r="G165" s="98"/>
      <c r="J165" s="123"/>
    </row>
    <row r="166" spans="1:13" x14ac:dyDescent="0.6">
      <c r="A166" s="32"/>
      <c r="B166" s="16" t="s">
        <v>214</v>
      </c>
      <c r="E166" s="6">
        <v>2</v>
      </c>
      <c r="G166" s="98"/>
    </row>
    <row r="167" spans="1:13" x14ac:dyDescent="0.6">
      <c r="A167" s="32"/>
      <c r="B167" s="16" t="s">
        <v>215</v>
      </c>
      <c r="E167" s="299">
        <v>17.22</v>
      </c>
      <c r="G167" s="98"/>
    </row>
    <row r="168" spans="1:13" x14ac:dyDescent="0.6">
      <c r="A168" s="32"/>
      <c r="B168" s="19" t="s">
        <v>216</v>
      </c>
      <c r="E168" s="167">
        <f>E166+E167</f>
        <v>19.22</v>
      </c>
      <c r="G168" s="98"/>
    </row>
    <row r="169" spans="1:13" x14ac:dyDescent="0.6">
      <c r="A169" s="32"/>
      <c r="B169" s="16"/>
      <c r="E169" s="6"/>
      <c r="G169" s="98"/>
    </row>
    <row r="170" spans="1:13" x14ac:dyDescent="0.6">
      <c r="A170" s="32"/>
      <c r="B170" s="3"/>
      <c r="F170" s="75"/>
      <c r="G170" s="98"/>
    </row>
    <row r="171" spans="1:13" x14ac:dyDescent="0.6">
      <c r="A171" s="31" t="s">
        <v>86</v>
      </c>
      <c r="B171" s="3" t="s">
        <v>74</v>
      </c>
    </row>
    <row r="172" spans="1:13" x14ac:dyDescent="0.6">
      <c r="A172" s="31"/>
      <c r="B172" s="3"/>
      <c r="C172" s="49" t="s">
        <v>5</v>
      </c>
      <c r="D172" s="49" t="s">
        <v>119</v>
      </c>
      <c r="E172" s="49" t="s">
        <v>6</v>
      </c>
      <c r="F172" s="49" t="s">
        <v>7</v>
      </c>
      <c r="G172" s="49" t="s">
        <v>8</v>
      </c>
      <c r="H172" s="49" t="s">
        <v>9</v>
      </c>
      <c r="I172" s="49" t="s">
        <v>10</v>
      </c>
      <c r="J172" s="49" t="s">
        <v>11</v>
      </c>
      <c r="K172" s="49"/>
    </row>
    <row r="173" spans="1:13" x14ac:dyDescent="0.6">
      <c r="A173" s="32"/>
      <c r="B173" s="7" t="s">
        <v>75</v>
      </c>
      <c r="C173" s="100"/>
      <c r="D173" s="100"/>
      <c r="E173" s="100"/>
      <c r="F173" s="100"/>
      <c r="H173" s="100"/>
      <c r="I173" s="100"/>
      <c r="J173" s="100"/>
      <c r="K173" s="100"/>
      <c r="L173" s="100"/>
    </row>
    <row r="174" spans="1:13" x14ac:dyDescent="0.6">
      <c r="B174" s="7" t="s">
        <v>76</v>
      </c>
      <c r="C174" s="100">
        <f>($J$155*(C$145/$K$145))/C57</f>
        <v>7.3531594528145208</v>
      </c>
      <c r="D174" s="100">
        <f>($J$155*(D$145/$K$145))/SUMPRODUCT(D27:D38,D45:D56)</f>
        <v>13.95670977564566</v>
      </c>
      <c r="E174" s="100">
        <f t="shared" ref="E174:J174" si="42">($J$155*(E$145/$K$145))/E57</f>
        <v>6.0165315266282429</v>
      </c>
      <c r="F174" s="100">
        <f t="shared" si="42"/>
        <v>3.5503923565679312</v>
      </c>
      <c r="G174" s="100">
        <f t="shared" si="42"/>
        <v>4.41742587573839</v>
      </c>
      <c r="H174" s="100">
        <f t="shared" si="42"/>
        <v>3.1828984768469133</v>
      </c>
      <c r="I174" s="100">
        <f t="shared" si="42"/>
        <v>3.771789383403916E-3</v>
      </c>
      <c r="J174" s="100">
        <f t="shared" si="42"/>
        <v>2.5584403699456542</v>
      </c>
      <c r="K174" s="100"/>
      <c r="L174" s="100"/>
    </row>
    <row r="175" spans="1:13" x14ac:dyDescent="0.6">
      <c r="A175" s="32"/>
      <c r="B175" s="7" t="s">
        <v>77</v>
      </c>
      <c r="C175" s="100">
        <f>($J$153*(C$145/$K$145))/SUM(C50:C53)</f>
        <v>5.6432574545032015</v>
      </c>
      <c r="D175" s="100">
        <f>($J$153*(D$145/$K$145))/SUMPRODUCT(D50:D53,D32:D35)</f>
        <v>9.4058542389296864</v>
      </c>
      <c r="E175" s="100">
        <f t="shared" ref="E175:J175" si="43">($J$153*(E$145/$K$145))/SUM(E50:E53)</f>
        <v>5.1884441726321828</v>
      </c>
      <c r="F175" s="100">
        <f t="shared" si="43"/>
        <v>3.0677750171004918</v>
      </c>
      <c r="G175" s="100">
        <f t="shared" si="43"/>
        <v>3.8037881647667238</v>
      </c>
      <c r="H175" s="100">
        <f t="shared" si="43"/>
        <v>3.1792855283869672</v>
      </c>
      <c r="I175" s="100">
        <f t="shared" si="43"/>
        <v>4.2710292694768731E-3</v>
      </c>
      <c r="J175" s="100">
        <f t="shared" si="43"/>
        <v>2.2609755472644966</v>
      </c>
      <c r="K175" s="100"/>
      <c r="L175" s="100"/>
    </row>
    <row r="176" spans="1:13" x14ac:dyDescent="0.6">
      <c r="A176" s="32"/>
      <c r="B176" s="7" t="s">
        <v>78</v>
      </c>
      <c r="C176" s="100">
        <f>($J$154*(C$145/$K$145))/SUM(C45:C49,C54:C56)</f>
        <v>8.672436625258932</v>
      </c>
      <c r="D176" s="100">
        <f>($J$154*(D$145/$K$145))/(SUMPRODUCT(D45:D49,D27:D31)+SUMPRODUCT(D54:D56,D36:D38))</f>
        <v>18.434717643467465</v>
      </c>
      <c r="E176" s="100">
        <f t="shared" ref="E176:J176" si="44">($J$154*(E$145/$K$145))/SUM(E45:E49,E54:E56)</f>
        <v>6.5406290144367665</v>
      </c>
      <c r="F176" s="100">
        <f t="shared" si="44"/>
        <v>3.8548603319622083</v>
      </c>
      <c r="G176" s="100">
        <f t="shared" si="44"/>
        <v>4.8067397530291815</v>
      </c>
      <c r="H176" s="100">
        <f t="shared" si="44"/>
        <v>3.1847154831314004</v>
      </c>
      <c r="I176" s="100">
        <f t="shared" si="44"/>
        <v>3.5627102060191303E-3</v>
      </c>
      <c r="J176" s="100">
        <f t="shared" si="44"/>
        <v>2.7393853037020404</v>
      </c>
      <c r="K176" s="100"/>
      <c r="L176" s="100"/>
    </row>
    <row r="177" spans="1:12" x14ac:dyDescent="0.6">
      <c r="A177" s="32"/>
      <c r="F177" s="100"/>
      <c r="G177" s="100"/>
      <c r="H177" s="100"/>
      <c r="I177" s="100"/>
      <c r="K177" s="100"/>
      <c r="L177" s="100"/>
    </row>
    <row r="178" spans="1:12" x14ac:dyDescent="0.6">
      <c r="A178" s="32"/>
    </row>
    <row r="179" spans="1:12" x14ac:dyDescent="0.6">
      <c r="A179" s="31" t="s">
        <v>87</v>
      </c>
      <c r="B179" s="3" t="s">
        <v>255</v>
      </c>
    </row>
    <row r="180" spans="1:12" x14ac:dyDescent="0.6">
      <c r="A180" s="32"/>
      <c r="B180" s="19" t="s">
        <v>218</v>
      </c>
    </row>
    <row r="181" spans="1:12" x14ac:dyDescent="0.6">
      <c r="A181" s="32"/>
      <c r="B181" s="4" t="s">
        <v>35</v>
      </c>
    </row>
    <row r="182" spans="1:12" x14ac:dyDescent="0.6">
      <c r="A182" s="32"/>
      <c r="C182" s="49" t="s">
        <v>5</v>
      </c>
      <c r="D182" s="49" t="s">
        <v>119</v>
      </c>
      <c r="E182" s="49" t="s">
        <v>6</v>
      </c>
      <c r="F182" s="49" t="s">
        <v>7</v>
      </c>
      <c r="G182" s="49" t="s">
        <v>8</v>
      </c>
      <c r="H182" s="49" t="s">
        <v>9</v>
      </c>
      <c r="I182" s="49" t="s">
        <v>10</v>
      </c>
      <c r="J182" s="49" t="s">
        <v>11</v>
      </c>
    </row>
    <row r="183" spans="1:12" x14ac:dyDescent="0.6">
      <c r="A183" s="32"/>
      <c r="C183" s="171"/>
      <c r="D183" s="27"/>
      <c r="E183" s="27"/>
      <c r="F183" s="27"/>
      <c r="H183" s="27"/>
    </row>
    <row r="184" spans="1:12" x14ac:dyDescent="0.6">
      <c r="A184" s="32"/>
      <c r="B184" s="33" t="s">
        <v>43</v>
      </c>
      <c r="C184" s="15">
        <f t="shared" ref="C184:J184" si="45">+C128+($E$168*C$80)+C175</f>
        <v>66.07758424236269</v>
      </c>
      <c r="D184" s="15">
        <f>+D128+($E$168*D$80)+D175</f>
        <v>69.870241052852947</v>
      </c>
      <c r="E184" s="15">
        <f t="shared" si="45"/>
        <v>65.796399338097075</v>
      </c>
      <c r="F184" s="15">
        <f t="shared" si="45"/>
        <v>61.547034706179936</v>
      </c>
      <c r="G184" s="15">
        <f t="shared" si="45"/>
        <v>64.092300299513056</v>
      </c>
      <c r="H184" s="15">
        <f t="shared" si="45"/>
        <v>61.13406909949417</v>
      </c>
      <c r="I184" s="15">
        <f t="shared" si="45"/>
        <v>55.267833707736607</v>
      </c>
      <c r="J184" s="15">
        <f t="shared" si="45"/>
        <v>61.452469529472907</v>
      </c>
    </row>
    <row r="185" spans="1:12" x14ac:dyDescent="0.6">
      <c r="A185" s="32"/>
      <c r="B185" s="34" t="s">
        <v>114</v>
      </c>
      <c r="C185" s="15"/>
      <c r="D185" s="15">
        <f>D$129+(E$168*D$80)+D$175</f>
        <v>79.423401526909544</v>
      </c>
      <c r="E185" s="15"/>
      <c r="F185" s="15"/>
      <c r="G185" s="15"/>
      <c r="H185" s="15"/>
      <c r="I185" s="15"/>
      <c r="J185" s="15"/>
    </row>
    <row r="186" spans="1:12" x14ac:dyDescent="0.6">
      <c r="A186" s="32"/>
      <c r="B186" s="34" t="s">
        <v>37</v>
      </c>
      <c r="C186" s="15"/>
      <c r="D186" s="15">
        <f>D$130+(E$168*D$80)</f>
        <v>54.381521787725504</v>
      </c>
      <c r="E186" s="15"/>
      <c r="F186" s="15"/>
      <c r="G186" s="15"/>
      <c r="H186" s="15"/>
      <c r="I186" s="15"/>
      <c r="J186" s="15"/>
    </row>
    <row r="187" spans="1:12" x14ac:dyDescent="0.6">
      <c r="A187" s="32"/>
      <c r="B187" s="7" t="s">
        <v>68</v>
      </c>
      <c r="C187" s="15">
        <f>(C184*SUM(C50:C53)-$C$162*10*$F$161*SUM(C50:C53))/SUM(C50:C53)</f>
        <v>62.854283073932621</v>
      </c>
      <c r="D187" s="15"/>
      <c r="E187" s="15"/>
      <c r="F187" s="15"/>
      <c r="G187" s="15"/>
      <c r="H187" s="15"/>
      <c r="I187" s="15"/>
      <c r="J187" s="15"/>
    </row>
    <row r="188" spans="1:12" x14ac:dyDescent="0.6">
      <c r="A188" s="32"/>
      <c r="B188" s="7" t="s">
        <v>69</v>
      </c>
      <c r="C188" s="15">
        <f>+C187+$C$162*10</f>
        <v>71.506283073932622</v>
      </c>
      <c r="D188" s="15"/>
      <c r="E188" s="15"/>
      <c r="F188" s="15"/>
      <c r="G188" s="15"/>
      <c r="H188" s="15"/>
      <c r="I188" s="15"/>
      <c r="J188" s="15"/>
    </row>
    <row r="189" spans="1:12" x14ac:dyDescent="0.6">
      <c r="A189" s="32"/>
      <c r="B189" s="7"/>
      <c r="C189" s="15"/>
      <c r="D189" s="15"/>
      <c r="E189" s="15"/>
      <c r="F189" s="15"/>
      <c r="G189" s="15"/>
      <c r="H189" s="15"/>
      <c r="I189" s="15"/>
      <c r="J189" s="15"/>
    </row>
    <row r="190" spans="1:12" x14ac:dyDescent="0.6">
      <c r="A190" s="32"/>
      <c r="B190" s="33" t="s">
        <v>44</v>
      </c>
      <c r="C190" s="15">
        <f t="shared" ref="C190:J190" si="46">+C132+($E$168*C$80)+C$176</f>
        <v>73.436665372581842</v>
      </c>
      <c r="D190" s="15">
        <f t="shared" si="46"/>
        <v>83.202171891332469</v>
      </c>
      <c r="E190" s="15">
        <f t="shared" si="46"/>
        <v>70.247510195624102</v>
      </c>
      <c r="F190" s="15">
        <f t="shared" si="46"/>
        <v>65.493599871192444</v>
      </c>
      <c r="G190" s="15">
        <f t="shared" si="46"/>
        <v>68.599325118419998</v>
      </c>
      <c r="H190" s="15">
        <f t="shared" si="46"/>
        <v>65.710080311755306</v>
      </c>
      <c r="I190" s="15">
        <f t="shared" si="46"/>
        <v>63.275558126837069</v>
      </c>
      <c r="J190" s="15">
        <f t="shared" si="46"/>
        <v>66.186008083966854</v>
      </c>
    </row>
    <row r="191" spans="1:12" x14ac:dyDescent="0.6">
      <c r="A191" s="32"/>
      <c r="B191" s="34" t="s">
        <v>114</v>
      </c>
      <c r="C191" s="15"/>
      <c r="D191" s="15">
        <f>D$133+($E$168*D$80)+$D$176</f>
        <v>86.933333678256176</v>
      </c>
      <c r="E191" s="15"/>
      <c r="F191" s="15"/>
      <c r="G191" s="15"/>
      <c r="H191" s="15"/>
      <c r="I191" s="15"/>
      <c r="J191" s="15"/>
    </row>
    <row r="192" spans="1:12" x14ac:dyDescent="0.6">
      <c r="A192" s="32"/>
      <c r="B192" s="34" t="s">
        <v>37</v>
      </c>
      <c r="C192" s="15"/>
      <c r="D192" s="15">
        <f>D$134+($E$168*D$80)</f>
        <v>63.129739543884973</v>
      </c>
      <c r="E192" s="15"/>
      <c r="F192" s="15"/>
      <c r="G192" s="15"/>
      <c r="H192" s="15"/>
      <c r="I192" s="15"/>
      <c r="J192" s="15"/>
    </row>
    <row r="193" spans="1:10" x14ac:dyDescent="0.6">
      <c r="A193" s="32"/>
      <c r="B193" s="5" t="s">
        <v>45</v>
      </c>
      <c r="C193" s="15">
        <f>+C136+($E$168*C$80)+C174</f>
        <v>70.231616348412572</v>
      </c>
      <c r="D193" s="15">
        <f>((D185*SUMPRODUCT(D32:D35,D50:D53)+D186*SUMPRODUCT(D50:D53,P32:P35))+(D191*(SUMPRODUCT(D45:D49,D27:D31)+SUMPRODUCT(D54:D56,D36:D38))+D192*(SUMPRODUCT(D45:D49,P27:P31)+SUMPRODUCT(D54:D56,P36:P38))))/D57</f>
        <v>67.661236907012281</v>
      </c>
      <c r="E193" s="15">
        <f t="shared" ref="E193:J193" si="47">+E136+($E$168*E$80)+E174</f>
        <v>68.522290428130006</v>
      </c>
      <c r="F193" s="15">
        <f t="shared" si="47"/>
        <v>63.966951256532361</v>
      </c>
      <c r="G193" s="15">
        <f t="shared" si="47"/>
        <v>66.849841566243484</v>
      </c>
      <c r="H193" s="15">
        <f t="shared" si="47"/>
        <v>64.178826089224899</v>
      </c>
      <c r="I193" s="15">
        <f t="shared" si="47"/>
        <v>60.911865660201265</v>
      </c>
      <c r="J193" s="15">
        <f t="shared" si="47"/>
        <v>64.395681259208573</v>
      </c>
    </row>
    <row r="194" spans="1:10" x14ac:dyDescent="0.6">
      <c r="A194" s="32"/>
    </row>
    <row r="195" spans="1:10" x14ac:dyDescent="0.6">
      <c r="A195" s="32"/>
      <c r="C195" s="15"/>
      <c r="D195" s="15"/>
      <c r="E195" s="15"/>
    </row>
    <row r="196" spans="1:10" x14ac:dyDescent="0.6">
      <c r="A196" s="32"/>
      <c r="B196" s="7" t="s">
        <v>80</v>
      </c>
      <c r="C196" s="55">
        <f>(SUMPRODUCT(C193:J193,C57:J57)/1000)</f>
        <v>401087.8502260301</v>
      </c>
      <c r="D196" s="55"/>
      <c r="E196" s="55"/>
    </row>
    <row r="197" spans="1:10" x14ac:dyDescent="0.6">
      <c r="A197" s="32"/>
      <c r="B197" s="7"/>
      <c r="C197" s="54"/>
      <c r="D197" s="54"/>
    </row>
    <row r="198" spans="1:10" x14ac:dyDescent="0.6">
      <c r="A198" s="32"/>
      <c r="B198" s="129" t="s">
        <v>264</v>
      </c>
      <c r="G198" s="100">
        <f>+C196/SUM(C57:J57)*1000</f>
        <v>69.213460071676067</v>
      </c>
      <c r="H198" s="103"/>
    </row>
    <row r="199" spans="1:10" x14ac:dyDescent="0.6">
      <c r="A199" s="32"/>
      <c r="B199" s="129" t="s">
        <v>269</v>
      </c>
      <c r="G199" s="100">
        <f>+C196/SUMPRODUCT(C57:J57,C84:J84)*1000</f>
        <v>65.462643037227025</v>
      </c>
      <c r="H199" s="103"/>
    </row>
    <row r="200" spans="1:10" x14ac:dyDescent="0.6">
      <c r="A200" s="32"/>
    </row>
    <row r="201" spans="1:10" x14ac:dyDescent="0.6">
      <c r="A201" s="32"/>
    </row>
    <row r="202" spans="1:10" x14ac:dyDescent="0.6">
      <c r="A202" s="256" t="s">
        <v>88</v>
      </c>
      <c r="B202" s="16" t="s">
        <v>272</v>
      </c>
      <c r="C202" s="17"/>
      <c r="D202" s="17"/>
      <c r="E202" s="17"/>
      <c r="F202" s="17"/>
      <c r="G202" s="17"/>
      <c r="H202" s="17"/>
      <c r="I202" s="17"/>
      <c r="J202" s="17"/>
    </row>
    <row r="203" spans="1:10" x14ac:dyDescent="0.6">
      <c r="A203" s="18"/>
      <c r="B203" s="19" t="s">
        <v>218</v>
      </c>
      <c r="C203" s="17"/>
      <c r="D203" s="17"/>
      <c r="E203" s="17"/>
      <c r="F203" s="17"/>
      <c r="G203" s="17"/>
      <c r="H203" s="17"/>
      <c r="I203" s="17"/>
      <c r="J203" s="17"/>
    </row>
    <row r="204" spans="1:10" x14ac:dyDescent="0.6">
      <c r="A204" s="18"/>
      <c r="B204" s="19"/>
      <c r="C204" s="17"/>
      <c r="D204" s="17"/>
      <c r="E204" s="17"/>
      <c r="F204" s="17"/>
      <c r="G204" s="17"/>
      <c r="H204" s="17"/>
      <c r="I204" s="17"/>
      <c r="J204" s="17"/>
    </row>
    <row r="205" spans="1:10" x14ac:dyDescent="0.6">
      <c r="A205" s="18"/>
      <c r="B205" s="17"/>
      <c r="C205" s="20" t="s">
        <v>5</v>
      </c>
      <c r="D205" s="49" t="s">
        <v>119</v>
      </c>
      <c r="E205" s="20" t="s">
        <v>6</v>
      </c>
      <c r="F205" s="20" t="s">
        <v>7</v>
      </c>
      <c r="G205" s="20" t="s">
        <v>8</v>
      </c>
      <c r="H205" s="20" t="s">
        <v>9</v>
      </c>
      <c r="I205" s="20" t="s">
        <v>10</v>
      </c>
      <c r="J205" s="20" t="s">
        <v>11</v>
      </c>
    </row>
    <row r="206" spans="1:10" x14ac:dyDescent="0.6">
      <c r="A206" s="18"/>
      <c r="B206" s="17"/>
      <c r="C206" s="21"/>
      <c r="D206" s="21"/>
      <c r="E206" s="21"/>
      <c r="F206" s="21"/>
      <c r="G206" s="17"/>
      <c r="H206" s="21"/>
      <c r="I206" s="17"/>
      <c r="J206" s="17"/>
    </row>
    <row r="207" spans="1:10" x14ac:dyDescent="0.6">
      <c r="A207" s="18"/>
      <c r="B207" s="22" t="s">
        <v>43</v>
      </c>
      <c r="D207" s="29">
        <f t="shared" ref="D207:J207" si="48">ROUND(D184/$G$199,3)</f>
        <v>1.0669999999999999</v>
      </c>
      <c r="E207" s="29">
        <f t="shared" si="48"/>
        <v>1.0049999999999999</v>
      </c>
      <c r="F207" s="29">
        <f t="shared" si="48"/>
        <v>0.94</v>
      </c>
      <c r="G207" s="29">
        <f t="shared" si="48"/>
        <v>0.97899999999999998</v>
      </c>
      <c r="H207" s="29">
        <f t="shared" si="48"/>
        <v>0.93400000000000005</v>
      </c>
      <c r="I207" s="29">
        <f t="shared" si="48"/>
        <v>0.84399999999999997</v>
      </c>
      <c r="J207" s="29">
        <f t="shared" si="48"/>
        <v>0.93899999999999995</v>
      </c>
    </row>
    <row r="208" spans="1:10" x14ac:dyDescent="0.6">
      <c r="A208" s="18"/>
      <c r="B208" s="34" t="s">
        <v>114</v>
      </c>
      <c r="D208" s="29">
        <f>ROUND(D185/$G$199,3)</f>
        <v>1.2130000000000001</v>
      </c>
      <c r="E208" s="29"/>
      <c r="F208" s="29"/>
      <c r="G208" s="29"/>
      <c r="H208" s="29"/>
      <c r="I208" s="29"/>
      <c r="J208" s="29"/>
    </row>
    <row r="209" spans="1:12" x14ac:dyDescent="0.6">
      <c r="A209" s="18"/>
      <c r="B209" s="34" t="s">
        <v>37</v>
      </c>
      <c r="D209" s="29">
        <f>ROUND(D186/$G$199,3)</f>
        <v>0.83099999999999996</v>
      </c>
      <c r="E209" s="29"/>
      <c r="F209" s="29"/>
      <c r="G209" s="29"/>
      <c r="H209" s="29"/>
      <c r="I209" s="29"/>
      <c r="J209" s="29"/>
    </row>
    <row r="210" spans="1:12" x14ac:dyDescent="0.6">
      <c r="A210" s="18"/>
      <c r="B210" s="14" t="s">
        <v>82</v>
      </c>
      <c r="C210" s="29">
        <f>ROUND(C184/$G$199,3)</f>
        <v>1.0089999999999999</v>
      </c>
      <c r="D210" s="29"/>
      <c r="E210" s="24"/>
      <c r="F210" s="23"/>
      <c r="G210" s="23"/>
      <c r="H210" s="23"/>
      <c r="I210" s="23"/>
      <c r="J210" s="149"/>
    </row>
    <row r="211" spans="1:12" x14ac:dyDescent="0.6">
      <c r="A211" s="18"/>
      <c r="B211" s="14" t="s">
        <v>83</v>
      </c>
      <c r="C211" s="25">
        <f>(C187-C$184)</f>
        <v>-3.2233011684300692</v>
      </c>
      <c r="D211" s="25"/>
      <c r="E211" s="26" t="s">
        <v>84</v>
      </c>
      <c r="F211" s="23"/>
      <c r="G211" s="23"/>
      <c r="H211" s="23"/>
      <c r="I211" s="23"/>
      <c r="J211" s="149"/>
    </row>
    <row r="212" spans="1:12" x14ac:dyDescent="0.6">
      <c r="A212" s="18"/>
      <c r="B212" s="14" t="s">
        <v>83</v>
      </c>
      <c r="C212" s="25">
        <f>(C188-C$184)</f>
        <v>5.4286988315699318</v>
      </c>
      <c r="D212" s="25"/>
      <c r="E212" s="26" t="s">
        <v>85</v>
      </c>
      <c r="F212" s="23"/>
      <c r="G212" s="23"/>
      <c r="H212" s="23"/>
      <c r="I212" s="23"/>
      <c r="J212" s="149"/>
    </row>
    <row r="213" spans="1:12" x14ac:dyDescent="0.6">
      <c r="A213" s="18"/>
      <c r="B213" s="22"/>
      <c r="C213" s="23"/>
      <c r="D213" s="23"/>
      <c r="E213" s="23"/>
      <c r="F213" s="23"/>
      <c r="G213" s="23"/>
      <c r="H213" s="23"/>
      <c r="I213" s="23"/>
      <c r="J213" s="149"/>
    </row>
    <row r="214" spans="1:12" x14ac:dyDescent="0.6">
      <c r="A214" s="18"/>
      <c r="B214" s="22" t="s">
        <v>44</v>
      </c>
      <c r="C214" s="29">
        <f t="shared" ref="C214:J214" si="49">ROUND(+C190/$G$199,3)</f>
        <v>1.1220000000000001</v>
      </c>
      <c r="D214" s="29">
        <f t="shared" si="49"/>
        <v>1.2709999999999999</v>
      </c>
      <c r="E214" s="29">
        <f t="shared" si="49"/>
        <v>1.073</v>
      </c>
      <c r="F214" s="29">
        <f t="shared" si="49"/>
        <v>1</v>
      </c>
      <c r="G214" s="29">
        <f t="shared" si="49"/>
        <v>1.048</v>
      </c>
      <c r="H214" s="29">
        <f t="shared" si="49"/>
        <v>1.004</v>
      </c>
      <c r="I214" s="29">
        <f t="shared" si="49"/>
        <v>0.96699999999999997</v>
      </c>
      <c r="J214" s="29">
        <f t="shared" si="49"/>
        <v>1.0109999999999999</v>
      </c>
    </row>
    <row r="215" spans="1:12" x14ac:dyDescent="0.6">
      <c r="A215" s="18"/>
      <c r="B215" s="34" t="s">
        <v>114</v>
      </c>
      <c r="C215" s="29"/>
      <c r="D215" s="29">
        <f>ROUND(+D191/$G$199,3)</f>
        <v>1.3280000000000001</v>
      </c>
      <c r="E215" s="29"/>
      <c r="F215" s="29"/>
      <c r="G215" s="29"/>
      <c r="H215" s="29"/>
      <c r="I215" s="29"/>
      <c r="J215" s="29"/>
    </row>
    <row r="216" spans="1:12" x14ac:dyDescent="0.6">
      <c r="A216" s="18"/>
      <c r="B216" s="34" t="s">
        <v>37</v>
      </c>
      <c r="C216" s="29"/>
      <c r="D216" s="29">
        <f>ROUND(+D192/$G$199,3)</f>
        <v>0.96399999999999997</v>
      </c>
      <c r="E216" s="29"/>
      <c r="F216" s="29"/>
      <c r="G216" s="29"/>
      <c r="H216" s="29"/>
      <c r="I216" s="29"/>
      <c r="J216" s="29"/>
    </row>
    <row r="217" spans="1:12" x14ac:dyDescent="0.6">
      <c r="A217" s="18"/>
      <c r="B217" s="17" t="s">
        <v>45</v>
      </c>
      <c r="C217" s="29">
        <f>ROUND(+C193/$G$199,3)</f>
        <v>1.073</v>
      </c>
      <c r="D217" s="29">
        <f>ROUND(+D193/$G$199,3)</f>
        <v>1.034</v>
      </c>
      <c r="E217" s="29">
        <f t="shared" ref="E217:J217" si="50">ROUND(+E193/$G$199,3)</f>
        <v>1.0469999999999999</v>
      </c>
      <c r="F217" s="29">
        <f t="shared" si="50"/>
        <v>0.97699999999999998</v>
      </c>
      <c r="G217" s="29">
        <f t="shared" si="50"/>
        <v>1.0209999999999999</v>
      </c>
      <c r="H217" s="29">
        <f t="shared" si="50"/>
        <v>0.98</v>
      </c>
      <c r="I217" s="29">
        <f t="shared" si="50"/>
        <v>0.93</v>
      </c>
      <c r="J217" s="29">
        <f t="shared" si="50"/>
        <v>0.98399999999999999</v>
      </c>
    </row>
    <row r="218" spans="1:12" x14ac:dyDescent="0.6">
      <c r="A218" s="32"/>
    </row>
    <row r="219" spans="1:12" x14ac:dyDescent="0.6">
      <c r="A219" s="32"/>
    </row>
    <row r="220" spans="1:12" x14ac:dyDescent="0.6">
      <c r="A220" s="31" t="s">
        <v>257</v>
      </c>
      <c r="B220" s="3" t="s">
        <v>89</v>
      </c>
    </row>
    <row r="221" spans="1:12" x14ac:dyDescent="0.6">
      <c r="A221" s="32"/>
      <c r="B221" s="3"/>
    </row>
    <row r="222" spans="1:12" x14ac:dyDescent="0.6">
      <c r="A222" s="32"/>
      <c r="C222" s="20" t="s">
        <v>5</v>
      </c>
      <c r="D222" s="49" t="s">
        <v>119</v>
      </c>
      <c r="E222" s="20" t="s">
        <v>6</v>
      </c>
      <c r="F222" s="20" t="s">
        <v>7</v>
      </c>
      <c r="G222" s="20" t="s">
        <v>8</v>
      </c>
      <c r="H222" s="20" t="s">
        <v>9</v>
      </c>
      <c r="I222" s="20" t="s">
        <v>10</v>
      </c>
      <c r="J222" s="20" t="s">
        <v>11</v>
      </c>
      <c r="K222" s="27"/>
      <c r="L222" s="27"/>
    </row>
    <row r="223" spans="1:12" x14ac:dyDescent="0.6">
      <c r="A223" s="32"/>
      <c r="B223" s="5" t="s">
        <v>90</v>
      </c>
    </row>
    <row r="224" spans="1:12" x14ac:dyDescent="0.6">
      <c r="A224" s="32"/>
      <c r="B224" s="53" t="s">
        <v>58</v>
      </c>
      <c r="C224" s="54">
        <f>((C187*O$48*F$160)+(C188*O$48*F$161))/1000</f>
        <v>108751.8209287691</v>
      </c>
      <c r="D224" s="54">
        <f t="shared" ref="D224:J224" si="51">+D184*SUM(D50:D53)/1000</f>
        <v>62.328258979054858</v>
      </c>
      <c r="E224" s="54">
        <f t="shared" si="51"/>
        <v>25044.118431761879</v>
      </c>
      <c r="F224" s="54">
        <f t="shared" si="51"/>
        <v>1715.2837223723277</v>
      </c>
      <c r="G224" s="54">
        <f t="shared" si="51"/>
        <v>20647.972594026178</v>
      </c>
      <c r="H224" s="54">
        <f t="shared" si="51"/>
        <v>1337.1880831018213</v>
      </c>
      <c r="I224" s="54">
        <f t="shared" si="51"/>
        <v>870.56800520203433</v>
      </c>
      <c r="J224" s="54">
        <f t="shared" si="51"/>
        <v>259.83362356290132</v>
      </c>
      <c r="K224" s="54"/>
      <c r="L224" s="54"/>
    </row>
    <row r="225" spans="1:13" x14ac:dyDescent="0.6">
      <c r="A225" s="32"/>
      <c r="B225" s="53" t="s">
        <v>61</v>
      </c>
      <c r="C225" s="54">
        <f t="shared" ref="C225:J225" si="52">+C190*SUM(C45:C49,C54:C56)/1000</f>
        <v>156650.03653586982</v>
      </c>
      <c r="D225" s="54">
        <f t="shared" si="52"/>
        <v>96.197235038508268</v>
      </c>
      <c r="E225" s="54">
        <f t="shared" si="52"/>
        <v>42247.268177179583</v>
      </c>
      <c r="F225" s="54">
        <f t="shared" si="52"/>
        <v>2893.2702174993074</v>
      </c>
      <c r="G225" s="54">
        <f t="shared" si="52"/>
        <v>34834.01671878271</v>
      </c>
      <c r="H225" s="54">
        <f t="shared" si="52"/>
        <v>2857.8967125090248</v>
      </c>
      <c r="I225" s="54">
        <f t="shared" si="52"/>
        <v>2379.9330340418501</v>
      </c>
      <c r="J225" s="54">
        <f t="shared" si="52"/>
        <v>460.05672617803526</v>
      </c>
      <c r="K225" s="54"/>
      <c r="L225" s="54"/>
    </row>
    <row r="226" spans="1:13" x14ac:dyDescent="0.6">
      <c r="A226" s="32"/>
      <c r="B226" s="53" t="s">
        <v>29</v>
      </c>
      <c r="C226" s="40">
        <f t="shared" ref="C226:J226" si="53">+C225+C224</f>
        <v>265401.85746463889</v>
      </c>
      <c r="D226" s="40">
        <f t="shared" si="53"/>
        <v>158.52549401756312</v>
      </c>
      <c r="E226" s="40">
        <f t="shared" si="53"/>
        <v>67291.386608941466</v>
      </c>
      <c r="F226" s="40">
        <f t="shared" si="53"/>
        <v>4608.5539398716355</v>
      </c>
      <c r="G226" s="40">
        <f t="shared" si="53"/>
        <v>55481.989312808888</v>
      </c>
      <c r="H226" s="40">
        <f t="shared" si="53"/>
        <v>4195.0847956108464</v>
      </c>
      <c r="I226" s="40">
        <f t="shared" si="53"/>
        <v>3250.5010392438844</v>
      </c>
      <c r="J226" s="54">
        <f t="shared" si="53"/>
        <v>719.89034974093659</v>
      </c>
      <c r="K226" s="54"/>
      <c r="L226" s="54"/>
    </row>
    <row r="227" spans="1:13" x14ac:dyDescent="0.6">
      <c r="A227" s="32"/>
      <c r="B227" s="53"/>
    </row>
    <row r="228" spans="1:13" x14ac:dyDescent="0.6">
      <c r="A228" s="32"/>
      <c r="B228" s="5" t="s">
        <v>91</v>
      </c>
    </row>
    <row r="229" spans="1:13" x14ac:dyDescent="0.6">
      <c r="A229" s="32"/>
      <c r="B229" s="53" t="s">
        <v>58</v>
      </c>
      <c r="C229" s="104">
        <f t="shared" ref="C229:J229" si="54">+C224/C226</f>
        <v>0.40976284780998101</v>
      </c>
      <c r="D229" s="104">
        <f>+D224/D226</f>
        <v>0.39317498655547151</v>
      </c>
      <c r="E229" s="104">
        <f t="shared" si="54"/>
        <v>0.37217420674214635</v>
      </c>
      <c r="F229" s="104">
        <f t="shared" si="54"/>
        <v>0.3721956485161817</v>
      </c>
      <c r="G229" s="104">
        <f t="shared" si="54"/>
        <v>0.37215631324270609</v>
      </c>
      <c r="H229" s="104">
        <f t="shared" si="54"/>
        <v>0.31875114526907039</v>
      </c>
      <c r="I229" s="104">
        <f>+I224/I226</f>
        <v>0.26782578891423509</v>
      </c>
      <c r="J229" s="104">
        <f t="shared" si="54"/>
        <v>0.36093500024886621</v>
      </c>
      <c r="K229" s="104"/>
      <c r="L229" s="104"/>
    </row>
    <row r="230" spans="1:13" x14ac:dyDescent="0.6">
      <c r="A230" s="32"/>
      <c r="B230" s="53" t="s">
        <v>61</v>
      </c>
      <c r="C230" s="104">
        <f t="shared" ref="C230:J230" si="55">+C225/C226</f>
        <v>0.59023715219001904</v>
      </c>
      <c r="D230" s="104">
        <f>+D225/D226</f>
        <v>0.60682501344452855</v>
      </c>
      <c r="E230" s="104">
        <f t="shared" si="55"/>
        <v>0.62782579325785359</v>
      </c>
      <c r="F230" s="104">
        <f t="shared" si="55"/>
        <v>0.62780435148381819</v>
      </c>
      <c r="G230" s="104">
        <f t="shared" si="55"/>
        <v>0.62784368675729385</v>
      </c>
      <c r="H230" s="104">
        <f t="shared" si="55"/>
        <v>0.68124885473092955</v>
      </c>
      <c r="I230" s="104">
        <f t="shared" si="55"/>
        <v>0.73217421108576497</v>
      </c>
      <c r="J230" s="104">
        <f t="shared" si="55"/>
        <v>0.63906499975113384</v>
      </c>
      <c r="K230" s="104"/>
      <c r="L230" s="104"/>
    </row>
    <row r="231" spans="1:13" x14ac:dyDescent="0.6">
      <c r="A231" s="32"/>
    </row>
    <row r="232" spans="1:13" x14ac:dyDescent="0.6">
      <c r="A232" s="32"/>
      <c r="B232" s="5" t="s">
        <v>92</v>
      </c>
    </row>
    <row r="233" spans="1:13" x14ac:dyDescent="0.6">
      <c r="A233" s="32"/>
      <c r="B233" s="53" t="s">
        <v>58</v>
      </c>
      <c r="C233" s="105">
        <f>+SUM(C224:J224)</f>
        <v>158689.11364777532</v>
      </c>
      <c r="D233" s="105"/>
    </row>
    <row r="234" spans="1:13" x14ac:dyDescent="0.6">
      <c r="A234" s="32"/>
      <c r="B234" s="53" t="s">
        <v>61</v>
      </c>
      <c r="C234" s="105">
        <f>+SUM(C225:J225)</f>
        <v>242418.67535709884</v>
      </c>
      <c r="D234" s="105"/>
    </row>
    <row r="235" spans="1:13" x14ac:dyDescent="0.6">
      <c r="A235" s="32"/>
      <c r="B235" s="53" t="s">
        <v>29</v>
      </c>
      <c r="C235" s="40">
        <f>+C234+C233</f>
        <v>401107.78900487418</v>
      </c>
      <c r="D235" s="40"/>
    </row>
    <row r="236" spans="1:13" x14ac:dyDescent="0.6">
      <c r="A236" s="32"/>
    </row>
    <row r="237" spans="1:13" x14ac:dyDescent="0.6">
      <c r="A237" s="32"/>
      <c r="B237" s="5" t="s">
        <v>93</v>
      </c>
      <c r="D237" s="5" t="s">
        <v>94</v>
      </c>
    </row>
    <row r="238" spans="1:13" x14ac:dyDescent="0.6">
      <c r="A238" s="32"/>
      <c r="B238" s="53" t="s">
        <v>58</v>
      </c>
      <c r="C238" s="104">
        <f>+C233/C235</f>
        <v>0.39562710572505727</v>
      </c>
      <c r="E238" s="99">
        <f>+C233/SUMPRODUCT(O48:V48,C84:J84)*1000</f>
        <v>62.035169404777854</v>
      </c>
      <c r="F238" s="5" t="s">
        <v>270</v>
      </c>
      <c r="I238" s="5" t="s">
        <v>259</v>
      </c>
      <c r="K238" s="5" t="s">
        <v>95</v>
      </c>
      <c r="L238" s="53" t="s">
        <v>58</v>
      </c>
      <c r="M238" s="150">
        <f>IF(ROUND(E$238/G$199,4)&lt;ROUND(E$239/G$199,4),1,ROUND(E238/G$199,4))</f>
        <v>1</v>
      </c>
    </row>
    <row r="239" spans="1:13" x14ac:dyDescent="0.6">
      <c r="A239" s="32"/>
      <c r="B239" s="53" t="s">
        <v>61</v>
      </c>
      <c r="C239" s="104">
        <f>+C234/C235</f>
        <v>0.60437289427494267</v>
      </c>
      <c r="E239" s="99">
        <f>+C234/SUMPRODUCT(O45:V45,C84:J84)*1000</f>
        <v>67.924896263182475</v>
      </c>
      <c r="F239" s="5" t="s">
        <v>270</v>
      </c>
      <c r="I239" s="5" t="s">
        <v>112</v>
      </c>
      <c r="L239" s="53" t="s">
        <v>61</v>
      </c>
      <c r="M239" s="150">
        <f>IF(ROUND(E$238/G$199,4)&lt;ROUND(E$239/G$199,4),1,ROUND(E239/G$199,4))</f>
        <v>1</v>
      </c>
    </row>
    <row r="240" spans="1:13" x14ac:dyDescent="0.6">
      <c r="A240" s="32"/>
    </row>
    <row r="241" spans="1:19" x14ac:dyDescent="0.6">
      <c r="A241" s="32"/>
    </row>
    <row r="242" spans="1:19" x14ac:dyDescent="0.6">
      <c r="A242" s="31"/>
      <c r="B242" s="3" t="s">
        <v>97</v>
      </c>
      <c r="F242" s="99"/>
    </row>
    <row r="243" spans="1:19" x14ac:dyDescent="0.6">
      <c r="A243" s="32"/>
      <c r="B243" s="7" t="s">
        <v>98</v>
      </c>
      <c r="C243" s="174">
        <f>D153</f>
        <v>50.34</v>
      </c>
      <c r="D243" s="101"/>
      <c r="E243" s="5" t="s">
        <v>99</v>
      </c>
      <c r="F243" s="5" t="s">
        <v>100</v>
      </c>
    </row>
    <row r="244" spans="1:19" x14ac:dyDescent="0.6">
      <c r="A244" s="32"/>
      <c r="B244" s="7" t="s">
        <v>101</v>
      </c>
      <c r="C244" s="174">
        <f>D154</f>
        <v>50.34</v>
      </c>
      <c r="D244" s="101"/>
      <c r="E244" s="5" t="s">
        <v>99</v>
      </c>
      <c r="F244" s="5" t="s">
        <v>102</v>
      </c>
    </row>
    <row r="245" spans="1:19" x14ac:dyDescent="0.6">
      <c r="A245" s="32"/>
      <c r="B245" s="7" t="s">
        <v>103</v>
      </c>
      <c r="C245" s="35">
        <f>+E166</f>
        <v>2</v>
      </c>
      <c r="D245" s="35"/>
      <c r="E245" s="5" t="s">
        <v>111</v>
      </c>
      <c r="F245" s="75"/>
    </row>
    <row r="246" spans="1:19" x14ac:dyDescent="0.6">
      <c r="A246" s="32"/>
      <c r="B246" s="168" t="s">
        <v>217</v>
      </c>
      <c r="C246" s="35">
        <f>E167</f>
        <v>17.22</v>
      </c>
      <c r="D246" s="35"/>
      <c r="E246" s="5" t="s">
        <v>111</v>
      </c>
      <c r="F246" s="75"/>
    </row>
    <row r="247" spans="1:19" x14ac:dyDescent="0.6">
      <c r="A247" s="32"/>
      <c r="B247" s="7" t="s">
        <v>104</v>
      </c>
      <c r="C247" s="129" t="s">
        <v>291</v>
      </c>
    </row>
    <row r="248" spans="1:19" x14ac:dyDescent="0.6">
      <c r="A248" s="32"/>
      <c r="B248" s="7" t="s">
        <v>105</v>
      </c>
      <c r="C248" s="26" t="s">
        <v>206</v>
      </c>
      <c r="D248" s="26"/>
    </row>
    <row r="249" spans="1:19" x14ac:dyDescent="0.6">
      <c r="A249" s="32"/>
      <c r="B249" s="7" t="s">
        <v>106</v>
      </c>
      <c r="C249" s="129" t="s">
        <v>292</v>
      </c>
    </row>
    <row r="250" spans="1:19" x14ac:dyDescent="0.6">
      <c r="A250" s="32"/>
      <c r="B250" s="7" t="s">
        <v>107</v>
      </c>
      <c r="C250" s="5" t="s">
        <v>211</v>
      </c>
    </row>
    <row r="251" spans="1:19" x14ac:dyDescent="0.6">
      <c r="A251" s="32"/>
      <c r="B251" s="7" t="s">
        <v>108</v>
      </c>
      <c r="C251" s="5" t="s">
        <v>179</v>
      </c>
    </row>
    <row r="252" spans="1:19" x14ac:dyDescent="0.6">
      <c r="A252" s="32"/>
      <c r="C252" s="5" t="s">
        <v>180</v>
      </c>
    </row>
    <row r="255" spans="1:19" x14ac:dyDescent="0.6">
      <c r="A255" s="31" t="s">
        <v>258</v>
      </c>
      <c r="B255" s="3" t="s">
        <v>209</v>
      </c>
    </row>
    <row r="256" spans="1:19" x14ac:dyDescent="0.6">
      <c r="A256" s="32"/>
      <c r="B256" s="4" t="s">
        <v>265</v>
      </c>
      <c r="N256" s="17"/>
      <c r="O256" s="17"/>
      <c r="P256" s="17"/>
      <c r="Q256" s="17"/>
      <c r="R256" s="17"/>
      <c r="S256" s="17"/>
    </row>
    <row r="257" spans="1:19" x14ac:dyDescent="0.6">
      <c r="A257" s="32"/>
      <c r="B257" s="4" t="s">
        <v>35</v>
      </c>
      <c r="N257" s="17"/>
      <c r="O257" s="17"/>
      <c r="P257" s="17"/>
      <c r="Q257" s="17"/>
      <c r="R257" s="17"/>
      <c r="S257" s="17"/>
    </row>
    <row r="258" spans="1:19" x14ac:dyDescent="0.6">
      <c r="A258" s="32"/>
      <c r="B258" s="4"/>
      <c r="N258" s="17"/>
      <c r="O258" s="17"/>
      <c r="P258" s="17"/>
      <c r="Q258" s="17"/>
      <c r="R258" s="17"/>
      <c r="S258" s="17"/>
    </row>
    <row r="259" spans="1:19" x14ac:dyDescent="0.6">
      <c r="A259" s="32"/>
      <c r="B259" s="254" t="s">
        <v>197</v>
      </c>
      <c r="C259" s="255">
        <f>'Attachment 3'!C32</f>
        <v>85.05</v>
      </c>
      <c r="D259" s="80"/>
      <c r="E259" s="127"/>
      <c r="F259" s="101"/>
      <c r="N259" s="17"/>
      <c r="O259" s="73"/>
      <c r="P259" s="73"/>
      <c r="Q259" s="73"/>
      <c r="R259" s="73"/>
      <c r="S259" s="17"/>
    </row>
    <row r="260" spans="1:19" ht="13.25" x14ac:dyDescent="0.65">
      <c r="A260" s="32"/>
      <c r="B260" s="4"/>
      <c r="N260" s="17"/>
      <c r="O260" s="124"/>
      <c r="P260" s="124"/>
      <c r="Q260" s="124"/>
      <c r="R260" s="124"/>
      <c r="S260" s="17"/>
    </row>
    <row r="261" spans="1:19" x14ac:dyDescent="0.6">
      <c r="A261" s="32"/>
      <c r="C261" s="20" t="s">
        <v>5</v>
      </c>
      <c r="D261" s="49" t="s">
        <v>119</v>
      </c>
      <c r="E261" s="20" t="s">
        <v>6</v>
      </c>
      <c r="F261" s="20" t="s">
        <v>7</v>
      </c>
      <c r="G261" s="20" t="s">
        <v>8</v>
      </c>
      <c r="H261" s="20" t="s">
        <v>9</v>
      </c>
      <c r="I261" s="20" t="s">
        <v>10</v>
      </c>
      <c r="J261" s="20" t="s">
        <v>11</v>
      </c>
      <c r="N261" s="17"/>
      <c r="O261" s="17"/>
      <c r="P261" s="17"/>
      <c r="Q261" s="17"/>
      <c r="R261" s="17"/>
      <c r="S261" s="17"/>
    </row>
    <row r="262" spans="1:19" x14ac:dyDescent="0.6">
      <c r="A262" s="32"/>
      <c r="B262" s="33" t="s">
        <v>43</v>
      </c>
      <c r="D262" s="103">
        <f>$C$259*D207*'Attachment 3'!E103</f>
        <v>95.79123580949998</v>
      </c>
      <c r="E262" s="103">
        <f>$C$259*E207*'Attachment 3'!$E$103</f>
        <v>90.225109642499973</v>
      </c>
      <c r="F262" s="103">
        <f>$C$259*F207*'Attachment 3'!$E$103</f>
        <v>84.38965478999998</v>
      </c>
      <c r="G262" s="103">
        <f>$C$259*G207*'Attachment 3'!$E$103</f>
        <v>87.89092770149999</v>
      </c>
      <c r="H262" s="103">
        <f>$C$259*H207*'Attachment 3'!$E$103</f>
        <v>83.850997418999995</v>
      </c>
      <c r="I262" s="103">
        <f>$C$259*I207*'Attachment 3'!$E$103</f>
        <v>75.771136853999977</v>
      </c>
      <c r="J262" s="103">
        <f>$C$259*J207*'Attachment 3'!$E$103</f>
        <v>84.29987856149998</v>
      </c>
      <c r="L262" s="106"/>
      <c r="M262" s="106"/>
      <c r="N262" s="17"/>
      <c r="O262" s="17"/>
      <c r="P262" s="17"/>
      <c r="Q262" s="125"/>
      <c r="R262" s="125"/>
      <c r="S262" s="17"/>
    </row>
    <row r="263" spans="1:19" x14ac:dyDescent="0.6">
      <c r="A263" s="32"/>
      <c r="B263" s="34" t="s">
        <v>114</v>
      </c>
      <c r="D263" s="103">
        <f>$C$259*D208*'Attachment 3'!E103</f>
        <v>108.89856517049999</v>
      </c>
      <c r="E263" s="103"/>
      <c r="F263" s="103"/>
      <c r="G263" s="103"/>
      <c r="H263" s="103"/>
      <c r="I263" s="103"/>
      <c r="J263" s="103"/>
      <c r="N263" s="17"/>
      <c r="O263" s="17"/>
      <c r="P263" s="17"/>
      <c r="Q263" s="17"/>
      <c r="R263" s="17"/>
      <c r="S263" s="17"/>
    </row>
    <row r="264" spans="1:19" x14ac:dyDescent="0.6">
      <c r="A264" s="32"/>
      <c r="B264" s="34" t="s">
        <v>37</v>
      </c>
      <c r="D264" s="103">
        <f>$C$259*D209*'Attachment 3'!E103</f>
        <v>74.604045883499978</v>
      </c>
      <c r="E264" s="103"/>
      <c r="F264" s="103"/>
      <c r="G264" s="103"/>
      <c r="H264" s="103"/>
      <c r="I264" s="103"/>
      <c r="J264" s="103"/>
      <c r="N264" s="17"/>
      <c r="O264" s="17"/>
      <c r="P264" s="17"/>
      <c r="Q264" s="17"/>
      <c r="R264" s="17"/>
      <c r="S264" s="17"/>
    </row>
    <row r="265" spans="1:19" x14ac:dyDescent="0.6">
      <c r="A265" s="32"/>
      <c r="B265" s="7" t="s">
        <v>68</v>
      </c>
      <c r="C265" s="103">
        <f>($C$259*$C$210+C211)*'Attachment 3'!E103</f>
        <v>87.181794542140253</v>
      </c>
      <c r="D265" s="103"/>
      <c r="E265" s="103"/>
      <c r="F265" s="103"/>
      <c r="G265" s="103"/>
      <c r="H265" s="103"/>
      <c r="I265" s="103"/>
      <c r="J265" s="103"/>
      <c r="N265" s="17"/>
      <c r="O265" s="17"/>
      <c r="P265" s="17"/>
      <c r="Q265" s="17"/>
      <c r="R265" s="17"/>
      <c r="S265" s="17"/>
    </row>
    <row r="266" spans="1:19" x14ac:dyDescent="0.6">
      <c r="A266" s="32"/>
      <c r="B266" s="7" t="s">
        <v>69</v>
      </c>
      <c r="C266" s="103">
        <f>($C$259*$C$210+C212)*'Attachment 3'!E103</f>
        <v>96.314586182140246</v>
      </c>
      <c r="D266" s="103"/>
      <c r="E266" s="103"/>
      <c r="F266" s="103"/>
      <c r="G266" s="103"/>
      <c r="H266" s="103"/>
      <c r="I266" s="103"/>
      <c r="J266" s="103"/>
      <c r="N266" s="17"/>
      <c r="O266" s="17"/>
      <c r="P266" s="17"/>
      <c r="Q266" s="17"/>
      <c r="R266" s="17"/>
      <c r="S266" s="17"/>
    </row>
    <row r="267" spans="1:19" x14ac:dyDescent="0.6">
      <c r="A267" s="32"/>
      <c r="B267" s="33" t="s">
        <v>44</v>
      </c>
      <c r="C267" s="103">
        <f>$C$259*C214*'Attachment 3'!E104</f>
        <v>91.961178309000005</v>
      </c>
      <c r="D267" s="103">
        <f>$C$259*D214*'Attachment 3'!E104</f>
        <v>104.17349164949999</v>
      </c>
      <c r="E267" s="103">
        <f>$C$259*E214*'Attachment 3'!$E$104</f>
        <v>87.945048418499994</v>
      </c>
      <c r="F267" s="103">
        <f>$C$259*F214*'Attachment 3'!$E$104</f>
        <v>81.961834499999995</v>
      </c>
      <c r="G267" s="103">
        <f>$C$259*G214*'Attachment 3'!$E$104</f>
        <v>85.896002556000013</v>
      </c>
      <c r="H267" s="103">
        <f>$C$259*H214*'Attachment 3'!$E$104</f>
        <v>82.289681837999993</v>
      </c>
      <c r="I267" s="103">
        <f>$C$259*I214*'Attachment 3'!$E$104</f>
        <v>79.25709396149999</v>
      </c>
      <c r="J267" s="103">
        <f>$C$259*J214*'Attachment 3'!$E$104</f>
        <v>82.863414679499996</v>
      </c>
      <c r="N267" s="17"/>
      <c r="O267" s="17"/>
      <c r="P267" s="17"/>
      <c r="Q267" s="125"/>
      <c r="R267" s="125"/>
      <c r="S267" s="17"/>
    </row>
    <row r="268" spans="1:19" x14ac:dyDescent="0.6">
      <c r="A268" s="32"/>
      <c r="B268" s="34" t="s">
        <v>114</v>
      </c>
      <c r="C268" s="103"/>
      <c r="D268" s="103">
        <f>$C$259*D215*'Attachment 3'!E104</f>
        <v>108.845316216</v>
      </c>
      <c r="E268" s="103"/>
      <c r="F268" s="103"/>
      <c r="G268" s="103"/>
      <c r="H268" s="103"/>
      <c r="I268" s="103"/>
      <c r="J268" s="103"/>
      <c r="N268" s="17"/>
      <c r="O268" s="17"/>
      <c r="P268" s="17"/>
      <c r="Q268" s="17"/>
      <c r="R268" s="17"/>
      <c r="S268" s="17"/>
    </row>
    <row r="269" spans="1:19" x14ac:dyDescent="0.6">
      <c r="A269" s="32"/>
      <c r="B269" s="34" t="s">
        <v>37</v>
      </c>
      <c r="C269" s="103"/>
      <c r="D269" s="103">
        <f>$C$259*D216*'Attachment 3'!E104</f>
        <v>79.011208457999999</v>
      </c>
      <c r="E269" s="103"/>
      <c r="F269" s="103"/>
      <c r="G269" s="103"/>
      <c r="H269" s="103"/>
      <c r="I269" s="103"/>
      <c r="J269" s="103"/>
      <c r="N269" s="17"/>
      <c r="O269" s="17"/>
      <c r="P269" s="17"/>
      <c r="Q269" s="17"/>
      <c r="R269" s="17"/>
      <c r="S269" s="17"/>
    </row>
    <row r="270" spans="1:19" x14ac:dyDescent="0.6">
      <c r="A270" s="32"/>
      <c r="B270" s="5" t="s">
        <v>45</v>
      </c>
      <c r="C270" s="103">
        <f t="shared" ref="C270:J270" si="56">$C$259*C217</f>
        <v>91.258649999999989</v>
      </c>
      <c r="D270" s="103">
        <f t="shared" si="56"/>
        <v>87.941699999999997</v>
      </c>
      <c r="E270" s="103">
        <f t="shared" si="56"/>
        <v>89.047349999999994</v>
      </c>
      <c r="F270" s="103">
        <f t="shared" si="56"/>
        <v>83.093849999999989</v>
      </c>
      <c r="G270" s="103">
        <f t="shared" si="56"/>
        <v>86.836049999999986</v>
      </c>
      <c r="H270" s="103">
        <f t="shared" si="56"/>
        <v>83.34899999999999</v>
      </c>
      <c r="I270" s="103">
        <f t="shared" si="56"/>
        <v>79.096500000000006</v>
      </c>
      <c r="J270" s="103">
        <f t="shared" si="56"/>
        <v>83.6892</v>
      </c>
      <c r="N270" s="17"/>
      <c r="O270" s="17"/>
      <c r="P270" s="17"/>
      <c r="Q270" s="125"/>
      <c r="R270" s="125"/>
      <c r="S270" s="17"/>
    </row>
    <row r="271" spans="1:19" x14ac:dyDescent="0.6">
      <c r="A271" s="32"/>
      <c r="C271" s="151"/>
      <c r="D271" s="151"/>
      <c r="E271" s="151"/>
      <c r="F271" s="151"/>
      <c r="G271" s="151"/>
      <c r="H271" s="151"/>
      <c r="I271" s="151"/>
      <c r="J271" s="151"/>
      <c r="N271" s="17"/>
      <c r="O271" s="17"/>
      <c r="P271" s="17"/>
      <c r="Q271" s="126"/>
      <c r="R271" s="126"/>
      <c r="S271" s="17"/>
    </row>
    <row r="272" spans="1:19" x14ac:dyDescent="0.6">
      <c r="A272" s="18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N272" s="17"/>
      <c r="O272" s="17"/>
      <c r="P272" s="17"/>
      <c r="Q272" s="17"/>
      <c r="R272" s="17"/>
      <c r="S272" s="17"/>
    </row>
    <row r="273" spans="1:19" ht="12.75" customHeight="1" x14ac:dyDescent="0.6">
      <c r="A273" s="31" t="s">
        <v>96</v>
      </c>
      <c r="B273" s="16" t="s">
        <v>210</v>
      </c>
      <c r="C273" s="17"/>
      <c r="D273" s="17"/>
      <c r="E273" s="17"/>
      <c r="F273" s="17"/>
      <c r="G273" s="17"/>
      <c r="H273" s="17"/>
      <c r="I273" s="17"/>
      <c r="J273" s="17"/>
      <c r="K273" s="17"/>
      <c r="N273" s="17"/>
      <c r="O273" s="17"/>
      <c r="P273" s="17"/>
      <c r="Q273" s="17"/>
      <c r="R273" s="17"/>
      <c r="S273" s="17"/>
    </row>
    <row r="274" spans="1:19" x14ac:dyDescent="0.6">
      <c r="A274" s="32"/>
      <c r="B274" s="19" t="s">
        <v>265</v>
      </c>
      <c r="C274" s="17"/>
      <c r="D274" s="17"/>
      <c r="E274" s="17"/>
      <c r="F274" s="17"/>
      <c r="G274" s="17"/>
      <c r="H274" s="17"/>
      <c r="I274" s="17"/>
      <c r="J274" s="17"/>
      <c r="K274" s="17"/>
      <c r="N274" s="17"/>
      <c r="O274" s="17"/>
      <c r="P274" s="17"/>
      <c r="Q274" s="17"/>
      <c r="R274" s="17"/>
      <c r="S274" s="17"/>
    </row>
    <row r="275" spans="1:19" x14ac:dyDescent="0.6">
      <c r="A275" s="32"/>
      <c r="B275" s="19" t="s">
        <v>198</v>
      </c>
      <c r="C275" s="17"/>
      <c r="D275" s="17"/>
      <c r="E275" s="17"/>
      <c r="F275" s="17"/>
      <c r="G275" s="17"/>
      <c r="H275" s="17"/>
      <c r="I275" s="17"/>
      <c r="J275" s="17"/>
      <c r="K275" s="17"/>
      <c r="N275" s="17"/>
      <c r="O275" s="17"/>
      <c r="P275" s="17"/>
      <c r="Q275" s="17"/>
      <c r="R275" s="17"/>
      <c r="S275" s="17"/>
    </row>
    <row r="276" spans="1:19" x14ac:dyDescent="0.6">
      <c r="A276" s="32"/>
      <c r="B276" s="107" t="s">
        <v>199</v>
      </c>
      <c r="C276" s="296">
        <f>1/(1-(0.002130447+0.000502344))</f>
        <v>1.0026397408860472</v>
      </c>
      <c r="D276" s="17"/>
      <c r="E276" s="157"/>
      <c r="F276" s="17"/>
      <c r="G276" s="17"/>
      <c r="H276" s="17"/>
      <c r="I276" s="17"/>
      <c r="J276" s="17"/>
      <c r="K276" s="17"/>
      <c r="N276" s="17"/>
      <c r="O276" s="17"/>
      <c r="P276" s="17"/>
      <c r="Q276" s="17"/>
      <c r="R276" s="17"/>
      <c r="S276" s="17"/>
    </row>
    <row r="277" spans="1:19" x14ac:dyDescent="0.6">
      <c r="A277" s="32"/>
      <c r="B277" s="267" t="s">
        <v>271</v>
      </c>
      <c r="C277" s="17"/>
      <c r="D277" s="17"/>
      <c r="E277" s="17"/>
      <c r="F277" s="17"/>
      <c r="G277" s="17"/>
      <c r="H277" s="17"/>
      <c r="I277" s="17"/>
      <c r="J277" s="17"/>
      <c r="K277" s="17"/>
      <c r="N277" s="17"/>
      <c r="O277" s="108"/>
      <c r="P277" s="17"/>
      <c r="Q277" s="17"/>
      <c r="R277" s="17"/>
      <c r="S277" s="17"/>
    </row>
    <row r="278" spans="1:19" x14ac:dyDescent="0.6">
      <c r="A278" s="32"/>
      <c r="B278" s="19"/>
      <c r="C278" s="17"/>
      <c r="D278" s="17"/>
      <c r="E278" s="17"/>
      <c r="F278" s="17"/>
      <c r="G278" s="17"/>
      <c r="H278" s="17"/>
      <c r="I278" s="17"/>
      <c r="J278" s="17"/>
      <c r="K278" s="17"/>
      <c r="N278" s="17"/>
      <c r="O278" s="17"/>
      <c r="P278" s="17"/>
      <c r="Q278" s="17"/>
      <c r="R278" s="17"/>
      <c r="S278" s="17"/>
    </row>
    <row r="279" spans="1:19" x14ac:dyDescent="0.6">
      <c r="A279" s="32"/>
      <c r="B279" s="17"/>
      <c r="C279" s="20" t="s">
        <v>5</v>
      </c>
      <c r="D279" s="20" t="s">
        <v>119</v>
      </c>
      <c r="E279" s="20" t="s">
        <v>6</v>
      </c>
      <c r="F279" s="20" t="s">
        <v>7</v>
      </c>
      <c r="G279" s="20" t="s">
        <v>8</v>
      </c>
      <c r="H279" s="20" t="s">
        <v>9</v>
      </c>
      <c r="I279" s="20" t="s">
        <v>10</v>
      </c>
      <c r="J279" s="20" t="s">
        <v>11</v>
      </c>
      <c r="K279" s="17"/>
      <c r="N279" s="17"/>
      <c r="O279" s="17"/>
      <c r="P279" s="17"/>
      <c r="Q279" s="17"/>
      <c r="R279" s="17"/>
      <c r="S279" s="17"/>
    </row>
    <row r="280" spans="1:19" x14ac:dyDescent="0.6">
      <c r="A280" s="32"/>
      <c r="B280" s="22" t="s">
        <v>43</v>
      </c>
      <c r="C280" s="152"/>
      <c r="D280" s="152"/>
      <c r="E280" s="108">
        <f>ROUND((E262*$C$276*1.06625)/1000,6)</f>
        <v>9.6456E-2</v>
      </c>
      <c r="F280" s="108">
        <f t="shared" ref="F280:J280" si="57">ROUND((F262*$C$276*1.06625)/1000,6)</f>
        <v>9.0218000000000007E-2</v>
      </c>
      <c r="G280" s="108">
        <f t="shared" si="57"/>
        <v>9.3961000000000003E-2</v>
      </c>
      <c r="H280" s="108">
        <f t="shared" si="57"/>
        <v>8.9641999999999999E-2</v>
      </c>
      <c r="I280" s="108">
        <f t="shared" si="57"/>
        <v>8.1004000000000007E-2</v>
      </c>
      <c r="J280" s="108">
        <f t="shared" si="57"/>
        <v>9.0121999999999994E-2</v>
      </c>
      <c r="K280" s="17"/>
    </row>
    <row r="281" spans="1:19" x14ac:dyDescent="0.6">
      <c r="A281" s="32"/>
      <c r="B281" s="109" t="s">
        <v>114</v>
      </c>
      <c r="C281" s="152"/>
      <c r="D281" s="108">
        <f>ROUND((D263*$C$276*1.06625)/1000,6)</f>
        <v>0.11642</v>
      </c>
      <c r="E281" s="108"/>
      <c r="F281" s="108"/>
      <c r="G281" s="108"/>
      <c r="H281" s="108"/>
      <c r="I281" s="108"/>
      <c r="J281" s="153"/>
      <c r="K281" s="17"/>
    </row>
    <row r="282" spans="1:19" x14ac:dyDescent="0.6">
      <c r="A282" s="32"/>
      <c r="B282" s="109" t="s">
        <v>37</v>
      </c>
      <c r="C282" s="152"/>
      <c r="D282" s="108">
        <f>ROUND((D264*$C$276*1.06625)/1000,6)</f>
        <v>7.9756999999999995E-2</v>
      </c>
      <c r="E282" s="108"/>
      <c r="F282" s="108"/>
      <c r="G282" s="108"/>
      <c r="H282" s="108"/>
      <c r="I282" s="108"/>
      <c r="J282" s="153"/>
      <c r="K282" s="17"/>
    </row>
    <row r="283" spans="1:19" x14ac:dyDescent="0.6">
      <c r="A283" s="32"/>
      <c r="B283" s="72" t="s">
        <v>68</v>
      </c>
      <c r="C283" s="108">
        <f>ROUND((C265*$C$276*1.06625)/1000,6)</f>
        <v>9.3202999999999994E-2</v>
      </c>
      <c r="D283" s="108"/>
      <c r="E283" s="108"/>
      <c r="F283" s="108"/>
      <c r="G283" s="108"/>
      <c r="H283" s="108"/>
      <c r="I283" s="108"/>
      <c r="J283" s="17"/>
      <c r="K283" s="17"/>
    </row>
    <row r="284" spans="1:19" x14ac:dyDescent="0.6">
      <c r="A284" s="32"/>
      <c r="B284" s="72" t="s">
        <v>69</v>
      </c>
      <c r="C284" s="108">
        <f>ROUND((C266*$C$276*1.06625)/1000,6)</f>
        <v>0.102967</v>
      </c>
      <c r="D284" s="108"/>
      <c r="E284" s="108"/>
      <c r="F284" s="108"/>
      <c r="G284" s="108"/>
      <c r="H284" s="108"/>
      <c r="I284" s="108"/>
      <c r="J284" s="17"/>
      <c r="K284" s="17"/>
    </row>
    <row r="285" spans="1:19" x14ac:dyDescent="0.6">
      <c r="A285" s="32"/>
      <c r="B285" s="22" t="s">
        <v>44</v>
      </c>
      <c r="C285" s="108">
        <f>ROUND((C267*$C$276*1.06625)/1000,6)</f>
        <v>9.8311999999999997E-2</v>
      </c>
      <c r="D285" s="108"/>
      <c r="E285" s="108">
        <f t="shared" ref="E285:J285" si="58">ROUND((E267*$C$276*1.06625)/1000,6)</f>
        <v>9.4019000000000005E-2</v>
      </c>
      <c r="F285" s="108">
        <f t="shared" si="58"/>
        <v>8.7622000000000005E-2</v>
      </c>
      <c r="G285" s="108">
        <f t="shared" si="58"/>
        <v>9.1828000000000007E-2</v>
      </c>
      <c r="H285" s="108">
        <f t="shared" si="58"/>
        <v>8.7972999999999996E-2</v>
      </c>
      <c r="I285" s="108">
        <f t="shared" si="58"/>
        <v>8.4731000000000001E-2</v>
      </c>
      <c r="J285" s="108">
        <f t="shared" si="58"/>
        <v>8.8585999999999998E-2</v>
      </c>
      <c r="K285" s="17"/>
    </row>
    <row r="286" spans="1:19" x14ac:dyDescent="0.6">
      <c r="A286" s="32"/>
      <c r="B286" s="109" t="s">
        <v>114</v>
      </c>
      <c r="C286" s="108"/>
      <c r="D286" s="108">
        <f>ROUND((D268*$C$276*1.06625)/1000,6)</f>
        <v>0.11636299999999999</v>
      </c>
      <c r="E286" s="108"/>
      <c r="F286" s="108"/>
      <c r="G286" s="108"/>
      <c r="H286" s="108"/>
      <c r="I286" s="108"/>
      <c r="J286" s="153"/>
      <c r="K286" s="17"/>
    </row>
    <row r="287" spans="1:19" x14ac:dyDescent="0.6">
      <c r="A287" s="32"/>
      <c r="B287" s="109" t="s">
        <v>37</v>
      </c>
      <c r="C287" s="108"/>
      <c r="D287" s="108">
        <f>ROUND((D269*$C$276*1.06625)/1000,6)</f>
        <v>8.4468000000000001E-2</v>
      </c>
      <c r="E287" s="108"/>
      <c r="F287" s="108"/>
      <c r="G287" s="108"/>
      <c r="H287" s="108"/>
      <c r="I287" s="108"/>
      <c r="J287" s="153"/>
      <c r="K287" s="17"/>
    </row>
    <row r="288" spans="1:19" x14ac:dyDescent="0.6">
      <c r="A288" s="32"/>
      <c r="B288" s="17" t="s">
        <v>45</v>
      </c>
      <c r="C288" s="108">
        <f>ROUND((C270*$C$276*1.06625)/1000,6)</f>
        <v>9.7560999999999995E-2</v>
      </c>
      <c r="D288" s="108">
        <f>ROUND((D270*$C$276*1.06625)/1000,6)</f>
        <v>9.4015000000000001E-2</v>
      </c>
      <c r="E288" s="108">
        <f t="shared" ref="E288:J288" si="59">ROUND((E270*$C$276*1.06625)/1000,6)</f>
        <v>9.5197000000000004E-2</v>
      </c>
      <c r="F288" s="108">
        <f t="shared" si="59"/>
        <v>8.8832999999999995E-2</v>
      </c>
      <c r="G288" s="108">
        <f t="shared" si="59"/>
        <v>9.2832999999999999E-2</v>
      </c>
      <c r="H288" s="108">
        <f t="shared" si="59"/>
        <v>8.9105000000000004E-2</v>
      </c>
      <c r="I288" s="108">
        <f t="shared" si="59"/>
        <v>8.4558999999999995E-2</v>
      </c>
      <c r="J288" s="108">
        <f t="shared" si="59"/>
        <v>8.9469000000000007E-2</v>
      </c>
      <c r="K288" s="17"/>
    </row>
    <row r="289" spans="3:10" x14ac:dyDescent="0.6">
      <c r="C289" s="127"/>
    </row>
    <row r="290" spans="3:10" x14ac:dyDescent="0.6">
      <c r="C290" s="127"/>
    </row>
    <row r="291" spans="3:10" x14ac:dyDescent="0.6">
      <c r="C291" s="17"/>
      <c r="D291" s="173"/>
      <c r="E291" s="108"/>
      <c r="F291" s="108"/>
      <c r="G291" s="108"/>
      <c r="H291" s="108"/>
      <c r="I291" s="108"/>
      <c r="J291" s="108"/>
    </row>
    <row r="292" spans="3:10" x14ac:dyDescent="0.6">
      <c r="C292" s="129"/>
      <c r="E292" s="108"/>
    </row>
    <row r="293" spans="3:10" x14ac:dyDescent="0.6">
      <c r="C293" s="108"/>
      <c r="E293" s="108"/>
    </row>
    <row r="294" spans="3:10" x14ac:dyDescent="0.6">
      <c r="C294" s="108"/>
      <c r="E294" s="108"/>
      <c r="F294" s="108"/>
      <c r="G294" s="108"/>
      <c r="H294" s="108"/>
      <c r="I294" s="108"/>
      <c r="J294" s="108"/>
    </row>
    <row r="295" spans="3:10" x14ac:dyDescent="0.6">
      <c r="C295" s="108"/>
      <c r="D295" s="101"/>
      <c r="E295" s="108"/>
    </row>
    <row r="296" spans="3:10" x14ac:dyDescent="0.6">
      <c r="D296" s="101"/>
      <c r="E296" s="108"/>
      <c r="F296" s="108"/>
      <c r="G296" s="108"/>
      <c r="H296" s="108"/>
      <c r="I296" s="108"/>
      <c r="J296" s="108"/>
    </row>
    <row r="301" spans="3:10" x14ac:dyDescent="0.6">
      <c r="D301" s="127"/>
    </row>
    <row r="302" spans="3:10" x14ac:dyDescent="0.6">
      <c r="D302" s="127"/>
    </row>
    <row r="303" spans="3:10" x14ac:dyDescent="0.6">
      <c r="D303" s="127"/>
    </row>
    <row r="304" spans="3:10" x14ac:dyDescent="0.6">
      <c r="D304" s="127"/>
    </row>
    <row r="305" spans="4:4" x14ac:dyDescent="0.6">
      <c r="D305" s="127"/>
    </row>
    <row r="306" spans="4:4" x14ac:dyDescent="0.6">
      <c r="D306" s="127"/>
    </row>
    <row r="307" spans="4:4" x14ac:dyDescent="0.6">
      <c r="D307" s="127"/>
    </row>
    <row r="308" spans="4:4" x14ac:dyDescent="0.6">
      <c r="D308" s="127"/>
    </row>
  </sheetData>
  <customSheetViews>
    <customSheetView guid="{E387223A-F425-4996-A843-D576BB2C4D04}" scale="87" showPageBreaks="1" printArea="1" hiddenRows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1"/>
      <headerFooter alignWithMargins="0">
        <oddHeader>&amp;L&amp;12Atlantic City Electric Company
Attachment 2</oddHeader>
        <oddFooter>&amp;CPage &amp;P of &amp;N</oddFooter>
      </headerFooter>
    </customSheetView>
    <customSheetView guid="{689761CC-C80B-4574-9251-22E069AE5A7E}" scale="87" showPageBreaks="1" printArea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2"/>
      <headerFooter alignWithMargins="0">
        <oddHeader>&amp;L&amp;12Atlantic City Electric Company
Attachment 2</oddHeader>
        <oddFooter>&amp;CPage &amp;P of &amp;N</oddFooter>
      </headerFooter>
    </customSheetView>
  </customSheetViews>
  <phoneticPr fontId="11" type="noConversion"/>
  <pageMargins left="0.75" right="0.5" top="1" bottom="1" header="0.5" footer="0.5"/>
  <pageSetup scale="50" orientation="landscape" r:id="rId3"/>
  <headerFooter alignWithMargins="0">
    <oddHeader>&amp;L&amp;"Arial,Bold"Atlantic City Electric Company &amp;"Arial,Regular"
Development of BGS Rates
June 2024 - May 2025
&amp;RAttachment 2
Page &amp;P of &amp;N</oddHeader>
  </headerFooter>
  <rowBreaks count="4" manualBreakCount="4">
    <brk id="58" max="12" man="1"/>
    <brk id="120" max="12" man="1"/>
    <brk id="178" max="12" man="1"/>
    <brk id="252" max="12" man="1"/>
  </rowBreaks>
  <ignoredErrors>
    <ignoredError sqref="K45:K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2"/>
  <sheetViews>
    <sheetView zoomScaleNormal="100" workbookViewId="0"/>
  </sheetViews>
  <sheetFormatPr defaultColWidth="9.1328125" defaultRowHeight="13" x14ac:dyDescent="0.6"/>
  <cols>
    <col min="1" max="1" width="12.86328125" style="5" customWidth="1"/>
    <col min="2" max="2" width="44.1328125" style="5" customWidth="1"/>
    <col min="3" max="5" width="13.1328125" style="5" customWidth="1"/>
    <col min="6" max="6" width="11.86328125" style="5" customWidth="1"/>
    <col min="7" max="8" width="10.7265625" style="5" customWidth="1"/>
    <col min="9" max="9" width="11" style="5" customWidth="1"/>
    <col min="10" max="10" width="11.54296875" style="5" customWidth="1"/>
    <col min="11" max="11" width="10.7265625" style="5" customWidth="1"/>
    <col min="12" max="12" width="14.26953125" style="5" bestFit="1" customWidth="1"/>
    <col min="13" max="13" width="15" style="5" customWidth="1"/>
    <col min="14" max="14" width="23.26953125" style="5" customWidth="1"/>
    <col min="15" max="16" width="14.54296875" style="5" bestFit="1" customWidth="1"/>
    <col min="17" max="17" width="15.40625" style="5" customWidth="1"/>
    <col min="18" max="18" width="11.54296875" style="5" bestFit="1" customWidth="1"/>
    <col min="19" max="19" width="10" style="5" bestFit="1" customWidth="1"/>
    <col min="20" max="20" width="11.40625" style="5" bestFit="1" customWidth="1"/>
    <col min="21" max="21" width="9.1328125" style="5"/>
    <col min="22" max="22" width="12.26953125" style="5" bestFit="1" customWidth="1"/>
    <col min="23" max="23" width="9.1328125" style="5"/>
    <col min="24" max="24" width="11.26953125" style="5" bestFit="1" customWidth="1"/>
    <col min="25" max="16384" width="9.1328125" style="5"/>
  </cols>
  <sheetData>
    <row r="1" spans="1:17" x14ac:dyDescent="0.6">
      <c r="A1" s="3" t="s">
        <v>205</v>
      </c>
    </row>
    <row r="2" spans="1:17" x14ac:dyDescent="0.6">
      <c r="A2" s="129" t="s">
        <v>277</v>
      </c>
    </row>
    <row r="3" spans="1:17" x14ac:dyDescent="0.6">
      <c r="A3" s="129" t="s">
        <v>293</v>
      </c>
    </row>
    <row r="5" spans="1:17" x14ac:dyDescent="0.6">
      <c r="A5" s="31" t="s">
        <v>194</v>
      </c>
      <c r="B5" s="3" t="s">
        <v>195</v>
      </c>
    </row>
    <row r="6" spans="1:17" ht="52.75" x14ac:dyDescent="0.75">
      <c r="A6" s="53" t="s">
        <v>142</v>
      </c>
      <c r="B6" s="3" t="s">
        <v>143</v>
      </c>
      <c r="C6" s="130" t="s">
        <v>279</v>
      </c>
      <c r="D6" s="130" t="s">
        <v>294</v>
      </c>
      <c r="E6" s="130" t="s">
        <v>295</v>
      </c>
      <c r="G6" s="130" t="s">
        <v>144</v>
      </c>
      <c r="M6" s="265"/>
      <c r="N6" s="259"/>
      <c r="O6" s="259"/>
      <c r="P6" s="259"/>
      <c r="Q6" s="259"/>
    </row>
    <row r="7" spans="1:17" x14ac:dyDescent="0.6">
      <c r="M7" s="21"/>
      <c r="N7" s="17"/>
      <c r="O7" s="17"/>
      <c r="P7" s="17"/>
      <c r="Q7" s="17"/>
    </row>
    <row r="8" spans="1:17" x14ac:dyDescent="0.6">
      <c r="A8" s="53">
        <v>1</v>
      </c>
      <c r="B8" s="5" t="s">
        <v>145</v>
      </c>
      <c r="C8" s="270">
        <v>75.569999999999993</v>
      </c>
      <c r="D8" s="270">
        <v>92.17</v>
      </c>
      <c r="E8" s="270">
        <v>92.17</v>
      </c>
      <c r="F8" s="101"/>
      <c r="G8" s="5" t="s">
        <v>146</v>
      </c>
      <c r="M8" s="21"/>
      <c r="N8" s="17"/>
      <c r="O8" s="260"/>
      <c r="P8" s="260"/>
      <c r="Q8" s="260"/>
    </row>
    <row r="9" spans="1:17" x14ac:dyDescent="0.6">
      <c r="A9" s="173" t="s">
        <v>266</v>
      </c>
      <c r="B9" s="5" t="s">
        <v>268</v>
      </c>
      <c r="C9" s="6">
        <f>'Attachment 4 Pg1'!C21</f>
        <v>-4.1100000000000003</v>
      </c>
      <c r="D9" s="6">
        <f>'Attachment 4 Pg1'!D21</f>
        <v>-1.46</v>
      </c>
      <c r="E9" s="271"/>
      <c r="F9" s="101"/>
      <c r="G9" s="129" t="s">
        <v>296</v>
      </c>
      <c r="M9" s="21"/>
      <c r="N9" s="17"/>
      <c r="O9" s="261"/>
      <c r="P9" s="261"/>
      <c r="Q9" s="261"/>
    </row>
    <row r="10" spans="1:17" x14ac:dyDescent="0.6">
      <c r="A10" s="173" t="s">
        <v>226</v>
      </c>
      <c r="B10" s="268" t="s">
        <v>225</v>
      </c>
      <c r="C10" s="6">
        <f>C8+C9</f>
        <v>71.459999999999994</v>
      </c>
      <c r="D10" s="6">
        <f>D8+D9</f>
        <v>90.710000000000008</v>
      </c>
      <c r="E10" s="6">
        <f>E8+E9</f>
        <v>92.17</v>
      </c>
      <c r="F10" s="101"/>
      <c r="G10" s="164" t="s">
        <v>280</v>
      </c>
      <c r="M10" s="21"/>
      <c r="N10" s="17"/>
      <c r="O10" s="262"/>
      <c r="P10" s="262"/>
      <c r="Q10" s="262"/>
    </row>
    <row r="11" spans="1:17" x14ac:dyDescent="0.6">
      <c r="A11" s="53"/>
      <c r="C11" s="6"/>
      <c r="D11" s="6"/>
      <c r="E11" s="6"/>
      <c r="F11" s="101"/>
      <c r="M11" s="21"/>
      <c r="N11" s="17"/>
      <c r="O11" s="263"/>
      <c r="P11" s="263"/>
      <c r="Q11" s="263"/>
    </row>
    <row r="12" spans="1:17" x14ac:dyDescent="0.6">
      <c r="A12" s="53">
        <v>2</v>
      </c>
      <c r="B12" s="257" t="s">
        <v>247</v>
      </c>
      <c r="C12" s="42">
        <v>7</v>
      </c>
      <c r="D12" s="42">
        <v>8</v>
      </c>
      <c r="E12" s="42">
        <v>7</v>
      </c>
      <c r="G12" s="5" t="s">
        <v>147</v>
      </c>
      <c r="M12" s="21"/>
      <c r="N12" s="17"/>
      <c r="O12" s="264"/>
      <c r="P12" s="264"/>
      <c r="Q12" s="264"/>
    </row>
    <row r="13" spans="1:17" x14ac:dyDescent="0.6">
      <c r="A13" s="53">
        <v>3</v>
      </c>
      <c r="B13" s="129" t="s">
        <v>248</v>
      </c>
      <c r="C13" s="42">
        <v>22</v>
      </c>
      <c r="D13" s="42">
        <v>22</v>
      </c>
      <c r="E13" s="42">
        <f>+D13</f>
        <v>22</v>
      </c>
      <c r="G13" s="5" t="s">
        <v>147</v>
      </c>
      <c r="M13" s="21"/>
      <c r="N13" s="17"/>
      <c r="O13" s="264"/>
      <c r="P13" s="264"/>
      <c r="Q13" s="264"/>
    </row>
    <row r="14" spans="1:17" x14ac:dyDescent="0.6">
      <c r="A14" s="53"/>
      <c r="C14" s="131"/>
      <c r="D14" s="131"/>
      <c r="E14" s="131"/>
      <c r="M14" s="21"/>
      <c r="N14" s="16"/>
      <c r="O14" s="80"/>
      <c r="P14" s="80"/>
      <c r="Q14" s="80"/>
    </row>
    <row r="15" spans="1:17" x14ac:dyDescent="0.6">
      <c r="A15" s="53"/>
      <c r="B15" s="5" t="s">
        <v>148</v>
      </c>
    </row>
    <row r="16" spans="1:17" x14ac:dyDescent="0.6">
      <c r="A16" s="53">
        <v>4</v>
      </c>
      <c r="B16" s="132" t="s">
        <v>149</v>
      </c>
      <c r="C16" s="78">
        <v>1</v>
      </c>
      <c r="D16" s="78">
        <v>1</v>
      </c>
      <c r="E16" s="133">
        <f>'Attachment 2'!M238</f>
        <v>1</v>
      </c>
      <c r="G16" s="5" t="s">
        <v>150</v>
      </c>
    </row>
    <row r="17" spans="1:15" x14ac:dyDescent="0.6">
      <c r="A17" s="53">
        <v>5</v>
      </c>
      <c r="B17" s="132" t="s">
        <v>151</v>
      </c>
      <c r="C17" s="78">
        <v>1</v>
      </c>
      <c r="D17" s="78">
        <v>1</v>
      </c>
      <c r="E17" s="133">
        <f>'Attachment 2'!M239</f>
        <v>1</v>
      </c>
      <c r="G17" s="5" t="s">
        <v>150</v>
      </c>
      <c r="K17" s="78"/>
    </row>
    <row r="18" spans="1:15" x14ac:dyDescent="0.6">
      <c r="A18" s="53"/>
      <c r="K18" s="78"/>
    </row>
    <row r="19" spans="1:15" x14ac:dyDescent="0.6">
      <c r="A19" s="53"/>
      <c r="B19" s="5" t="s">
        <v>152</v>
      </c>
    </row>
    <row r="20" spans="1:15" x14ac:dyDescent="0.6">
      <c r="A20" s="53">
        <v>6</v>
      </c>
      <c r="B20" s="5" t="s">
        <v>153</v>
      </c>
      <c r="C20" s="43">
        <f>SUMPRODUCT('Attachment 2'!O$48:V$48,'Attachment 2'!C$84:J$84)</f>
        <v>2558050.782650935</v>
      </c>
      <c r="D20" s="43"/>
      <c r="E20" s="44"/>
      <c r="G20" s="5" t="s">
        <v>154</v>
      </c>
    </row>
    <row r="21" spans="1:15" x14ac:dyDescent="0.6">
      <c r="A21" s="53">
        <v>7</v>
      </c>
      <c r="B21" s="5" t="s">
        <v>155</v>
      </c>
      <c r="C21" s="43">
        <f>SUMPRODUCT('Attachment 2'!O$45:V$45,'Attachment 2'!C$84:J$84)</f>
        <v>3568922.275829779</v>
      </c>
      <c r="D21" s="43"/>
      <c r="E21" s="44"/>
    </row>
    <row r="22" spans="1:15" x14ac:dyDescent="0.6">
      <c r="A22" s="53"/>
      <c r="D22" s="37"/>
    </row>
    <row r="23" spans="1:15" x14ac:dyDescent="0.6">
      <c r="A23" s="53"/>
      <c r="B23" s="5" t="s">
        <v>156</v>
      </c>
    </row>
    <row r="24" spans="1:15" x14ac:dyDescent="0.6">
      <c r="A24" s="53">
        <v>8</v>
      </c>
      <c r="B24" s="132" t="s">
        <v>149</v>
      </c>
      <c r="C24" s="54">
        <f>((+C$8+C$9)*C$12/C$13*C16*$C20/1000)</f>
        <v>58163.098295347751</v>
      </c>
      <c r="D24" s="54">
        <f>((+D$8+D$9)*D$12/D$13*D16*$C20/1000)</f>
        <v>84378.467816096861</v>
      </c>
      <c r="E24" s="54">
        <f t="shared" ref="E24:E25" si="0">((+E$8+E$9)*E$12/E$13*E16*$C20/1000)</f>
        <v>75019.490202661676</v>
      </c>
      <c r="G24" s="287" t="s">
        <v>281</v>
      </c>
      <c r="M24" s="54"/>
      <c r="N24" s="54"/>
      <c r="O24" s="54"/>
    </row>
    <row r="25" spans="1:15" x14ac:dyDescent="0.6">
      <c r="A25" s="53">
        <v>9</v>
      </c>
      <c r="B25" s="132" t="s">
        <v>151</v>
      </c>
      <c r="C25" s="166">
        <f>((+C$8+C$9)*C$12/C$13*C17*$C21/1000)</f>
        <v>81147.559127980552</v>
      </c>
      <c r="D25" s="166">
        <f>((+D$8+D$9)*D$12/D$13*D17*$C21/1000)</f>
        <v>117722.52350564339</v>
      </c>
      <c r="E25" s="166">
        <f t="shared" si="0"/>
        <v>104665.13468830068</v>
      </c>
      <c r="G25" s="287" t="s">
        <v>282</v>
      </c>
      <c r="M25" s="286"/>
      <c r="N25" s="286"/>
      <c r="O25" s="286"/>
    </row>
    <row r="26" spans="1:15" x14ac:dyDescent="0.6">
      <c r="A26" s="53">
        <v>10</v>
      </c>
      <c r="B26" s="5" t="s">
        <v>157</v>
      </c>
      <c r="C26" s="40">
        <f>+C25+C24</f>
        <v>139310.65742332832</v>
      </c>
      <c r="D26" s="40">
        <f>+D25+D24</f>
        <v>202100.99132174026</v>
      </c>
      <c r="E26" s="40">
        <f>+E25+E24</f>
        <v>179684.62489096235</v>
      </c>
      <c r="M26" s="61"/>
      <c r="N26" s="61"/>
      <c r="O26" s="61"/>
    </row>
    <row r="27" spans="1:15" x14ac:dyDescent="0.6">
      <c r="A27" s="53"/>
      <c r="M27" s="17"/>
      <c r="N27" s="17"/>
      <c r="O27" s="17"/>
    </row>
    <row r="28" spans="1:15" x14ac:dyDescent="0.6">
      <c r="A28" s="53"/>
      <c r="B28" s="5" t="s">
        <v>158</v>
      </c>
    </row>
    <row r="29" spans="1:15" x14ac:dyDescent="0.6">
      <c r="A29" s="53">
        <v>11</v>
      </c>
      <c r="B29" s="132" t="s">
        <v>149</v>
      </c>
      <c r="C29" s="134">
        <f>ROUND(+SUM(C24:E24)/C20*1000,3)</f>
        <v>85.05</v>
      </c>
      <c r="D29" s="102"/>
      <c r="G29" s="164" t="s">
        <v>219</v>
      </c>
    </row>
    <row r="30" spans="1:15" x14ac:dyDescent="0.6">
      <c r="A30" s="53">
        <v>12</v>
      </c>
      <c r="B30" s="132" t="s">
        <v>151</v>
      </c>
      <c r="C30" s="122">
        <f>ROUND(+SUM(C25:E25)/C21*1000,3)</f>
        <v>85.05</v>
      </c>
      <c r="G30" s="164" t="s">
        <v>220</v>
      </c>
    </row>
    <row r="31" spans="1:15" x14ac:dyDescent="0.6">
      <c r="A31" s="53"/>
      <c r="B31" s="132"/>
      <c r="C31" s="135"/>
      <c r="G31" s="98"/>
    </row>
    <row r="32" spans="1:15" x14ac:dyDescent="0.6">
      <c r="A32" s="53">
        <v>13</v>
      </c>
      <c r="B32" s="5" t="s">
        <v>159</v>
      </c>
      <c r="C32" s="136">
        <f>ROUND(+SUM(C26:E26)/(C20+C21)*1000,3)</f>
        <v>85.05</v>
      </c>
      <c r="D32" s="5" t="s">
        <v>160</v>
      </c>
      <c r="G32" s="164" t="s">
        <v>221</v>
      </c>
    </row>
    <row r="33" spans="1:11" x14ac:dyDescent="0.6">
      <c r="D33" s="5" t="s">
        <v>161</v>
      </c>
      <c r="G33" s="5" t="s">
        <v>162</v>
      </c>
    </row>
    <row r="34" spans="1:11" x14ac:dyDescent="0.6">
      <c r="C34" s="102"/>
    </row>
    <row r="35" spans="1:11" x14ac:dyDescent="0.6">
      <c r="B35" s="26" t="s">
        <v>163</v>
      </c>
      <c r="D35" s="102"/>
    </row>
    <row r="36" spans="1:11" x14ac:dyDescent="0.6">
      <c r="A36" s="53">
        <v>14</v>
      </c>
      <c r="B36" s="7" t="s">
        <v>164</v>
      </c>
      <c r="C36" s="40">
        <f>(C32*(C21+C20))/1000</f>
        <v>521099.05862378469</v>
      </c>
      <c r="D36" s="102"/>
      <c r="G36" s="164" t="s">
        <v>222</v>
      </c>
    </row>
    <row r="37" spans="1:11" ht="15.25" x14ac:dyDescent="1.05">
      <c r="A37" s="53">
        <v>15</v>
      </c>
      <c r="B37" s="7" t="s">
        <v>165</v>
      </c>
      <c r="C37" s="56">
        <f>SUM(C26:E26)</f>
        <v>521096.27363603096</v>
      </c>
      <c r="D37" s="102"/>
      <c r="G37" s="164" t="s">
        <v>223</v>
      </c>
    </row>
    <row r="38" spans="1:11" x14ac:dyDescent="0.6">
      <c r="A38" s="53">
        <v>16</v>
      </c>
      <c r="B38" s="7" t="s">
        <v>166</v>
      </c>
      <c r="C38" s="54">
        <f>+C36-C37</f>
        <v>2.7849877537228167</v>
      </c>
      <c r="D38" s="102"/>
      <c r="G38" s="164" t="s">
        <v>224</v>
      </c>
    </row>
    <row r="39" spans="1:11" x14ac:dyDescent="0.6">
      <c r="B39" s="7"/>
      <c r="D39" s="102"/>
    </row>
    <row r="41" spans="1:11" x14ac:dyDescent="0.6">
      <c r="A41" s="31" t="s">
        <v>196</v>
      </c>
      <c r="B41" s="3" t="s">
        <v>273</v>
      </c>
      <c r="G41" s="4" t="s">
        <v>167</v>
      </c>
    </row>
    <row r="42" spans="1:11" x14ac:dyDescent="0.6">
      <c r="A42" s="32"/>
      <c r="B42" s="3"/>
      <c r="G42" s="4" t="s">
        <v>185</v>
      </c>
    </row>
    <row r="43" spans="1:11" x14ac:dyDescent="0.6">
      <c r="B43" s="3"/>
    </row>
    <row r="44" spans="1:11" x14ac:dyDescent="0.6">
      <c r="B44" s="4" t="s">
        <v>256</v>
      </c>
    </row>
    <row r="45" spans="1:11" x14ac:dyDescent="0.6">
      <c r="B45" s="3"/>
    </row>
    <row r="46" spans="1:11" x14ac:dyDescent="0.6">
      <c r="C46" s="27" t="s">
        <v>5</v>
      </c>
      <c r="D46" s="27" t="s">
        <v>119</v>
      </c>
      <c r="E46" s="27" t="s">
        <v>6</v>
      </c>
      <c r="F46" s="27" t="s">
        <v>7</v>
      </c>
      <c r="G46" s="27" t="s">
        <v>8</v>
      </c>
      <c r="H46" s="27" t="s">
        <v>9</v>
      </c>
      <c r="I46" s="27" t="s">
        <v>10</v>
      </c>
      <c r="J46" s="27" t="s">
        <v>11</v>
      </c>
      <c r="K46" s="27"/>
    </row>
    <row r="47" spans="1:11" x14ac:dyDescent="0.6">
      <c r="C47" s="27"/>
      <c r="D47" s="27"/>
      <c r="E47" s="27"/>
      <c r="F47" s="27"/>
      <c r="G47" s="27"/>
    </row>
    <row r="48" spans="1:11" x14ac:dyDescent="0.6">
      <c r="B48" s="33" t="s">
        <v>43</v>
      </c>
      <c r="D48" s="165">
        <f>'Attachment 2'!D207</f>
        <v>1.0669999999999999</v>
      </c>
      <c r="E48" s="165">
        <f>'Attachment 2'!E207</f>
        <v>1.0049999999999999</v>
      </c>
      <c r="F48" s="165">
        <f>'Attachment 2'!F207</f>
        <v>0.94</v>
      </c>
      <c r="G48" s="165">
        <f>'Attachment 2'!G207</f>
        <v>0.97899999999999998</v>
      </c>
      <c r="H48" s="165">
        <f>'Attachment 2'!H207</f>
        <v>0.93400000000000005</v>
      </c>
      <c r="I48" s="165">
        <f>'Attachment 2'!I207</f>
        <v>0.84399999999999997</v>
      </c>
      <c r="J48" s="165">
        <f>'Attachment 2'!J207</f>
        <v>0.93899999999999995</v>
      </c>
      <c r="K48" s="45"/>
    </row>
    <row r="49" spans="2:13" x14ac:dyDescent="0.6">
      <c r="B49" s="34" t="s">
        <v>114</v>
      </c>
      <c r="D49" s="165">
        <f>'Attachment 2'!D208</f>
        <v>1.2130000000000001</v>
      </c>
      <c r="E49" s="3"/>
      <c r="F49" s="3"/>
      <c r="G49" s="3"/>
      <c r="H49" s="3"/>
      <c r="I49" s="3"/>
      <c r="J49" s="3"/>
      <c r="K49" s="45"/>
      <c r="L49" s="45"/>
      <c r="M49" s="45"/>
    </row>
    <row r="50" spans="2:13" x14ac:dyDescent="0.6">
      <c r="B50" s="34" t="s">
        <v>37</v>
      </c>
      <c r="D50" s="165">
        <f>'Attachment 2'!D209</f>
        <v>0.83099999999999996</v>
      </c>
      <c r="E50" s="3"/>
      <c r="F50" s="3"/>
      <c r="G50" s="3"/>
      <c r="H50" s="3"/>
      <c r="I50" s="3"/>
      <c r="J50" s="3"/>
      <c r="K50" s="48"/>
      <c r="L50" s="45"/>
      <c r="M50" s="45"/>
    </row>
    <row r="51" spans="2:13" x14ac:dyDescent="0.6">
      <c r="E51" s="24"/>
      <c r="F51" s="46"/>
      <c r="G51" s="46"/>
      <c r="L51" s="45"/>
      <c r="M51" s="45"/>
    </row>
    <row r="52" spans="2:13" x14ac:dyDescent="0.6">
      <c r="B52" s="14" t="s">
        <v>82</v>
      </c>
      <c r="C52" s="29">
        <f>'Attachment 2'!C210</f>
        <v>1.0089999999999999</v>
      </c>
      <c r="D52" s="29"/>
      <c r="E52" s="24"/>
      <c r="F52" s="46"/>
      <c r="G52" s="46"/>
      <c r="H52" s="46"/>
      <c r="I52" s="46"/>
      <c r="J52" s="46"/>
      <c r="K52" s="45"/>
      <c r="L52" s="45"/>
      <c r="M52" s="45"/>
    </row>
    <row r="53" spans="2:13" x14ac:dyDescent="0.6">
      <c r="B53" s="14" t="s">
        <v>83</v>
      </c>
      <c r="C53" s="29">
        <f>'Attachment 2'!C211</f>
        <v>-3.2233011684300692</v>
      </c>
      <c r="D53" s="29"/>
      <c r="E53" s="41" t="s">
        <v>84</v>
      </c>
      <c r="F53" s="46"/>
      <c r="G53" s="46"/>
      <c r="H53" s="46"/>
      <c r="I53" s="46"/>
      <c r="J53" s="46"/>
      <c r="K53" s="45"/>
      <c r="L53" s="45"/>
      <c r="M53" s="45"/>
    </row>
    <row r="54" spans="2:13" x14ac:dyDescent="0.6">
      <c r="B54" s="14" t="s">
        <v>83</v>
      </c>
      <c r="C54" s="29">
        <f>'Attachment 2'!C212</f>
        <v>5.4286988315699318</v>
      </c>
      <c r="D54" s="29"/>
      <c r="E54" s="41" t="s">
        <v>85</v>
      </c>
      <c r="F54" s="46"/>
      <c r="G54" s="46"/>
      <c r="H54" s="46"/>
      <c r="I54" s="46"/>
      <c r="J54" s="46"/>
      <c r="K54" s="45"/>
      <c r="L54" s="45"/>
      <c r="M54" s="45"/>
    </row>
    <row r="55" spans="2:13" x14ac:dyDescent="0.6">
      <c r="G55" s="46"/>
      <c r="H55" s="46"/>
      <c r="I55" s="46"/>
      <c r="J55" s="46"/>
      <c r="K55" s="45"/>
      <c r="L55" s="45"/>
      <c r="M55" s="45"/>
    </row>
    <row r="56" spans="2:13" x14ac:dyDescent="0.6">
      <c r="H56" s="46"/>
      <c r="I56" s="46"/>
      <c r="J56" s="46"/>
      <c r="K56" s="45"/>
      <c r="L56" s="45"/>
      <c r="M56" s="45"/>
    </row>
    <row r="57" spans="2:13" x14ac:dyDescent="0.6">
      <c r="C57" s="46"/>
      <c r="D57" s="46"/>
      <c r="E57" s="46"/>
      <c r="F57" s="46"/>
      <c r="G57" s="46"/>
      <c r="H57" s="46"/>
      <c r="I57" s="46"/>
      <c r="J57" s="46"/>
      <c r="K57" s="45"/>
      <c r="L57" s="45"/>
      <c r="M57" s="45"/>
    </row>
    <row r="58" spans="2:13" x14ac:dyDescent="0.6">
      <c r="B58" s="33" t="s">
        <v>44</v>
      </c>
      <c r="C58" s="29">
        <f>'Attachment 2'!C214</f>
        <v>1.1220000000000001</v>
      </c>
      <c r="D58" s="29">
        <f>'Attachment 2'!D214</f>
        <v>1.2709999999999999</v>
      </c>
      <c r="E58" s="29">
        <f>'Attachment 2'!E214</f>
        <v>1.073</v>
      </c>
      <c r="F58" s="29">
        <f>'Attachment 2'!F214</f>
        <v>1</v>
      </c>
      <c r="G58" s="29">
        <f>'Attachment 2'!G214</f>
        <v>1.048</v>
      </c>
      <c r="H58" s="29">
        <f>'Attachment 2'!H214</f>
        <v>1.004</v>
      </c>
      <c r="I58" s="29">
        <f>'Attachment 2'!I214</f>
        <v>0.96699999999999997</v>
      </c>
      <c r="J58" s="29">
        <f>'Attachment 2'!J214</f>
        <v>1.0109999999999999</v>
      </c>
      <c r="K58" s="45"/>
      <c r="L58" s="45"/>
      <c r="M58" s="45"/>
    </row>
    <row r="59" spans="2:13" x14ac:dyDescent="0.6">
      <c r="B59" s="34" t="s">
        <v>114</v>
      </c>
      <c r="C59" s="29"/>
      <c r="D59" s="29">
        <f>'Attachment 2'!D215</f>
        <v>1.3280000000000001</v>
      </c>
      <c r="E59" s="29"/>
      <c r="F59" s="29"/>
      <c r="G59" s="29"/>
      <c r="H59" s="29"/>
      <c r="I59" s="29"/>
      <c r="J59" s="29"/>
      <c r="K59" s="45"/>
      <c r="L59" s="45"/>
      <c r="M59" s="45"/>
    </row>
    <row r="60" spans="2:13" x14ac:dyDescent="0.6">
      <c r="B60" s="34" t="s">
        <v>37</v>
      </c>
      <c r="C60" s="29"/>
      <c r="D60" s="29">
        <f>'Attachment 2'!D216</f>
        <v>0.96399999999999997</v>
      </c>
      <c r="E60" s="29"/>
      <c r="F60" s="29"/>
      <c r="G60" s="29"/>
      <c r="H60" s="29"/>
      <c r="I60" s="29"/>
      <c r="J60" s="29"/>
      <c r="K60" s="48"/>
      <c r="L60" s="45"/>
      <c r="M60" s="45"/>
    </row>
    <row r="61" spans="2:13" x14ac:dyDescent="0.6">
      <c r="C61" s="50"/>
      <c r="D61" s="50"/>
      <c r="E61" s="50"/>
      <c r="F61" s="50"/>
      <c r="G61" s="50"/>
      <c r="K61" s="45"/>
      <c r="L61" s="45"/>
      <c r="M61" s="45"/>
    </row>
    <row r="62" spans="2:13" x14ac:dyDescent="0.6">
      <c r="B62" s="5" t="s">
        <v>168</v>
      </c>
      <c r="C62" s="58">
        <f>'Attachment 2'!C217</f>
        <v>1.073</v>
      </c>
      <c r="D62" s="58">
        <f>'Attachment 2'!D217</f>
        <v>1.034</v>
      </c>
      <c r="E62" s="58">
        <f>'Attachment 2'!E217</f>
        <v>1.0469999999999999</v>
      </c>
      <c r="F62" s="58">
        <f>'Attachment 2'!F217</f>
        <v>0.97699999999999998</v>
      </c>
      <c r="G62" s="58">
        <f>'Attachment 2'!G217</f>
        <v>1.0209999999999999</v>
      </c>
      <c r="H62" s="58">
        <f>'Attachment 2'!H217</f>
        <v>0.98</v>
      </c>
      <c r="I62" s="58">
        <f>'Attachment 2'!I217</f>
        <v>0.93</v>
      </c>
      <c r="J62" s="58">
        <f>'Attachment 2'!J217</f>
        <v>0.98399999999999999</v>
      </c>
      <c r="K62" s="45"/>
      <c r="L62" s="45"/>
      <c r="M62" s="45"/>
    </row>
    <row r="63" spans="2:13" x14ac:dyDescent="0.6">
      <c r="L63" s="45"/>
      <c r="M63" s="45"/>
    </row>
    <row r="65" spans="1:13" x14ac:dyDescent="0.6">
      <c r="A65" s="137" t="s">
        <v>188</v>
      </c>
      <c r="B65" s="52" t="s">
        <v>189</v>
      </c>
      <c r="C65" s="45"/>
      <c r="E65" s="45"/>
    </row>
    <row r="66" spans="1:13" x14ac:dyDescent="0.6">
      <c r="B66" s="4" t="s">
        <v>169</v>
      </c>
    </row>
    <row r="68" spans="1:13" x14ac:dyDescent="0.6">
      <c r="B68" s="4" t="s">
        <v>256</v>
      </c>
    </row>
    <row r="69" spans="1:13" x14ac:dyDescent="0.6">
      <c r="B69" s="3"/>
    </row>
    <row r="70" spans="1:13" x14ac:dyDescent="0.6">
      <c r="C70" s="27" t="str">
        <f t="shared" ref="C70:I70" si="1">+C46</f>
        <v>RS</v>
      </c>
      <c r="D70" s="27" t="str">
        <f t="shared" si="1"/>
        <v>RS TOU - BGS</v>
      </c>
      <c r="E70" s="27" t="str">
        <f t="shared" si="1"/>
        <v>MGS - SEC</v>
      </c>
      <c r="F70" s="27" t="str">
        <f t="shared" si="1"/>
        <v>MGS - PRI</v>
      </c>
      <c r="G70" s="27" t="str">
        <f t="shared" si="1"/>
        <v>AGS - SEC</v>
      </c>
      <c r="H70" s="27" t="str">
        <f t="shared" si="1"/>
        <v>AGS - PRI</v>
      </c>
      <c r="I70" s="27" t="str">
        <f t="shared" si="1"/>
        <v>SPL/CSL</v>
      </c>
      <c r="J70" s="27" t="str">
        <f>+J46</f>
        <v>DDC</v>
      </c>
    </row>
    <row r="71" spans="1:13" x14ac:dyDescent="0.6">
      <c r="C71" s="137"/>
      <c r="D71" s="137"/>
      <c r="E71" s="137"/>
      <c r="F71" s="138"/>
      <c r="G71" s="138"/>
      <c r="H71" s="138"/>
      <c r="I71" s="138"/>
      <c r="J71" s="138"/>
    </row>
    <row r="72" spans="1:13" x14ac:dyDescent="0.6">
      <c r="B72" s="33" t="s">
        <v>43</v>
      </c>
      <c r="C72" s="138"/>
      <c r="D72" s="138">
        <f t="shared" ref="D72:I72" si="2">ROUND(($C$32*D48)/10,4)</f>
        <v>9.0747999999999998</v>
      </c>
      <c r="E72" s="138">
        <f t="shared" si="2"/>
        <v>8.5474999999999994</v>
      </c>
      <c r="F72" s="138">
        <f t="shared" si="2"/>
        <v>7.9946999999999999</v>
      </c>
      <c r="G72" s="138">
        <f t="shared" si="2"/>
        <v>8.3263999999999996</v>
      </c>
      <c r="H72" s="138">
        <f t="shared" si="2"/>
        <v>7.9436999999999998</v>
      </c>
      <c r="I72" s="138">
        <f t="shared" si="2"/>
        <v>7.1782000000000004</v>
      </c>
      <c r="J72" s="138">
        <f>ROUND(($C$32*J48)/10,4)</f>
        <v>7.9862000000000002</v>
      </c>
    </row>
    <row r="73" spans="1:13" x14ac:dyDescent="0.6">
      <c r="B73" s="34" t="s">
        <v>114</v>
      </c>
      <c r="C73" s="137"/>
      <c r="D73" s="138">
        <f>ROUND(($C$32*D49)/10,4)</f>
        <v>10.316599999999999</v>
      </c>
      <c r="E73" s="138"/>
      <c r="F73" s="137"/>
      <c r="G73" s="137"/>
      <c r="H73" s="137"/>
      <c r="I73" s="137"/>
      <c r="J73" s="137"/>
      <c r="L73" s="45"/>
      <c r="M73" s="45"/>
    </row>
    <row r="74" spans="1:13" x14ac:dyDescent="0.6">
      <c r="B74" s="34" t="s">
        <v>37</v>
      </c>
      <c r="C74" s="137"/>
      <c r="D74" s="138">
        <f>ROUND(($C$32*D50)/10,4)</f>
        <v>7.0677000000000003</v>
      </c>
      <c r="E74" s="138"/>
      <c r="F74" s="137"/>
      <c r="G74" s="137"/>
      <c r="H74" s="137"/>
      <c r="I74" s="137"/>
      <c r="J74" s="137"/>
      <c r="L74" s="45"/>
      <c r="M74" s="45"/>
    </row>
    <row r="75" spans="1:13" x14ac:dyDescent="0.6">
      <c r="B75" s="49"/>
      <c r="C75" s="137"/>
      <c r="D75" s="137"/>
      <c r="E75" s="137"/>
      <c r="F75" s="137"/>
      <c r="G75" s="137"/>
      <c r="H75" s="137"/>
      <c r="I75" s="137"/>
      <c r="J75" s="137"/>
      <c r="L75" s="45"/>
      <c r="M75" s="45"/>
    </row>
    <row r="76" spans="1:13" x14ac:dyDescent="0.6">
      <c r="B76" s="41" t="s">
        <v>84</v>
      </c>
      <c r="C76" s="138">
        <f>ROUND((+$C$32*C52+C53)/10,4)</f>
        <v>8.2591999999999999</v>
      </c>
      <c r="D76" s="138"/>
      <c r="E76" s="137"/>
      <c r="F76" s="137"/>
      <c r="G76" s="137"/>
      <c r="H76" s="137"/>
      <c r="I76" s="137"/>
      <c r="J76" s="137"/>
      <c r="L76" s="45"/>
      <c r="M76" s="45"/>
    </row>
    <row r="77" spans="1:13" x14ac:dyDescent="0.6">
      <c r="B77" s="41" t="s">
        <v>85</v>
      </c>
      <c r="C77" s="138">
        <f>ROUND((+$C$32*C52+C54)/10,4)</f>
        <v>9.1243999999999996</v>
      </c>
      <c r="D77" s="138"/>
      <c r="E77" s="137"/>
      <c r="F77" s="137"/>
      <c r="G77" s="137"/>
      <c r="H77" s="137"/>
      <c r="I77" s="137"/>
      <c r="J77" s="137"/>
      <c r="L77" s="45"/>
      <c r="M77" s="45"/>
    </row>
    <row r="78" spans="1:13" x14ac:dyDescent="0.6">
      <c r="C78" s="138"/>
      <c r="D78" s="138"/>
      <c r="E78" s="137"/>
      <c r="F78" s="137"/>
      <c r="G78" s="137"/>
      <c r="H78" s="137"/>
      <c r="I78" s="137"/>
      <c r="J78" s="137"/>
      <c r="L78" s="45"/>
      <c r="M78" s="45"/>
    </row>
    <row r="79" spans="1:13" x14ac:dyDescent="0.6">
      <c r="B79" s="33" t="s">
        <v>44</v>
      </c>
      <c r="C79" s="138">
        <f t="shared" ref="C79:I79" si="3">ROUND(($C$32*C58)/10,4)</f>
        <v>9.5426000000000002</v>
      </c>
      <c r="D79" s="138">
        <f t="shared" si="3"/>
        <v>10.809900000000001</v>
      </c>
      <c r="E79" s="138">
        <f t="shared" si="3"/>
        <v>9.1258999999999997</v>
      </c>
      <c r="F79" s="138">
        <f t="shared" si="3"/>
        <v>8.5050000000000008</v>
      </c>
      <c r="G79" s="138">
        <f t="shared" si="3"/>
        <v>8.9131999999999998</v>
      </c>
      <c r="H79" s="138">
        <f t="shared" si="3"/>
        <v>8.5389999999999997</v>
      </c>
      <c r="I79" s="138">
        <f t="shared" si="3"/>
        <v>8.2242999999999995</v>
      </c>
      <c r="J79" s="138">
        <f>ROUND(($C$32*J58)/10,4)</f>
        <v>8.5985999999999994</v>
      </c>
      <c r="L79" s="45"/>
      <c r="M79" s="45"/>
    </row>
    <row r="80" spans="1:13" x14ac:dyDescent="0.6">
      <c r="B80" s="34" t="s">
        <v>114</v>
      </c>
      <c r="C80" s="137"/>
      <c r="D80" s="138">
        <f>ROUND(($C$32*D59)/10,4)</f>
        <v>11.294600000000001</v>
      </c>
      <c r="E80" s="138"/>
      <c r="F80" s="137"/>
      <c r="G80" s="137"/>
      <c r="H80" s="137"/>
      <c r="I80" s="137"/>
      <c r="L80" s="45"/>
      <c r="M80" s="45"/>
    </row>
    <row r="81" spans="1:24" x14ac:dyDescent="0.6">
      <c r="B81" s="34" t="s">
        <v>37</v>
      </c>
      <c r="C81" s="137"/>
      <c r="D81" s="138">
        <f>ROUND(($C$32*D60)/10,4)</f>
        <v>8.1988000000000003</v>
      </c>
      <c r="E81" s="138"/>
      <c r="F81" s="137"/>
      <c r="G81" s="137"/>
      <c r="H81" s="137"/>
      <c r="I81" s="137"/>
      <c r="J81" s="137"/>
      <c r="L81" s="45"/>
      <c r="M81" s="45"/>
    </row>
    <row r="82" spans="1:24" x14ac:dyDescent="0.6">
      <c r="C82" s="51"/>
      <c r="D82" s="47"/>
      <c r="E82" s="51"/>
      <c r="F82" s="47"/>
      <c r="J82" s="137"/>
      <c r="L82" s="45"/>
      <c r="M82" s="45"/>
    </row>
    <row r="84" spans="1:24" x14ac:dyDescent="0.6">
      <c r="A84" s="137" t="s">
        <v>186</v>
      </c>
      <c r="B84" s="3" t="s">
        <v>187</v>
      </c>
      <c r="C84" s="45"/>
      <c r="E84" s="45"/>
    </row>
    <row r="85" spans="1:24" x14ac:dyDescent="0.6">
      <c r="C85" s="45"/>
      <c r="E85" s="45"/>
    </row>
    <row r="86" spans="1:24" x14ac:dyDescent="0.6">
      <c r="C86" s="27" t="str">
        <f>C70</f>
        <v>RS</v>
      </c>
      <c r="D86" s="27" t="str">
        <f t="shared" ref="D86:I86" si="4">D70</f>
        <v>RS TOU - BGS</v>
      </c>
      <c r="E86" s="27" t="str">
        <f t="shared" si="4"/>
        <v>MGS - SEC</v>
      </c>
      <c r="F86" s="27" t="str">
        <f t="shared" si="4"/>
        <v>MGS - PRI</v>
      </c>
      <c r="G86" s="27" t="str">
        <f t="shared" si="4"/>
        <v>AGS - SEC</v>
      </c>
      <c r="H86" s="27" t="str">
        <f t="shared" si="4"/>
        <v>AGS - PRI</v>
      </c>
      <c r="I86" s="27" t="str">
        <f t="shared" si="4"/>
        <v>SPL/CSL</v>
      </c>
      <c r="J86" s="27" t="str">
        <f>J70</f>
        <v>DDC</v>
      </c>
    </row>
    <row r="87" spans="1:24" x14ac:dyDescent="0.6">
      <c r="B87" s="5" t="s">
        <v>140</v>
      </c>
      <c r="K87" s="21"/>
      <c r="L87" s="21"/>
    </row>
    <row r="88" spans="1:24" x14ac:dyDescent="0.6">
      <c r="B88" s="53" t="s">
        <v>58</v>
      </c>
      <c r="C88" s="54">
        <f>+C76/100*'Attachment 2'!$O52+C77/100*'Attachment 2'!$O53</f>
        <v>141236.55355478835</v>
      </c>
      <c r="D88" s="54">
        <f>(D73/100*'Attachment 2'!$P49)+(D74/100*'Attachment 2'!$P50)</f>
        <v>78.028117996617894</v>
      </c>
      <c r="E88" s="55">
        <f>E72/100*'Attachment 2'!$Q48</f>
        <v>32534.394655170458</v>
      </c>
      <c r="F88" s="55">
        <f>F72/100*'Attachment 2'!R48</f>
        <v>2228.0811481358191</v>
      </c>
      <c r="G88" s="55">
        <f>G72/100*'Attachment 2'!$S48</f>
        <v>26824.326510903171</v>
      </c>
      <c r="H88" s="55">
        <f>H72/100*'Attachment 2'!$T48</f>
        <v>1737.5288660155334</v>
      </c>
      <c r="I88" s="55">
        <f>I72/100*'Attachment 2'!$U48</f>
        <v>1130.6958922955703</v>
      </c>
      <c r="J88" s="55">
        <f>J72/100*'Attachment 2'!$V48</f>
        <v>337.67288774340017</v>
      </c>
      <c r="K88" s="17"/>
      <c r="L88" s="17"/>
      <c r="P88" s="62"/>
      <c r="Q88" s="62"/>
      <c r="R88" s="63"/>
      <c r="S88" s="63"/>
      <c r="T88" s="63"/>
      <c r="U88" s="63"/>
      <c r="V88" s="63"/>
      <c r="W88" s="63"/>
      <c r="X88" s="123"/>
    </row>
    <row r="89" spans="1:24" ht="15.25" x14ac:dyDescent="1.05">
      <c r="B89" s="53" t="s">
        <v>61</v>
      </c>
      <c r="C89" s="39">
        <f>+C79/100*'Attachment 2'!$O45</f>
        <v>203556.17062172663</v>
      </c>
      <c r="D89" s="39">
        <f>(D80/100*'Attachment 2'!$P46)+(D81/100*'Attachment 2'!$P47)</f>
        <v>110.93486921501997</v>
      </c>
      <c r="E89" s="39">
        <f>E79/100*'Attachment 2'!$Q45</f>
        <v>54883.702437917818</v>
      </c>
      <c r="F89" s="39">
        <f>F79/100*'Attachment 2'!R45</f>
        <v>3757.2011995412076</v>
      </c>
      <c r="G89" s="39">
        <f>G79/100*'Attachment 2'!$S45</f>
        <v>45260.293345726313</v>
      </c>
      <c r="H89" s="39">
        <f>H79/100*'Attachment 2'!$T45</f>
        <v>3713.8259323887701</v>
      </c>
      <c r="I89" s="39">
        <f>I79/100*'Attachment 2'!$U45</f>
        <v>3093.340277241864</v>
      </c>
      <c r="J89" s="39">
        <f>J79/100*'Attachment 2'!$V45</f>
        <v>597.68580705092143</v>
      </c>
      <c r="K89" s="59"/>
      <c r="P89" s="64"/>
      <c r="Q89" s="64"/>
      <c r="R89" s="64"/>
      <c r="S89" s="64"/>
      <c r="T89" s="64"/>
      <c r="U89" s="64"/>
      <c r="V89" s="64"/>
      <c r="W89" s="64"/>
      <c r="X89" s="266"/>
    </row>
    <row r="90" spans="1:24" ht="15.25" x14ac:dyDescent="1.05">
      <c r="B90" s="53" t="s">
        <v>29</v>
      </c>
      <c r="C90" s="40">
        <f t="shared" ref="C90:I90" si="5">+C89+C88</f>
        <v>344792.72417651501</v>
      </c>
      <c r="D90" s="40">
        <f t="shared" si="5"/>
        <v>188.96298721163788</v>
      </c>
      <c r="E90" s="40">
        <f t="shared" si="5"/>
        <v>87418.097093088276</v>
      </c>
      <c r="F90" s="40">
        <f t="shared" si="5"/>
        <v>5985.2823476770263</v>
      </c>
      <c r="G90" s="40">
        <f t="shared" si="5"/>
        <v>72084.619856629492</v>
      </c>
      <c r="H90" s="40">
        <f t="shared" si="5"/>
        <v>5451.3547984043034</v>
      </c>
      <c r="I90" s="40">
        <f t="shared" si="5"/>
        <v>4224.036169537434</v>
      </c>
      <c r="J90" s="40">
        <f>+J89+J88</f>
        <v>935.35869479432154</v>
      </c>
      <c r="K90" s="60"/>
      <c r="P90" s="65"/>
      <c r="Q90" s="65"/>
      <c r="R90" s="65"/>
      <c r="S90" s="65"/>
      <c r="T90" s="65"/>
      <c r="U90" s="65"/>
      <c r="V90" s="65"/>
      <c r="W90" s="65"/>
      <c r="X90" s="123"/>
    </row>
    <row r="91" spans="1:24" x14ac:dyDescent="0.6">
      <c r="B91" s="53"/>
      <c r="C91" s="40"/>
      <c r="D91" s="40"/>
      <c r="E91" s="40"/>
      <c r="F91" s="40"/>
      <c r="G91" s="40"/>
      <c r="H91" s="40"/>
      <c r="I91" s="40"/>
      <c r="J91" s="40"/>
      <c r="K91" s="61"/>
    </row>
    <row r="92" spans="1:24" x14ac:dyDescent="0.6">
      <c r="B92" s="53" t="s">
        <v>170</v>
      </c>
      <c r="C92" s="40">
        <f>SUM(C88:J88)</f>
        <v>206107.2816330489</v>
      </c>
      <c r="D92" s="40"/>
      <c r="E92" s="40"/>
      <c r="F92" s="40"/>
      <c r="G92" s="40"/>
      <c r="H92" s="40"/>
      <c r="I92" s="40"/>
      <c r="J92" s="40"/>
      <c r="K92" s="40"/>
      <c r="L92" s="40"/>
    </row>
    <row r="93" spans="1:24" ht="15.25" x14ac:dyDescent="1.05">
      <c r="B93" s="53" t="s">
        <v>171</v>
      </c>
      <c r="C93" s="56">
        <f>SUM(C89:J89)</f>
        <v>314973.15449080855</v>
      </c>
      <c r="E93" s="45"/>
      <c r="K93" s="40"/>
      <c r="L93" s="40"/>
    </row>
    <row r="94" spans="1:24" x14ac:dyDescent="0.6">
      <c r="B94" s="53" t="s">
        <v>172</v>
      </c>
      <c r="C94" s="40">
        <f>+C93+C92</f>
        <v>521080.43612385745</v>
      </c>
      <c r="E94" s="45"/>
    </row>
    <row r="95" spans="1:24" x14ac:dyDescent="0.6">
      <c r="B95" s="53"/>
      <c r="C95" s="45"/>
      <c r="E95" s="45"/>
    </row>
    <row r="96" spans="1:24" x14ac:dyDescent="0.6">
      <c r="C96" s="27"/>
      <c r="D96" s="27"/>
      <c r="E96" s="27"/>
      <c r="F96" s="27"/>
      <c r="G96" s="27"/>
      <c r="H96" s="27"/>
      <c r="I96" s="27"/>
      <c r="J96" s="27"/>
    </row>
    <row r="97" spans="1:12" x14ac:dyDescent="0.6">
      <c r="B97" s="5" t="s">
        <v>141</v>
      </c>
      <c r="K97" s="27"/>
      <c r="L97" s="27"/>
    </row>
    <row r="98" spans="1:12" x14ac:dyDescent="0.6">
      <c r="B98" s="53" t="s">
        <v>58</v>
      </c>
      <c r="C98" s="40">
        <f>+C24+D24+E24</f>
        <v>217561.05631410627</v>
      </c>
    </row>
    <row r="99" spans="1:12" ht="15.25" x14ac:dyDescent="1.05">
      <c r="B99" s="53" t="s">
        <v>61</v>
      </c>
      <c r="C99" s="56">
        <f>+C25+D25+E25</f>
        <v>303535.21732192463</v>
      </c>
      <c r="E99" s="66"/>
      <c r="F99" s="67"/>
      <c r="G99" s="67"/>
      <c r="H99" s="68"/>
    </row>
    <row r="100" spans="1:12" x14ac:dyDescent="0.6">
      <c r="B100" s="53" t="s">
        <v>29</v>
      </c>
      <c r="C100" s="40">
        <f>+C99+C98</f>
        <v>521096.27363603091</v>
      </c>
      <c r="E100" s="69" t="s">
        <v>181</v>
      </c>
      <c r="F100" s="17"/>
      <c r="G100" s="17"/>
      <c r="H100" s="139"/>
      <c r="J100" s="10" t="s">
        <v>174</v>
      </c>
    </row>
    <row r="101" spans="1:12" x14ac:dyDescent="0.6">
      <c r="C101" s="45"/>
      <c r="E101" s="69" t="s">
        <v>182</v>
      </c>
      <c r="F101" s="19" t="s">
        <v>183</v>
      </c>
      <c r="G101" s="17"/>
      <c r="H101" s="139"/>
      <c r="J101" s="57">
        <f>+C103/C98</f>
        <v>5.2646254229069628E-2</v>
      </c>
    </row>
    <row r="102" spans="1:12" x14ac:dyDescent="0.6">
      <c r="B102" s="26" t="s">
        <v>173</v>
      </c>
      <c r="C102" s="40"/>
      <c r="E102" s="140" t="s">
        <v>184</v>
      </c>
      <c r="F102" s="17"/>
      <c r="G102" s="17"/>
      <c r="H102" s="139"/>
      <c r="J102" s="57">
        <f>+C104/C99</f>
        <v>-3.7682405586410166E-2</v>
      </c>
    </row>
    <row r="103" spans="1:12" x14ac:dyDescent="0.6">
      <c r="B103" s="53" t="s">
        <v>58</v>
      </c>
      <c r="C103" s="40">
        <f>+C98-C92</f>
        <v>11453.774681057374</v>
      </c>
      <c r="E103" s="70">
        <f>ROUND(1+(C103/C92),5)</f>
        <v>1.0555699999999999</v>
      </c>
      <c r="F103" s="17"/>
      <c r="G103" s="17"/>
      <c r="H103" s="139"/>
      <c r="J103" s="57">
        <f>+C105/C100</f>
        <v>3.0392679769034518E-5</v>
      </c>
    </row>
    <row r="104" spans="1:12" ht="15.25" x14ac:dyDescent="1.05">
      <c r="B104" s="53" t="s">
        <v>61</v>
      </c>
      <c r="C104" s="56">
        <f>+C99-C93</f>
        <v>-11437.937168883916</v>
      </c>
      <c r="E104" s="70">
        <f>ROUND(1+(C104/C93),5)</f>
        <v>0.96369000000000005</v>
      </c>
      <c r="F104" s="17"/>
      <c r="G104" s="17"/>
      <c r="H104" s="139"/>
    </row>
    <row r="105" spans="1:12" x14ac:dyDescent="0.6">
      <c r="B105" s="53" t="s">
        <v>29</v>
      </c>
      <c r="C105" s="40">
        <f>+C100-C94</f>
        <v>15.837512173457071</v>
      </c>
      <c r="E105" s="141"/>
      <c r="F105" s="142"/>
      <c r="G105" s="142"/>
      <c r="H105" s="143"/>
    </row>
    <row r="107" spans="1:12" x14ac:dyDescent="0.6">
      <c r="C107" s="5" t="s">
        <v>175</v>
      </c>
    </row>
    <row r="108" spans="1:12" x14ac:dyDescent="0.6">
      <c r="C108" s="5" t="s">
        <v>176</v>
      </c>
    </row>
    <row r="111" spans="1:12" x14ac:dyDescent="0.6">
      <c r="A111" s="137" t="s">
        <v>190</v>
      </c>
      <c r="B111" s="52" t="s">
        <v>191</v>
      </c>
      <c r="C111" s="45"/>
      <c r="E111" s="45"/>
    </row>
    <row r="112" spans="1:12" x14ac:dyDescent="0.6">
      <c r="B112" s="4" t="s">
        <v>169</v>
      </c>
    </row>
    <row r="114" spans="2:10" x14ac:dyDescent="0.6">
      <c r="B114" s="4" t="s">
        <v>256</v>
      </c>
    </row>
    <row r="115" spans="2:10" x14ac:dyDescent="0.6">
      <c r="B115" s="3"/>
    </row>
    <row r="116" spans="2:10" x14ac:dyDescent="0.6">
      <c r="C116" s="27" t="s">
        <v>5</v>
      </c>
      <c r="D116" s="27" t="s">
        <v>119</v>
      </c>
      <c r="E116" s="27" t="s">
        <v>6</v>
      </c>
      <c r="F116" s="27" t="s">
        <v>7</v>
      </c>
      <c r="G116" s="27" t="s">
        <v>8</v>
      </c>
      <c r="H116" s="27" t="s">
        <v>9</v>
      </c>
      <c r="I116" s="27" t="s">
        <v>10</v>
      </c>
      <c r="J116" s="27" t="s">
        <v>11</v>
      </c>
    </row>
    <row r="117" spans="2:10" x14ac:dyDescent="0.6">
      <c r="C117" s="137"/>
      <c r="D117" s="137"/>
      <c r="E117" s="137"/>
      <c r="F117" s="138"/>
      <c r="G117" s="138"/>
      <c r="H117" s="138"/>
      <c r="I117" s="138"/>
      <c r="J117" s="138"/>
    </row>
    <row r="118" spans="2:10" x14ac:dyDescent="0.6">
      <c r="B118" s="33" t="s">
        <v>43</v>
      </c>
      <c r="C118" s="138"/>
      <c r="D118" s="138">
        <f t="shared" ref="D118:I118" si="6">ROUND(D72*$E$103,4)</f>
        <v>9.5791000000000004</v>
      </c>
      <c r="E118" s="138">
        <f t="shared" si="6"/>
        <v>9.0225000000000009</v>
      </c>
      <c r="F118" s="138">
        <f t="shared" si="6"/>
        <v>8.4390000000000001</v>
      </c>
      <c r="G118" s="138">
        <f t="shared" si="6"/>
        <v>8.7890999999999995</v>
      </c>
      <c r="H118" s="138">
        <f t="shared" si="6"/>
        <v>8.3850999999999996</v>
      </c>
      <c r="I118" s="138">
        <f t="shared" si="6"/>
        <v>7.5770999999999997</v>
      </c>
      <c r="J118" s="138">
        <f>ROUND(J72*$E$103,4)</f>
        <v>8.43</v>
      </c>
    </row>
    <row r="119" spans="2:10" x14ac:dyDescent="0.6">
      <c r="B119" s="34" t="s">
        <v>114</v>
      </c>
      <c r="C119" s="137"/>
      <c r="D119" s="138">
        <f>ROUND(D73*$E$103,4)</f>
        <v>10.889900000000001</v>
      </c>
      <c r="E119" s="138"/>
      <c r="F119" s="137"/>
      <c r="G119" s="137"/>
      <c r="H119" s="137"/>
      <c r="I119" s="137"/>
      <c r="J119" s="137"/>
    </row>
    <row r="120" spans="2:10" x14ac:dyDescent="0.6">
      <c r="B120" s="34" t="s">
        <v>37</v>
      </c>
      <c r="C120" s="137"/>
      <c r="D120" s="138">
        <f>ROUND(D74*$E$103,4)</f>
        <v>7.4604999999999997</v>
      </c>
      <c r="E120" s="138"/>
      <c r="F120" s="137"/>
      <c r="G120" s="137"/>
      <c r="H120" s="137"/>
      <c r="I120" s="137"/>
      <c r="J120" s="137"/>
    </row>
    <row r="121" spans="2:10" x14ac:dyDescent="0.6">
      <c r="B121" s="49"/>
      <c r="C121" s="137"/>
      <c r="D121" s="137"/>
      <c r="E121" s="137"/>
      <c r="F121" s="137"/>
      <c r="G121" s="137"/>
      <c r="H121" s="137"/>
      <c r="I121" s="137"/>
      <c r="J121" s="137"/>
    </row>
    <row r="122" spans="2:10" x14ac:dyDescent="0.6">
      <c r="B122" s="41" t="s">
        <v>84</v>
      </c>
      <c r="C122" s="138">
        <f>ROUND(C76*$E$103,4)</f>
        <v>8.7181999999999995</v>
      </c>
      <c r="D122" s="138"/>
      <c r="E122" s="137"/>
      <c r="F122" s="137"/>
      <c r="G122" s="137"/>
      <c r="H122" s="137"/>
      <c r="I122" s="137"/>
      <c r="J122" s="137"/>
    </row>
    <row r="123" spans="2:10" x14ac:dyDescent="0.6">
      <c r="B123" s="41" t="s">
        <v>85</v>
      </c>
      <c r="C123" s="138">
        <f>ROUND(C77*$E$103,4)</f>
        <v>9.6313999999999993</v>
      </c>
      <c r="D123" s="138"/>
      <c r="E123" s="137"/>
      <c r="F123" s="137"/>
      <c r="G123" s="137"/>
      <c r="H123" s="137"/>
      <c r="I123" s="137"/>
      <c r="J123" s="137"/>
    </row>
    <row r="124" spans="2:10" x14ac:dyDescent="0.6">
      <c r="C124" s="138"/>
      <c r="D124" s="138"/>
      <c r="E124" s="137"/>
      <c r="F124" s="137"/>
      <c r="G124" s="137"/>
      <c r="H124" s="137"/>
      <c r="I124" s="137"/>
      <c r="J124" s="137"/>
    </row>
    <row r="125" spans="2:10" x14ac:dyDescent="0.6">
      <c r="B125" s="33" t="s">
        <v>44</v>
      </c>
      <c r="C125" s="138">
        <f t="shared" ref="C125:I125" si="7">ROUND(C79*$E$104,4)</f>
        <v>9.1960999999999995</v>
      </c>
      <c r="D125" s="138">
        <f t="shared" si="7"/>
        <v>10.417400000000001</v>
      </c>
      <c r="E125" s="138">
        <f t="shared" si="7"/>
        <v>8.7944999999999993</v>
      </c>
      <c r="F125" s="138">
        <f t="shared" si="7"/>
        <v>8.1961999999999993</v>
      </c>
      <c r="G125" s="138">
        <f t="shared" si="7"/>
        <v>8.5896000000000008</v>
      </c>
      <c r="H125" s="138">
        <f t="shared" si="7"/>
        <v>8.2288999999999994</v>
      </c>
      <c r="I125" s="138">
        <f t="shared" si="7"/>
        <v>7.9257</v>
      </c>
      <c r="J125" s="138">
        <f>ROUND(J79*$E$104,4)</f>
        <v>8.2864000000000004</v>
      </c>
    </row>
    <row r="126" spans="2:10" x14ac:dyDescent="0.6">
      <c r="B126" s="34" t="s">
        <v>114</v>
      </c>
      <c r="C126" s="137"/>
      <c r="D126" s="138">
        <f>ROUND(D80*$E$104,4)</f>
        <v>10.884499999999999</v>
      </c>
      <c r="E126" s="138"/>
      <c r="F126" s="137"/>
      <c r="G126" s="137"/>
      <c r="H126" s="137"/>
      <c r="I126" s="137"/>
    </row>
    <row r="127" spans="2:10" x14ac:dyDescent="0.6">
      <c r="B127" s="34" t="s">
        <v>37</v>
      </c>
      <c r="C127" s="137"/>
      <c r="D127" s="138">
        <f>ROUND(D81*$E$104,4)</f>
        <v>7.9010999999999996</v>
      </c>
      <c r="E127" s="138"/>
      <c r="F127" s="137"/>
      <c r="G127" s="137"/>
      <c r="H127" s="137"/>
      <c r="I127" s="137"/>
      <c r="J127" s="137"/>
    </row>
    <row r="128" spans="2:10" x14ac:dyDescent="0.6">
      <c r="J128" s="137"/>
    </row>
    <row r="131" spans="1:10" x14ac:dyDescent="0.6">
      <c r="A131" s="137" t="s">
        <v>192</v>
      </c>
      <c r="B131" s="3" t="s">
        <v>193</v>
      </c>
      <c r="C131" s="45"/>
      <c r="E131" s="45"/>
    </row>
    <row r="133" spans="1:10" x14ac:dyDescent="0.6">
      <c r="C133" s="27" t="s">
        <v>5</v>
      </c>
      <c r="D133" s="27" t="s">
        <v>119</v>
      </c>
      <c r="E133" s="27" t="s">
        <v>6</v>
      </c>
      <c r="F133" s="27" t="s">
        <v>7</v>
      </c>
      <c r="G133" s="27" t="s">
        <v>8</v>
      </c>
      <c r="H133" s="27" t="s">
        <v>9</v>
      </c>
      <c r="I133" s="27" t="s">
        <v>10</v>
      </c>
      <c r="J133" s="27" t="s">
        <v>11</v>
      </c>
    </row>
    <row r="134" spans="1:10" x14ac:dyDescent="0.6">
      <c r="B134" s="5" t="s">
        <v>140</v>
      </c>
      <c r="C134" s="71"/>
    </row>
    <row r="135" spans="1:10" x14ac:dyDescent="0.6">
      <c r="B135" s="53" t="s">
        <v>58</v>
      </c>
      <c r="C135" s="71">
        <f>+C122/100*'Attachment 2'!O52+'Attachment 3'!C123/100*'Attachment 2'!O53</f>
        <v>149085.18015029741</v>
      </c>
      <c r="D135" s="38">
        <f>D119/100*'Attachment 2'!P49+D120/100*'Attachment 2'!P50</f>
        <v>82.364377142654703</v>
      </c>
      <c r="E135" s="71">
        <f>E118/100*'Attachment 2'!Q48</f>
        <v>34342.389678417727</v>
      </c>
      <c r="F135" s="71">
        <f>F118/100*'Attachment 2'!R48</f>
        <v>2351.9052383601856</v>
      </c>
      <c r="G135" s="71">
        <f>G118/100*'Attachment 2'!S48</f>
        <v>28314.96062367639</v>
      </c>
      <c r="H135" s="71">
        <f>H118/100*'Attachment 2'!T48</f>
        <v>1834.0764749961415</v>
      </c>
      <c r="I135" s="71">
        <f>I118/100*'Attachment 2'!U48</f>
        <v>1193.5298327592941</v>
      </c>
      <c r="J135" s="71">
        <f>J118/100*'Attachment 2'!V48</f>
        <v>356.43766042383902</v>
      </c>
    </row>
    <row r="136" spans="1:10" ht="15.25" x14ac:dyDescent="1.05">
      <c r="B136" s="53" t="s">
        <v>61</v>
      </c>
      <c r="C136" s="39">
        <f>+C125/100*'Attachment 2'!O45</f>
        <v>196164.87127768746</v>
      </c>
      <c r="D136" s="39">
        <f>D126/100*'Attachment 2'!P46+'Attachment 3'!D127/100*'Attachment 2'!P47</f>
        <v>106.90685024698288</v>
      </c>
      <c r="E136" s="39">
        <f>E125/100*'Attachment 2'!Q45</f>
        <v>52890.64323412138</v>
      </c>
      <c r="F136" s="39">
        <f>F125/100*'Attachment 2'!R45</f>
        <v>3620.784535176912</v>
      </c>
      <c r="G136" s="39">
        <f>G125/100*'Attachment 2'!S45</f>
        <v>43617.086537096751</v>
      </c>
      <c r="H136" s="39">
        <f>H125/100*'Attachment 2'!T45</f>
        <v>3578.9556405942094</v>
      </c>
      <c r="I136" s="39">
        <f>I125/100*'Attachment 2'!U45</f>
        <v>2981.0302439521711</v>
      </c>
      <c r="J136" s="39">
        <f>J125/100*'Attachment 2'!V45</f>
        <v>575.98488958048472</v>
      </c>
    </row>
    <row r="137" spans="1:10" x14ac:dyDescent="0.6">
      <c r="B137" s="53" t="s">
        <v>29</v>
      </c>
      <c r="C137" s="40">
        <f t="shared" ref="C137:I137" si="8">+C136+C135</f>
        <v>345250.05142798484</v>
      </c>
      <c r="D137" s="40">
        <f t="shared" si="8"/>
        <v>189.2712273896376</v>
      </c>
      <c r="E137" s="40">
        <f t="shared" si="8"/>
        <v>87233.032912539114</v>
      </c>
      <c r="F137" s="40">
        <f t="shared" si="8"/>
        <v>5972.6897735370976</v>
      </c>
      <c r="G137" s="40">
        <f t="shared" si="8"/>
        <v>71932.047160773145</v>
      </c>
      <c r="H137" s="40">
        <f t="shared" si="8"/>
        <v>5413.0321155903512</v>
      </c>
      <c r="I137" s="40">
        <f t="shared" si="8"/>
        <v>4174.5600767114647</v>
      </c>
      <c r="J137" s="40">
        <f>+J136+J135</f>
        <v>932.42255000432374</v>
      </c>
    </row>
    <row r="138" spans="1:10" x14ac:dyDescent="0.6">
      <c r="B138" s="53"/>
      <c r="C138" s="40"/>
      <c r="D138" s="40"/>
      <c r="E138" s="40"/>
      <c r="F138" s="40"/>
      <c r="G138" s="40"/>
      <c r="H138" s="40"/>
      <c r="I138" s="40"/>
    </row>
    <row r="139" spans="1:10" x14ac:dyDescent="0.6">
      <c r="B139" s="53" t="s">
        <v>170</v>
      </c>
      <c r="C139" s="40">
        <f>SUM(C135:J135)</f>
        <v>217560.84403607366</v>
      </c>
      <c r="D139" s="40"/>
      <c r="E139" s="40"/>
      <c r="F139" s="40"/>
      <c r="G139" s="40"/>
      <c r="H139" s="40"/>
      <c r="I139" s="40"/>
      <c r="J139" s="40"/>
    </row>
    <row r="140" spans="1:10" ht="15.25" x14ac:dyDescent="1.05">
      <c r="B140" s="53" t="s">
        <v>171</v>
      </c>
      <c r="C140" s="56">
        <f>SUM(C136:J136)</f>
        <v>303536.26320845628</v>
      </c>
      <c r="E140" s="45"/>
      <c r="J140" s="40"/>
    </row>
    <row r="141" spans="1:10" x14ac:dyDescent="0.6">
      <c r="B141" s="53" t="s">
        <v>172</v>
      </c>
      <c r="C141" s="40">
        <f>+C140+C139</f>
        <v>521097.10724452994</v>
      </c>
      <c r="E141" s="45"/>
    </row>
    <row r="142" spans="1:10" x14ac:dyDescent="0.6">
      <c r="B142" s="53"/>
    </row>
    <row r="144" spans="1:10" x14ac:dyDescent="0.6">
      <c r="B144" s="5" t="s">
        <v>141</v>
      </c>
    </row>
    <row r="145" spans="2:3" x14ac:dyDescent="0.6">
      <c r="B145" s="53" t="s">
        <v>58</v>
      </c>
      <c r="C145" s="40">
        <f>C98</f>
        <v>217561.05631410627</v>
      </c>
    </row>
    <row r="146" spans="2:3" ht="15.25" x14ac:dyDescent="1.05">
      <c r="B146" s="53" t="s">
        <v>61</v>
      </c>
      <c r="C146" s="56">
        <f>C99</f>
        <v>303535.21732192463</v>
      </c>
    </row>
    <row r="147" spans="2:3" x14ac:dyDescent="0.6">
      <c r="B147" s="53" t="s">
        <v>29</v>
      </c>
      <c r="C147" s="40">
        <f>+C146+C145</f>
        <v>521096.27363603091</v>
      </c>
    </row>
    <row r="149" spans="2:3" x14ac:dyDescent="0.6">
      <c r="B149" s="26" t="s">
        <v>173</v>
      </c>
    </row>
    <row r="150" spans="2:3" x14ac:dyDescent="0.6">
      <c r="B150" s="53" t="s">
        <v>58</v>
      </c>
      <c r="C150" s="40">
        <f>+C139-C145</f>
        <v>-0.21227803261717781</v>
      </c>
    </row>
    <row r="151" spans="2:3" ht="15.25" x14ac:dyDescent="1.05">
      <c r="B151" s="53" t="s">
        <v>61</v>
      </c>
      <c r="C151" s="56">
        <f>+C140-C146</f>
        <v>1.0458865316468291</v>
      </c>
    </row>
    <row r="152" spans="2:3" x14ac:dyDescent="0.6">
      <c r="B152" s="53" t="s">
        <v>29</v>
      </c>
      <c r="C152" s="40">
        <f>+C151+C150</f>
        <v>0.83360849902965128</v>
      </c>
    </row>
  </sheetData>
  <customSheetViews>
    <customSheetView guid="{E387223A-F425-4996-A843-D576BB2C4D04}" scale="87" showPageBreaks="1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1"/>
      <headerFooter alignWithMargins="0"/>
    </customSheetView>
    <customSheetView guid="{689761CC-C80B-4574-9251-22E069AE5A7E}" scale="87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2"/>
      <headerFooter alignWithMargins="0"/>
    </customSheetView>
  </customSheetViews>
  <phoneticPr fontId="0" type="noConversion"/>
  <pageMargins left="0.75" right="0.75" top="1.25" bottom="1" header="0.5" footer="0.5"/>
  <pageSetup scale="70" fitToHeight="0" orientation="landscape" r:id="rId3"/>
  <headerFooter alignWithMargins="0">
    <oddHeader>&amp;L&amp;"Arial,Bold"Atlantic City Electric Company &amp;"Arial,Regular"
Development of BGS Rates
June 2024 - May 2025&amp;RAttachment 3
Page &amp;P of &amp;N</oddHeader>
  </headerFooter>
  <rowBreaks count="3" manualBreakCount="3">
    <brk id="40" max="10" man="1"/>
    <brk id="83" max="10" man="1"/>
    <brk id="11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E4142-45CE-4A3F-9C8B-E9F34AFA931A}">
  <sheetPr>
    <pageSetUpPr fitToPage="1"/>
  </sheetPr>
  <dimension ref="A1:I28"/>
  <sheetViews>
    <sheetView zoomScale="115" zoomScaleNormal="115" zoomScaleSheetLayoutView="100" workbookViewId="0"/>
  </sheetViews>
  <sheetFormatPr defaultColWidth="9.1328125" defaultRowHeight="13" x14ac:dyDescent="0.6"/>
  <cols>
    <col min="1" max="1" width="3.26953125" style="177" bestFit="1" customWidth="1"/>
    <col min="2" max="2" width="81.1328125" style="177" customWidth="1"/>
    <col min="3" max="4" width="22.54296875" style="274" customWidth="1"/>
    <col min="5" max="9" width="9.1328125" style="177"/>
    <col min="10" max="10" width="12.40625" style="177" customWidth="1"/>
    <col min="11" max="16384" width="9.1328125" style="177"/>
  </cols>
  <sheetData>
    <row r="1" spans="1:9" ht="15.5" x14ac:dyDescent="0.7">
      <c r="B1" s="178" t="s">
        <v>227</v>
      </c>
    </row>
    <row r="2" spans="1:9" ht="52" x14ac:dyDescent="0.6">
      <c r="B2" s="285" t="s">
        <v>309</v>
      </c>
      <c r="C2" s="273" t="s">
        <v>290</v>
      </c>
      <c r="D2" s="273" t="s">
        <v>297</v>
      </c>
    </row>
    <row r="3" spans="1:9" ht="26" x14ac:dyDescent="0.6">
      <c r="C3" s="275" t="s">
        <v>276</v>
      </c>
      <c r="D3" s="275" t="str">
        <f>C3</f>
        <v>2024/25
Delivery Year</v>
      </c>
      <c r="F3" s="179" t="s">
        <v>144</v>
      </c>
    </row>
    <row r="4" spans="1:9" x14ac:dyDescent="0.6">
      <c r="A4" s="177">
        <v>1</v>
      </c>
      <c r="B4" s="180" t="s">
        <v>275</v>
      </c>
      <c r="C4" s="297">
        <v>54.5</v>
      </c>
      <c r="D4" s="297">
        <v>54.5</v>
      </c>
      <c r="E4" s="181"/>
      <c r="F4" s="269" t="s">
        <v>274</v>
      </c>
    </row>
    <row r="5" spans="1:9" x14ac:dyDescent="0.6">
      <c r="A5" s="177">
        <v>2</v>
      </c>
      <c r="B5" s="180" t="s">
        <v>228</v>
      </c>
      <c r="C5" s="298">
        <v>87.98</v>
      </c>
      <c r="D5" s="298">
        <v>66.38</v>
      </c>
      <c r="F5" s="182" t="s">
        <v>298</v>
      </c>
      <c r="G5" s="182"/>
      <c r="H5" s="182"/>
      <c r="I5" s="182"/>
    </row>
    <row r="6" spans="1:9" x14ac:dyDescent="0.6">
      <c r="C6" s="275"/>
      <c r="D6" s="275"/>
      <c r="F6" s="179"/>
    </row>
    <row r="7" spans="1:9" x14ac:dyDescent="0.6">
      <c r="A7" s="177">
        <v>3</v>
      </c>
      <c r="B7" s="180" t="s">
        <v>229</v>
      </c>
      <c r="C7" s="278">
        <f>C4-C5</f>
        <v>-33.480000000000004</v>
      </c>
      <c r="D7" s="278">
        <f>D4-D5</f>
        <v>-11.879999999999995</v>
      </c>
      <c r="F7" s="182" t="s">
        <v>230</v>
      </c>
    </row>
    <row r="8" spans="1:9" x14ac:dyDescent="0.6">
      <c r="A8" s="177">
        <v>4</v>
      </c>
      <c r="B8" s="180" t="s">
        <v>231</v>
      </c>
      <c r="C8" s="279">
        <f>'Attachment 2'!K145</f>
        <v>2060.7450775057046</v>
      </c>
      <c r="D8" s="279">
        <f>C8</f>
        <v>2060.7450775057046</v>
      </c>
      <c r="F8" s="183"/>
    </row>
    <row r="9" spans="1:9" x14ac:dyDescent="0.6">
      <c r="A9" s="177">
        <v>5</v>
      </c>
      <c r="B9" s="180" t="s">
        <v>232</v>
      </c>
      <c r="C9" s="280">
        <v>365</v>
      </c>
      <c r="D9" s="280">
        <f>C9</f>
        <v>365</v>
      </c>
    </row>
    <row r="10" spans="1:9" x14ac:dyDescent="0.6">
      <c r="A10" s="177">
        <v>6</v>
      </c>
      <c r="B10" s="180" t="s">
        <v>242</v>
      </c>
      <c r="C10" s="281">
        <f>C7*C8*C9</f>
        <v>-25182716.996135216</v>
      </c>
      <c r="D10" s="281">
        <f>D7*D8*D9</f>
        <v>-8935802.8050802331</v>
      </c>
      <c r="F10" s="182" t="s">
        <v>233</v>
      </c>
    </row>
    <row r="11" spans="1:9" x14ac:dyDescent="0.6">
      <c r="B11" s="180"/>
      <c r="C11" s="282"/>
      <c r="D11" s="282"/>
      <c r="F11" s="182"/>
    </row>
    <row r="12" spans="1:9" x14ac:dyDescent="0.6">
      <c r="A12" s="177">
        <v>7</v>
      </c>
      <c r="B12" s="253" t="s">
        <v>234</v>
      </c>
      <c r="C12" s="184">
        <v>7</v>
      </c>
      <c r="D12" s="184">
        <v>8</v>
      </c>
      <c r="F12" s="182" t="s">
        <v>235</v>
      </c>
    </row>
    <row r="13" spans="1:9" x14ac:dyDescent="0.6">
      <c r="A13" s="177">
        <v>8</v>
      </c>
      <c r="B13" s="180" t="s">
        <v>236</v>
      </c>
      <c r="C13" s="185">
        <f>'Attachment 3'!E13</f>
        <v>22</v>
      </c>
      <c r="D13" s="185">
        <f>C13</f>
        <v>22</v>
      </c>
      <c r="F13" s="182" t="s">
        <v>235</v>
      </c>
    </row>
    <row r="14" spans="1:9" x14ac:dyDescent="0.6">
      <c r="A14" s="177">
        <v>9</v>
      </c>
      <c r="B14" s="272" t="s">
        <v>253</v>
      </c>
      <c r="C14" s="186">
        <f>+C12/C13</f>
        <v>0.31818181818181818</v>
      </c>
      <c r="D14" s="186">
        <f>+D12/D13</f>
        <v>0.36363636363636365</v>
      </c>
      <c r="F14" s="182" t="s">
        <v>237</v>
      </c>
    </row>
    <row r="15" spans="1:9" x14ac:dyDescent="0.6">
      <c r="B15" s="180"/>
      <c r="C15" s="282"/>
      <c r="D15" s="282"/>
      <c r="F15" s="182"/>
    </row>
    <row r="16" spans="1:9" x14ac:dyDescent="0.6">
      <c r="A16" s="177">
        <v>10</v>
      </c>
      <c r="B16" s="180" t="s">
        <v>243</v>
      </c>
      <c r="C16" s="282">
        <f>C10*C14</f>
        <v>-8012682.6805884782</v>
      </c>
      <c r="D16" s="282">
        <f>D10*D14</f>
        <v>-3249382.8382109939</v>
      </c>
      <c r="F16" s="182" t="s">
        <v>238</v>
      </c>
    </row>
    <row r="17" spans="1:6" x14ac:dyDescent="0.6">
      <c r="B17" s="180"/>
      <c r="C17" s="282"/>
      <c r="D17" s="282"/>
      <c r="F17" s="182"/>
    </row>
    <row r="18" spans="1:6" x14ac:dyDescent="0.6">
      <c r="A18" s="177">
        <v>11</v>
      </c>
      <c r="B18" s="3" t="s">
        <v>251</v>
      </c>
      <c r="C18" s="283">
        <f>'Attachment 3'!C20+'Attachment 3'!C21</f>
        <v>6126973.0584807135</v>
      </c>
      <c r="D18" s="283">
        <f>C18</f>
        <v>6126973.0584807135</v>
      </c>
      <c r="F18" s="187"/>
    </row>
    <row r="19" spans="1:6" x14ac:dyDescent="0.6">
      <c r="A19" s="177">
        <v>12</v>
      </c>
      <c r="B19" s="180" t="s">
        <v>252</v>
      </c>
      <c r="C19" s="280">
        <f>+C14*C18</f>
        <v>1949491.4276984087</v>
      </c>
      <c r="D19" s="280">
        <f>+D14*D18</f>
        <v>2227990.2030838961</v>
      </c>
      <c r="F19" s="182" t="s">
        <v>239</v>
      </c>
    </row>
    <row r="20" spans="1:6" x14ac:dyDescent="0.6">
      <c r="B20" s="180"/>
      <c r="C20" s="282"/>
      <c r="D20" s="282"/>
      <c r="F20" s="182"/>
    </row>
    <row r="21" spans="1:6" ht="13.75" thickBot="1" x14ac:dyDescent="0.75">
      <c r="A21" s="177">
        <v>13</v>
      </c>
      <c r="B21" s="180" t="s">
        <v>240</v>
      </c>
      <c r="C21" s="284">
        <f>ROUND(+C16/C19,2)</f>
        <v>-4.1100000000000003</v>
      </c>
      <c r="D21" s="284">
        <f>ROUND(+D16/D19,2)</f>
        <v>-1.46</v>
      </c>
      <c r="F21" s="188" t="s">
        <v>241</v>
      </c>
    </row>
    <row r="22" spans="1:6" ht="13.75" thickTop="1" x14ac:dyDescent="0.6">
      <c r="B22" s="180"/>
      <c r="C22" s="282"/>
      <c r="D22" s="282"/>
      <c r="F22" s="182"/>
    </row>
    <row r="23" spans="1:6" x14ac:dyDescent="0.6">
      <c r="B23" s="180"/>
      <c r="C23" s="282"/>
      <c r="D23" s="282"/>
      <c r="F23" s="182"/>
    </row>
    <row r="24" spans="1:6" x14ac:dyDescent="0.6">
      <c r="B24" s="180"/>
      <c r="C24" s="282"/>
      <c r="D24" s="282"/>
      <c r="F24" s="182"/>
    </row>
    <row r="25" spans="1:6" x14ac:dyDescent="0.6">
      <c r="B25" s="183"/>
    </row>
    <row r="26" spans="1:6" x14ac:dyDescent="0.6">
      <c r="B26" s="183"/>
      <c r="C26" s="283"/>
      <c r="D26" s="283"/>
      <c r="F26" s="187"/>
    </row>
    <row r="27" spans="1:6" x14ac:dyDescent="0.6">
      <c r="B27" s="183"/>
    </row>
    <row r="28" spans="1:6" x14ac:dyDescent="0.6">
      <c r="B28" s="180"/>
      <c r="C28" s="276"/>
      <c r="D28" s="276"/>
      <c r="F28" s="182"/>
    </row>
  </sheetData>
  <pageMargins left="0.7" right="0.7" top="1" bottom="0.75" header="0.3" footer="0.3"/>
  <pageSetup scale="64" fitToHeight="0" orientation="landscape" r:id="rId1"/>
  <headerFooter>
    <oddHeader>&amp;L&amp;"Arial,Bold"Atlantic City Electric
&amp;"Arial,Regular"Development of BGS Rates
June 2024 - May 2025&amp;RAttachment 4
Page 1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8276-055F-4CE4-9884-3A5B0B2D0363}">
  <sheetPr>
    <pageSetUpPr fitToPage="1"/>
  </sheetPr>
  <dimension ref="A1:H28"/>
  <sheetViews>
    <sheetView zoomScale="115" zoomScaleNormal="115" zoomScaleSheetLayoutView="100" workbookViewId="0"/>
  </sheetViews>
  <sheetFormatPr defaultColWidth="9.1328125" defaultRowHeight="13" x14ac:dyDescent="0.6"/>
  <cols>
    <col min="1" max="1" width="3.26953125" style="177" bestFit="1" customWidth="1"/>
    <col min="2" max="2" width="81.1328125" style="177" customWidth="1"/>
    <col min="3" max="3" width="22.54296875" style="274" customWidth="1"/>
    <col min="4" max="4" width="22.54296875" style="177" customWidth="1"/>
    <col min="5" max="8" width="9.1328125" style="177"/>
    <col min="9" max="9" width="12.40625" style="177" customWidth="1"/>
    <col min="10" max="16384" width="9.1328125" style="177"/>
  </cols>
  <sheetData>
    <row r="1" spans="1:8" ht="15.5" x14ac:dyDescent="0.7">
      <c r="B1" s="178" t="s">
        <v>227</v>
      </c>
    </row>
    <row r="2" spans="1:8" ht="71.25" customHeight="1" x14ac:dyDescent="0.6">
      <c r="B2" s="285" t="s">
        <v>310</v>
      </c>
      <c r="C2" s="273" t="s">
        <v>283</v>
      </c>
      <c r="D2" s="273" t="s">
        <v>299</v>
      </c>
    </row>
    <row r="3" spans="1:8" ht="26" x14ac:dyDescent="0.6">
      <c r="C3" s="275" t="s">
        <v>285</v>
      </c>
      <c r="D3" s="275" t="str">
        <f>C3</f>
        <v>2025/26
Delivery Year</v>
      </c>
      <c r="E3" s="179" t="s">
        <v>144</v>
      </c>
    </row>
    <row r="4" spans="1:8" x14ac:dyDescent="0.6">
      <c r="A4" s="177">
        <v>1</v>
      </c>
      <c r="B4" s="180" t="s">
        <v>275</v>
      </c>
      <c r="C4" s="294">
        <v>50</v>
      </c>
      <c r="D4" s="294">
        <v>50</v>
      </c>
      <c r="E4" s="269" t="s">
        <v>274</v>
      </c>
    </row>
    <row r="5" spans="1:8" x14ac:dyDescent="0.6">
      <c r="A5" s="177">
        <v>2</v>
      </c>
      <c r="B5" s="180" t="s">
        <v>228</v>
      </c>
      <c r="C5" s="277">
        <v>44.63</v>
      </c>
      <c r="D5" s="295">
        <v>47.46</v>
      </c>
      <c r="E5" s="182" t="s">
        <v>300</v>
      </c>
      <c r="F5" s="182"/>
      <c r="G5" s="182"/>
      <c r="H5" s="182"/>
    </row>
    <row r="6" spans="1:8" x14ac:dyDescent="0.6">
      <c r="C6" s="275"/>
      <c r="D6" s="275"/>
      <c r="E6" s="179"/>
    </row>
    <row r="7" spans="1:8" x14ac:dyDescent="0.6">
      <c r="A7" s="177">
        <v>3</v>
      </c>
      <c r="B7" s="180" t="s">
        <v>229</v>
      </c>
      <c r="C7" s="278">
        <f>C4-C5</f>
        <v>5.3699999999999974</v>
      </c>
      <c r="D7" s="278">
        <f>D4-D5</f>
        <v>2.5399999999999991</v>
      </c>
      <c r="E7" s="182" t="s">
        <v>230</v>
      </c>
    </row>
    <row r="8" spans="1:8" x14ac:dyDescent="0.6">
      <c r="A8" s="177">
        <v>4</v>
      </c>
      <c r="B8" s="180" t="s">
        <v>231</v>
      </c>
      <c r="C8" s="279">
        <f>'Attachment 2'!K145</f>
        <v>2060.7450775057046</v>
      </c>
      <c r="D8" s="279">
        <f>C8</f>
        <v>2060.7450775057046</v>
      </c>
      <c r="E8" s="183"/>
    </row>
    <row r="9" spans="1:8" x14ac:dyDescent="0.6">
      <c r="A9" s="177">
        <v>5</v>
      </c>
      <c r="B9" s="180" t="s">
        <v>232</v>
      </c>
      <c r="C9" s="280">
        <v>365</v>
      </c>
      <c r="D9" s="280">
        <v>365</v>
      </c>
    </row>
    <row r="10" spans="1:8" x14ac:dyDescent="0.6">
      <c r="A10" s="177">
        <v>6</v>
      </c>
      <c r="B10" s="180" t="s">
        <v>242</v>
      </c>
      <c r="C10" s="281">
        <f>C7*C8*C9</f>
        <v>4039163.3891650545</v>
      </c>
      <c r="D10" s="281">
        <f>D7*D8*D9</f>
        <v>1910516.7613555379</v>
      </c>
      <c r="E10" s="182" t="s">
        <v>233</v>
      </c>
    </row>
    <row r="11" spans="1:8" x14ac:dyDescent="0.6">
      <c r="B11" s="180"/>
      <c r="C11" s="282"/>
      <c r="D11" s="282"/>
      <c r="E11" s="182"/>
    </row>
    <row r="12" spans="1:8" x14ac:dyDescent="0.6">
      <c r="A12" s="177">
        <v>7</v>
      </c>
      <c r="B12" s="253" t="s">
        <v>234</v>
      </c>
      <c r="C12" s="184">
        <v>8</v>
      </c>
      <c r="D12" s="184">
        <v>7</v>
      </c>
      <c r="E12" s="182" t="s">
        <v>235</v>
      </c>
    </row>
    <row r="13" spans="1:8" x14ac:dyDescent="0.6">
      <c r="A13" s="177">
        <v>8</v>
      </c>
      <c r="B13" s="180" t="s">
        <v>236</v>
      </c>
      <c r="C13" s="185">
        <f>'Attachment 3'!E13</f>
        <v>22</v>
      </c>
      <c r="D13" s="185">
        <v>22</v>
      </c>
      <c r="E13" s="182" t="s">
        <v>235</v>
      </c>
    </row>
    <row r="14" spans="1:8" x14ac:dyDescent="0.6">
      <c r="A14" s="177">
        <v>9</v>
      </c>
      <c r="B14" s="272" t="s">
        <v>253</v>
      </c>
      <c r="C14" s="186">
        <f>+C12/C13</f>
        <v>0.36363636363636365</v>
      </c>
      <c r="D14" s="186">
        <f>+D12/D13</f>
        <v>0.31818181818181818</v>
      </c>
      <c r="E14" s="182" t="s">
        <v>237</v>
      </c>
    </row>
    <row r="15" spans="1:8" x14ac:dyDescent="0.6">
      <c r="B15" s="180"/>
      <c r="C15" s="282"/>
      <c r="D15" s="282"/>
      <c r="E15" s="182"/>
    </row>
    <row r="16" spans="1:8" x14ac:dyDescent="0.6">
      <c r="A16" s="177">
        <v>10</v>
      </c>
      <c r="B16" s="180" t="s">
        <v>243</v>
      </c>
      <c r="C16" s="282">
        <f>C10*C14</f>
        <v>1468786.6869691107</v>
      </c>
      <c r="D16" s="282">
        <f>D10*D14</f>
        <v>607891.69679494388</v>
      </c>
      <c r="E16" s="182" t="s">
        <v>238</v>
      </c>
    </row>
    <row r="17" spans="1:5" x14ac:dyDescent="0.6">
      <c r="B17" s="180"/>
      <c r="C17" s="282"/>
      <c r="D17" s="282"/>
      <c r="E17" s="182"/>
    </row>
    <row r="18" spans="1:5" x14ac:dyDescent="0.6">
      <c r="A18" s="177">
        <v>11</v>
      </c>
      <c r="B18" s="3" t="s">
        <v>251</v>
      </c>
      <c r="C18" s="283">
        <f>'Attachment 3'!C20+'Attachment 3'!C21</f>
        <v>6126973.0584807135</v>
      </c>
      <c r="D18" s="283">
        <f>C18</f>
        <v>6126973.0584807135</v>
      </c>
      <c r="E18" s="187"/>
    </row>
    <row r="19" spans="1:5" x14ac:dyDescent="0.6">
      <c r="A19" s="177">
        <v>12</v>
      </c>
      <c r="B19" s="180" t="s">
        <v>252</v>
      </c>
      <c r="C19" s="280">
        <f>+C14*C18</f>
        <v>2227990.2030838961</v>
      </c>
      <c r="D19" s="280">
        <f>+D14*D18</f>
        <v>1949491.4276984087</v>
      </c>
      <c r="E19" s="182" t="s">
        <v>239</v>
      </c>
    </row>
    <row r="20" spans="1:5" x14ac:dyDescent="0.6">
      <c r="B20" s="180"/>
      <c r="C20" s="282"/>
      <c r="D20" s="282"/>
      <c r="E20" s="182"/>
    </row>
    <row r="21" spans="1:5" ht="13.75" thickBot="1" x14ac:dyDescent="0.75">
      <c r="A21" s="177">
        <v>13</v>
      </c>
      <c r="B21" s="180" t="s">
        <v>240</v>
      </c>
      <c r="C21" s="284">
        <f>ROUND(+C16/C19,2)</f>
        <v>0.66</v>
      </c>
      <c r="D21" s="284">
        <f>ROUND(+D16/D19,2)</f>
        <v>0.31</v>
      </c>
      <c r="E21" s="188" t="s">
        <v>241</v>
      </c>
    </row>
    <row r="22" spans="1:5" ht="13.75" thickTop="1" x14ac:dyDescent="0.6">
      <c r="B22" s="180"/>
      <c r="C22" s="282"/>
      <c r="E22" s="182"/>
    </row>
    <row r="23" spans="1:5" x14ac:dyDescent="0.6">
      <c r="A23" s="292" t="s">
        <v>284</v>
      </c>
      <c r="B23" s="291" t="s">
        <v>313</v>
      </c>
      <c r="C23" s="282"/>
      <c r="E23" s="182"/>
    </row>
    <row r="24" spans="1:5" x14ac:dyDescent="0.6">
      <c r="B24" s="180"/>
      <c r="C24" s="282"/>
      <c r="E24" s="182"/>
    </row>
    <row r="25" spans="1:5" x14ac:dyDescent="0.6">
      <c r="B25" s="183"/>
    </row>
    <row r="26" spans="1:5" x14ac:dyDescent="0.6">
      <c r="B26" s="183"/>
      <c r="C26" s="283"/>
      <c r="E26" s="187"/>
    </row>
    <row r="27" spans="1:5" x14ac:dyDescent="0.6">
      <c r="B27" s="183"/>
    </row>
    <row r="28" spans="1:5" x14ac:dyDescent="0.6">
      <c r="B28" s="180"/>
      <c r="C28" s="276"/>
      <c r="E28" s="182"/>
    </row>
  </sheetData>
  <pageMargins left="0.7" right="0.7" top="1" bottom="0.75" header="0.3" footer="0.3"/>
  <pageSetup scale="65" fitToHeight="0" orientation="landscape" r:id="rId1"/>
  <headerFooter>
    <oddHeader>&amp;L&amp;"Arial,Bold"Atlantic City Electric
&amp;"Arial,Regular"Development of BGS Rates
June 2024 - May 2025&amp;RAttachment 4
Page 2 of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AB3C-0921-4C31-8E52-FB97CCD69CCB}">
  <sheetPr>
    <pageSetUpPr fitToPage="1"/>
  </sheetPr>
  <dimension ref="A1:G28"/>
  <sheetViews>
    <sheetView zoomScale="115" zoomScaleNormal="115" zoomScaleSheetLayoutView="100" workbookViewId="0"/>
  </sheetViews>
  <sheetFormatPr defaultColWidth="9.1328125" defaultRowHeight="13" x14ac:dyDescent="0.6"/>
  <cols>
    <col min="1" max="1" width="3.26953125" style="177" bestFit="1" customWidth="1"/>
    <col min="2" max="2" width="81.1328125" style="177" customWidth="1"/>
    <col min="3" max="3" width="22.54296875" style="274" customWidth="1"/>
    <col min="4" max="7" width="9.1328125" style="177"/>
    <col min="8" max="8" width="12.40625" style="177" customWidth="1"/>
    <col min="9" max="16384" width="9.1328125" style="177"/>
  </cols>
  <sheetData>
    <row r="1" spans="1:7" ht="15.5" x14ac:dyDescent="0.7">
      <c r="B1" s="178" t="s">
        <v>227</v>
      </c>
    </row>
    <row r="2" spans="1:7" ht="71.25" customHeight="1" x14ac:dyDescent="0.6">
      <c r="B2" s="285" t="s">
        <v>311</v>
      </c>
      <c r="C2" s="273" t="s">
        <v>312</v>
      </c>
    </row>
    <row r="3" spans="1:7" ht="26" x14ac:dyDescent="0.6">
      <c r="C3" s="275" t="s">
        <v>301</v>
      </c>
      <c r="D3" s="179" t="s">
        <v>144</v>
      </c>
    </row>
    <row r="4" spans="1:7" x14ac:dyDescent="0.6">
      <c r="A4" s="177">
        <v>1</v>
      </c>
      <c r="B4" s="180" t="s">
        <v>275</v>
      </c>
      <c r="C4" s="294">
        <v>50</v>
      </c>
      <c r="D4" s="269" t="s">
        <v>274</v>
      </c>
    </row>
    <row r="5" spans="1:7" x14ac:dyDescent="0.6">
      <c r="A5" s="177">
        <v>2</v>
      </c>
      <c r="B5" s="180" t="s">
        <v>228</v>
      </c>
      <c r="C5" s="295">
        <v>49.05</v>
      </c>
      <c r="D5" s="182" t="s">
        <v>302</v>
      </c>
      <c r="E5" s="182"/>
      <c r="F5" s="182"/>
      <c r="G5" s="182"/>
    </row>
    <row r="6" spans="1:7" x14ac:dyDescent="0.6">
      <c r="C6" s="275"/>
      <c r="D6" s="179"/>
    </row>
    <row r="7" spans="1:7" x14ac:dyDescent="0.6">
      <c r="A7" s="177">
        <v>3</v>
      </c>
      <c r="B7" s="180" t="s">
        <v>229</v>
      </c>
      <c r="C7" s="278">
        <f>C4-C5</f>
        <v>0.95000000000000284</v>
      </c>
      <c r="D7" s="182" t="s">
        <v>230</v>
      </c>
    </row>
    <row r="8" spans="1:7" x14ac:dyDescent="0.6">
      <c r="A8" s="177">
        <v>4</v>
      </c>
      <c r="B8" s="180" t="s">
        <v>231</v>
      </c>
      <c r="C8" s="279">
        <f>'Attachment 2'!K145</f>
        <v>2060.7450775057046</v>
      </c>
      <c r="D8" s="183"/>
    </row>
    <row r="9" spans="1:7" x14ac:dyDescent="0.6">
      <c r="A9" s="177">
        <v>5</v>
      </c>
      <c r="B9" s="180" t="s">
        <v>232</v>
      </c>
      <c r="C9" s="280">
        <v>365</v>
      </c>
    </row>
    <row r="10" spans="1:7" x14ac:dyDescent="0.6">
      <c r="A10" s="177">
        <v>6</v>
      </c>
      <c r="B10" s="180" t="s">
        <v>242</v>
      </c>
      <c r="C10" s="281">
        <f>C7*C8*C9</f>
        <v>714563.35562510521</v>
      </c>
      <c r="D10" s="182" t="s">
        <v>233</v>
      </c>
    </row>
    <row r="11" spans="1:7" x14ac:dyDescent="0.6">
      <c r="B11" s="180"/>
      <c r="C11" s="282"/>
      <c r="D11" s="182"/>
    </row>
    <row r="12" spans="1:7" x14ac:dyDescent="0.6">
      <c r="A12" s="177">
        <v>7</v>
      </c>
      <c r="B12" s="253" t="s">
        <v>234</v>
      </c>
      <c r="C12" s="184">
        <v>7</v>
      </c>
      <c r="D12" s="182" t="s">
        <v>235</v>
      </c>
    </row>
    <row r="13" spans="1:7" x14ac:dyDescent="0.6">
      <c r="A13" s="177">
        <v>8</v>
      </c>
      <c r="B13" s="180" t="s">
        <v>236</v>
      </c>
      <c r="C13" s="185">
        <f>'Attachment 3'!E13</f>
        <v>22</v>
      </c>
      <c r="D13" s="182" t="s">
        <v>235</v>
      </c>
    </row>
    <row r="14" spans="1:7" x14ac:dyDescent="0.6">
      <c r="A14" s="177">
        <v>9</v>
      </c>
      <c r="B14" s="272" t="s">
        <v>253</v>
      </c>
      <c r="C14" s="186">
        <f>+C12/C13</f>
        <v>0.31818181818181818</v>
      </c>
      <c r="D14" s="182" t="s">
        <v>237</v>
      </c>
    </row>
    <row r="15" spans="1:7" x14ac:dyDescent="0.6">
      <c r="B15" s="180"/>
      <c r="C15" s="282"/>
      <c r="D15" s="182"/>
    </row>
    <row r="16" spans="1:7" x14ac:dyDescent="0.6">
      <c r="A16" s="177">
        <v>10</v>
      </c>
      <c r="B16" s="180" t="s">
        <v>243</v>
      </c>
      <c r="C16" s="282">
        <f>C10*C14</f>
        <v>227361.0676988971</v>
      </c>
      <c r="D16" s="182" t="s">
        <v>238</v>
      </c>
    </row>
    <row r="17" spans="1:5" x14ac:dyDescent="0.6">
      <c r="B17" s="180"/>
      <c r="C17" s="282"/>
      <c r="D17" s="182"/>
    </row>
    <row r="18" spans="1:5" x14ac:dyDescent="0.6">
      <c r="A18" s="177">
        <v>11</v>
      </c>
      <c r="B18" s="3" t="s">
        <v>251</v>
      </c>
      <c r="C18" s="283">
        <f>'Attachment 3'!C20+'Attachment 3'!C21</f>
        <v>6126973.0584807135</v>
      </c>
      <c r="D18" s="187"/>
    </row>
    <row r="19" spans="1:5" x14ac:dyDescent="0.6">
      <c r="A19" s="177">
        <v>12</v>
      </c>
      <c r="B19" s="180" t="s">
        <v>252</v>
      </c>
      <c r="C19" s="280">
        <f>+C14*C18</f>
        <v>1949491.4276984087</v>
      </c>
      <c r="D19" s="182" t="s">
        <v>239</v>
      </c>
    </row>
    <row r="20" spans="1:5" x14ac:dyDescent="0.6">
      <c r="B20" s="180"/>
      <c r="C20" s="282"/>
      <c r="D20" s="182"/>
    </row>
    <row r="21" spans="1:5" ht="13.75" thickBot="1" x14ac:dyDescent="0.75">
      <c r="A21" s="177">
        <v>13</v>
      </c>
      <c r="B21" s="180" t="s">
        <v>240</v>
      </c>
      <c r="C21" s="284">
        <f>ROUND(+C16/C19,2)</f>
        <v>0.12</v>
      </c>
      <c r="D21" s="188" t="s">
        <v>241</v>
      </c>
    </row>
    <row r="22" spans="1:5" ht="13.75" thickTop="1" x14ac:dyDescent="0.6">
      <c r="B22" s="180"/>
      <c r="C22" s="282"/>
      <c r="D22" s="182"/>
    </row>
    <row r="23" spans="1:5" x14ac:dyDescent="0.6">
      <c r="A23" s="292" t="s">
        <v>284</v>
      </c>
      <c r="B23" s="291" t="s">
        <v>314</v>
      </c>
      <c r="C23" s="282"/>
      <c r="E23" s="182"/>
    </row>
    <row r="24" spans="1:5" x14ac:dyDescent="0.6">
      <c r="B24" s="180"/>
      <c r="C24" s="282"/>
      <c r="D24" s="182"/>
    </row>
    <row r="25" spans="1:5" x14ac:dyDescent="0.6">
      <c r="B25" s="183"/>
    </row>
    <row r="26" spans="1:5" x14ac:dyDescent="0.6">
      <c r="B26" s="183"/>
      <c r="C26" s="283"/>
      <c r="D26" s="187"/>
    </row>
    <row r="27" spans="1:5" x14ac:dyDescent="0.6">
      <c r="B27" s="183"/>
    </row>
    <row r="28" spans="1:5" x14ac:dyDescent="0.6">
      <c r="B28" s="180"/>
      <c r="C28" s="276"/>
      <c r="D28" s="182"/>
    </row>
  </sheetData>
  <pageMargins left="0.7" right="0.7" top="1" bottom="0.75" header="0.3" footer="0.3"/>
  <pageSetup scale="74" fitToHeight="0" orientation="landscape" r:id="rId1"/>
  <headerFooter>
    <oddHeader>&amp;L&amp;"Arial,Bold"Atlantic City Electric
&amp;"Arial,Regular"Development of BGS Rates
June 2024 - May 2025&amp;RAttachment 4
Page 3 of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020A-6274-4521-9CCD-449979124982}">
  <sheetPr>
    <pageSetUpPr fitToPage="1"/>
  </sheetPr>
  <dimension ref="A1:M274"/>
  <sheetViews>
    <sheetView zoomScaleNormal="100" zoomScaleSheetLayoutView="80" workbookViewId="0"/>
  </sheetViews>
  <sheetFormatPr defaultColWidth="9.1328125" defaultRowHeight="13" outlineLevelRow="1" x14ac:dyDescent="0.6"/>
  <cols>
    <col min="1" max="1" width="12.26953125" style="187" bestFit="1" customWidth="1"/>
    <col min="2" max="2" width="46" style="187" customWidth="1"/>
    <col min="3" max="3" width="17.86328125" style="187" customWidth="1"/>
    <col min="4" max="4" width="13.7265625" style="187" customWidth="1"/>
    <col min="5" max="5" width="13.1328125" style="187" customWidth="1"/>
    <col min="6" max="7" width="12.1328125" style="187" customWidth="1"/>
    <col min="8" max="8" width="11.86328125" style="187" customWidth="1"/>
    <col min="9" max="9" width="11" style="187" customWidth="1"/>
    <col min="10" max="10" width="13.1328125" style="187" customWidth="1"/>
    <col min="11" max="11" width="12.54296875" style="187" customWidth="1"/>
    <col min="12" max="12" width="21" style="187" customWidth="1"/>
    <col min="13" max="13" width="14.26953125" style="187" bestFit="1" customWidth="1"/>
    <col min="14" max="14" width="24.1328125" style="187" bestFit="1" customWidth="1"/>
    <col min="15" max="16" width="10.86328125" style="187" bestFit="1" customWidth="1"/>
    <col min="17" max="17" width="14.40625" style="187" bestFit="1" customWidth="1"/>
    <col min="18" max="16384" width="9.1328125" style="187"/>
  </cols>
  <sheetData>
    <row r="1" spans="1:11" ht="20.5" x14ac:dyDescent="0.9">
      <c r="A1" s="189" t="s">
        <v>244</v>
      </c>
    </row>
    <row r="2" spans="1:11" ht="15.5" x14ac:dyDescent="0.7">
      <c r="A2" s="190" t="s">
        <v>286</v>
      </c>
    </row>
    <row r="3" spans="1:11" x14ac:dyDescent="0.6">
      <c r="A3" s="191" t="s">
        <v>254</v>
      </c>
    </row>
    <row r="5" spans="1:11" x14ac:dyDescent="0.6">
      <c r="A5" s="193" t="s">
        <v>194</v>
      </c>
      <c r="B5" s="180" t="s">
        <v>195</v>
      </c>
    </row>
    <row r="6" spans="1:11" ht="51" customHeight="1" x14ac:dyDescent="0.6">
      <c r="A6" s="194" t="s">
        <v>142</v>
      </c>
      <c r="B6" s="180" t="s">
        <v>245</v>
      </c>
      <c r="C6" s="179" t="s">
        <v>278</v>
      </c>
      <c r="D6" s="179" t="s">
        <v>287</v>
      </c>
      <c r="E6" s="179" t="s">
        <v>288</v>
      </c>
      <c r="G6" s="179" t="s">
        <v>144</v>
      </c>
    </row>
    <row r="8" spans="1:11" x14ac:dyDescent="0.6">
      <c r="A8" s="194">
        <v>1</v>
      </c>
      <c r="B8" s="180" t="s">
        <v>145</v>
      </c>
      <c r="C8" s="6">
        <f>'Attachment 3'!D8</f>
        <v>92.17</v>
      </c>
      <c r="D8" s="6">
        <f>C8</f>
        <v>92.17</v>
      </c>
      <c r="E8" s="6">
        <f>D8</f>
        <v>92.17</v>
      </c>
      <c r="G8" s="5" t="s">
        <v>146</v>
      </c>
    </row>
    <row r="9" spans="1:11" x14ac:dyDescent="0.6">
      <c r="A9" s="195" t="s">
        <v>266</v>
      </c>
      <c r="B9" s="180" t="s">
        <v>316</v>
      </c>
      <c r="C9" s="176">
        <f>'Attachment 4 Pg2'!C21</f>
        <v>0.66</v>
      </c>
      <c r="D9" s="176">
        <f>'Attachment 4 Pg2'!D21</f>
        <v>0.31</v>
      </c>
      <c r="E9" s="196"/>
      <c r="G9" s="129" t="s">
        <v>289</v>
      </c>
    </row>
    <row r="10" spans="1:11" x14ac:dyDescent="0.6">
      <c r="A10" s="194" t="s">
        <v>226</v>
      </c>
      <c r="B10" s="180" t="s">
        <v>246</v>
      </c>
      <c r="C10" s="197">
        <f>C8+C9</f>
        <v>92.83</v>
      </c>
      <c r="D10" s="197">
        <f t="shared" ref="D10:E10" si="0">D8+D9</f>
        <v>92.48</v>
      </c>
      <c r="E10" s="197">
        <f t="shared" si="0"/>
        <v>92.17</v>
      </c>
      <c r="G10" s="164" t="s">
        <v>267</v>
      </c>
    </row>
    <row r="11" spans="1:11" x14ac:dyDescent="0.6">
      <c r="A11" s="194"/>
      <c r="B11" s="180"/>
      <c r="C11" s="197"/>
      <c r="D11" s="197"/>
      <c r="E11" s="197"/>
      <c r="G11" s="198"/>
    </row>
    <row r="12" spans="1:11" x14ac:dyDescent="0.6">
      <c r="A12" s="194">
        <v>2</v>
      </c>
      <c r="B12" s="253" t="s">
        <v>247</v>
      </c>
      <c r="C12" s="199">
        <v>8</v>
      </c>
      <c r="D12" s="199">
        <v>7</v>
      </c>
      <c r="E12" s="199">
        <v>7</v>
      </c>
      <c r="G12" s="5" t="s">
        <v>147</v>
      </c>
    </row>
    <row r="13" spans="1:11" x14ac:dyDescent="0.6">
      <c r="A13" s="194">
        <v>3</v>
      </c>
      <c r="B13" s="180" t="s">
        <v>248</v>
      </c>
      <c r="C13" s="199">
        <v>22</v>
      </c>
      <c r="D13" s="199">
        <v>22</v>
      </c>
      <c r="E13" s="199">
        <v>22</v>
      </c>
      <c r="G13" s="5" t="s">
        <v>147</v>
      </c>
    </row>
    <row r="14" spans="1:11" x14ac:dyDescent="0.6">
      <c r="A14" s="194"/>
      <c r="B14" s="180"/>
      <c r="C14" s="199"/>
      <c r="D14" s="199"/>
      <c r="E14" s="199"/>
      <c r="G14" s="5"/>
    </row>
    <row r="15" spans="1:11" x14ac:dyDescent="0.6">
      <c r="A15" s="194"/>
      <c r="B15" s="180" t="s">
        <v>148</v>
      </c>
    </row>
    <row r="16" spans="1:11" x14ac:dyDescent="0.6">
      <c r="A16" s="194">
        <v>4</v>
      </c>
      <c r="B16" s="200" t="s">
        <v>149</v>
      </c>
      <c r="C16" s="78">
        <f>'Attachment 3'!C16</f>
        <v>1</v>
      </c>
      <c r="D16" s="78">
        <f>'Attachment 3'!D16</f>
        <v>1</v>
      </c>
      <c r="E16" s="133">
        <f>'Attachment 3'!E16</f>
        <v>1</v>
      </c>
      <c r="G16" s="5" t="s">
        <v>150</v>
      </c>
      <c r="K16" s="201"/>
    </row>
    <row r="17" spans="1:12" x14ac:dyDescent="0.6">
      <c r="A17" s="194">
        <v>5</v>
      </c>
      <c r="B17" s="200" t="s">
        <v>151</v>
      </c>
      <c r="C17" s="78">
        <f>'Attachment 3'!C17</f>
        <v>1</v>
      </c>
      <c r="D17" s="78">
        <f>'Attachment 3'!D17</f>
        <v>1</v>
      </c>
      <c r="E17" s="133">
        <f>'Attachment 3'!E17</f>
        <v>1</v>
      </c>
      <c r="G17" s="5" t="s">
        <v>150</v>
      </c>
      <c r="K17" s="201"/>
    </row>
    <row r="18" spans="1:12" x14ac:dyDescent="0.6">
      <c r="A18" s="194"/>
    </row>
    <row r="19" spans="1:12" x14ac:dyDescent="0.6">
      <c r="A19" s="194"/>
      <c r="B19" s="3" t="s">
        <v>152</v>
      </c>
    </row>
    <row r="20" spans="1:12" x14ac:dyDescent="0.6">
      <c r="A20" s="194">
        <v>6</v>
      </c>
      <c r="B20" s="187" t="s">
        <v>153</v>
      </c>
      <c r="C20" s="202">
        <f>'Attachment 3'!C20</f>
        <v>2558050.782650935</v>
      </c>
      <c r="D20" s="203"/>
      <c r="E20" s="203"/>
      <c r="G20" s="5" t="s">
        <v>154</v>
      </c>
    </row>
    <row r="21" spans="1:12" x14ac:dyDescent="0.6">
      <c r="A21" s="194">
        <v>7</v>
      </c>
      <c r="B21" s="187" t="s">
        <v>155</v>
      </c>
      <c r="C21" s="202">
        <f>'Attachment 3'!C21</f>
        <v>3568922.275829779</v>
      </c>
      <c r="D21" s="203"/>
      <c r="E21" s="203"/>
    </row>
    <row r="22" spans="1:12" x14ac:dyDescent="0.6">
      <c r="A22" s="194"/>
    </row>
    <row r="23" spans="1:12" x14ac:dyDescent="0.6">
      <c r="A23" s="194"/>
      <c r="B23" s="180" t="s">
        <v>249</v>
      </c>
    </row>
    <row r="24" spans="1:12" x14ac:dyDescent="0.6">
      <c r="A24" s="194">
        <v>8</v>
      </c>
      <c r="B24" s="200" t="s">
        <v>149</v>
      </c>
      <c r="C24" s="258">
        <f>((+C$8+C$9)*C$12/C$13*C16*$C20/1000)</f>
        <v>86350.492419449569</v>
      </c>
      <c r="D24" s="258">
        <f t="shared" ref="D24:E25" si="1">((+D$8+D$9)*D$12/D$13*D16*$C20/1000)</f>
        <v>75271.807029859512</v>
      </c>
      <c r="E24" s="258">
        <f t="shared" si="1"/>
        <v>75019.490202661676</v>
      </c>
      <c r="F24" s="204"/>
      <c r="G24" s="287" t="s">
        <v>281</v>
      </c>
      <c r="J24" s="205"/>
      <c r="L24" s="205"/>
    </row>
    <row r="25" spans="1:12" ht="15.25" x14ac:dyDescent="1.05">
      <c r="A25" s="194">
        <v>9</v>
      </c>
      <c r="B25" s="200" t="s">
        <v>151</v>
      </c>
      <c r="C25" s="206">
        <f>((+C$8+C$9)*C$12/C$13*C17*$C21/1000)</f>
        <v>120473.8381328285</v>
      </c>
      <c r="D25" s="206">
        <f t="shared" si="1"/>
        <v>105017.16020368935</v>
      </c>
      <c r="E25" s="206">
        <f t="shared" si="1"/>
        <v>104665.13468830068</v>
      </c>
      <c r="F25" s="204"/>
      <c r="G25" s="287" t="s">
        <v>282</v>
      </c>
    </row>
    <row r="26" spans="1:12" x14ac:dyDescent="0.6">
      <c r="A26" s="194">
        <v>10</v>
      </c>
      <c r="B26" s="187" t="s">
        <v>157</v>
      </c>
      <c r="C26" s="205">
        <f>+C25+C24</f>
        <v>206824.33055227809</v>
      </c>
      <c r="D26" s="205">
        <f>+D25+D24</f>
        <v>180288.96723354887</v>
      </c>
      <c r="E26" s="205">
        <f>+E25+E24</f>
        <v>179684.62489096235</v>
      </c>
      <c r="J26" s="205"/>
      <c r="L26" s="205"/>
    </row>
    <row r="27" spans="1:12" x14ac:dyDescent="0.6">
      <c r="A27" s="194"/>
    </row>
    <row r="28" spans="1:12" x14ac:dyDescent="0.6">
      <c r="A28" s="194"/>
      <c r="B28" s="180" t="s">
        <v>250</v>
      </c>
    </row>
    <row r="29" spans="1:12" x14ac:dyDescent="0.6">
      <c r="A29" s="194">
        <v>11</v>
      </c>
      <c r="B29" s="200" t="s">
        <v>149</v>
      </c>
      <c r="C29" s="249">
        <f>ROUND(+SUM(C24:E24)/C20*1000,3)</f>
        <v>92.509</v>
      </c>
      <c r="D29" s="207"/>
      <c r="G29" s="164" t="s">
        <v>219</v>
      </c>
    </row>
    <row r="30" spans="1:12" x14ac:dyDescent="0.6">
      <c r="A30" s="194">
        <v>12</v>
      </c>
      <c r="B30" s="200" t="s">
        <v>151</v>
      </c>
      <c r="C30" s="250">
        <f>ROUND(+SUM(C25:E25)/C21*1000,3)</f>
        <v>92.509</v>
      </c>
      <c r="G30" s="164" t="s">
        <v>220</v>
      </c>
    </row>
    <row r="31" spans="1:12" x14ac:dyDescent="0.6">
      <c r="A31" s="194"/>
      <c r="B31" s="200"/>
      <c r="C31" s="209"/>
      <c r="G31" s="208"/>
    </row>
    <row r="32" spans="1:12" x14ac:dyDescent="0.6">
      <c r="A32" s="194">
        <v>13</v>
      </c>
      <c r="B32" s="187" t="s">
        <v>159</v>
      </c>
      <c r="C32" s="251">
        <f>ROUND(+SUM(C26:E26)/(C20+C21)*1000,3)</f>
        <v>92.509</v>
      </c>
      <c r="D32" s="187" t="s">
        <v>160</v>
      </c>
      <c r="G32" s="164" t="s">
        <v>221</v>
      </c>
    </row>
    <row r="33" spans="1:13" x14ac:dyDescent="0.6">
      <c r="D33" s="187" t="s">
        <v>161</v>
      </c>
      <c r="G33" s="5" t="s">
        <v>162</v>
      </c>
    </row>
    <row r="35" spans="1:13" x14ac:dyDescent="0.6">
      <c r="A35" s="292" t="s">
        <v>284</v>
      </c>
      <c r="B35" s="291" t="s">
        <v>313</v>
      </c>
      <c r="C35" s="282"/>
      <c r="D35" s="177"/>
      <c r="E35" s="182"/>
    </row>
    <row r="36" spans="1:13" x14ac:dyDescent="0.6">
      <c r="A36" s="194"/>
      <c r="B36" s="211"/>
      <c r="C36" s="205"/>
      <c r="D36" s="207"/>
      <c r="G36" s="208"/>
    </row>
    <row r="37" spans="1:13" ht="15.25" x14ac:dyDescent="1.05">
      <c r="A37" s="194"/>
      <c r="B37" s="211"/>
      <c r="C37" s="212"/>
      <c r="D37" s="207"/>
      <c r="G37" s="208"/>
    </row>
    <row r="38" spans="1:13" x14ac:dyDescent="0.6">
      <c r="A38" s="194"/>
      <c r="B38" s="211"/>
      <c r="C38" s="213"/>
      <c r="D38" s="207"/>
      <c r="G38" s="208"/>
    </row>
    <row r="39" spans="1:13" x14ac:dyDescent="0.6">
      <c r="B39" s="211"/>
      <c r="D39" s="207"/>
    </row>
    <row r="41" spans="1:13" x14ac:dyDescent="0.6">
      <c r="A41" s="214"/>
      <c r="B41" s="180"/>
      <c r="G41" s="192"/>
    </row>
    <row r="42" spans="1:13" x14ac:dyDescent="0.6">
      <c r="A42" s="214"/>
      <c r="B42" s="180"/>
      <c r="G42" s="192"/>
    </row>
    <row r="43" spans="1:13" x14ac:dyDescent="0.6">
      <c r="B43" s="180"/>
    </row>
    <row r="44" spans="1:13" x14ac:dyDescent="0.6">
      <c r="B44" s="192"/>
    </row>
    <row r="45" spans="1:13" x14ac:dyDescent="0.6">
      <c r="B45" s="180"/>
    </row>
    <row r="46" spans="1:13" x14ac:dyDescent="0.6">
      <c r="C46" s="215"/>
      <c r="D46" s="215"/>
      <c r="E46" s="215"/>
      <c r="F46" s="215"/>
      <c r="G46" s="215"/>
      <c r="H46" s="215"/>
      <c r="I46" s="215"/>
      <c r="J46" s="215"/>
    </row>
    <row r="47" spans="1:13" x14ac:dyDescent="0.6">
      <c r="C47" s="215"/>
      <c r="D47" s="215"/>
      <c r="E47" s="215"/>
      <c r="F47" s="215"/>
      <c r="G47" s="215"/>
    </row>
    <row r="48" spans="1:13" x14ac:dyDescent="0.6">
      <c r="B48" s="216"/>
      <c r="E48" s="217"/>
      <c r="F48" s="29"/>
      <c r="G48" s="29"/>
      <c r="H48" s="29"/>
      <c r="I48" s="217"/>
      <c r="J48" s="217"/>
      <c r="K48" s="218"/>
      <c r="L48" s="218"/>
      <c r="M48" s="218"/>
    </row>
    <row r="49" spans="2:13" x14ac:dyDescent="0.6">
      <c r="B49" s="219"/>
      <c r="C49" s="24"/>
      <c r="D49" s="220"/>
      <c r="E49" s="29"/>
      <c r="F49" s="217"/>
      <c r="G49" s="217"/>
      <c r="H49" s="217"/>
      <c r="I49" s="183"/>
      <c r="J49" s="221"/>
      <c r="K49" s="218"/>
      <c r="L49" s="218"/>
      <c r="M49" s="218"/>
    </row>
    <row r="50" spans="2:13" x14ac:dyDescent="0.6">
      <c r="B50" s="219"/>
      <c r="C50" s="24"/>
      <c r="D50" s="220"/>
      <c r="E50" s="29"/>
      <c r="F50" s="217"/>
      <c r="G50" s="217"/>
      <c r="H50" s="222"/>
      <c r="I50" s="183"/>
      <c r="J50" s="221"/>
      <c r="K50" s="223"/>
      <c r="L50" s="218"/>
      <c r="M50" s="218"/>
    </row>
    <row r="51" spans="2:13" x14ac:dyDescent="0.6">
      <c r="E51" s="24"/>
      <c r="F51" s="220"/>
      <c r="G51" s="220"/>
      <c r="L51" s="218"/>
      <c r="M51" s="218"/>
    </row>
    <row r="52" spans="2:13" x14ac:dyDescent="0.6">
      <c r="B52" s="224"/>
      <c r="C52" s="29"/>
      <c r="D52" s="29"/>
      <c r="E52" s="24"/>
      <c r="F52" s="220"/>
      <c r="G52" s="220"/>
      <c r="H52" s="220"/>
      <c r="I52" s="220"/>
      <c r="J52" s="220"/>
      <c r="K52" s="218"/>
      <c r="L52" s="218"/>
      <c r="M52" s="218"/>
    </row>
    <row r="53" spans="2:13" x14ac:dyDescent="0.6">
      <c r="B53" s="224"/>
      <c r="C53" s="225"/>
      <c r="D53" s="225"/>
      <c r="E53" s="226"/>
      <c r="F53" s="220"/>
      <c r="G53" s="220"/>
      <c r="H53" s="220"/>
      <c r="I53" s="220"/>
      <c r="J53" s="220"/>
      <c r="K53" s="218"/>
      <c r="L53" s="218"/>
      <c r="M53" s="218"/>
    </row>
    <row r="54" spans="2:13" x14ac:dyDescent="0.6">
      <c r="B54" s="224"/>
      <c r="C54" s="225"/>
      <c r="D54" s="225"/>
      <c r="E54" s="226"/>
      <c r="F54" s="220"/>
      <c r="G54" s="220"/>
      <c r="H54" s="220"/>
      <c r="I54" s="220"/>
      <c r="J54" s="220"/>
      <c r="K54" s="218"/>
      <c r="L54" s="218"/>
      <c r="M54" s="218"/>
    </row>
    <row r="55" spans="2:13" x14ac:dyDescent="0.6">
      <c r="G55" s="220"/>
      <c r="H55" s="220"/>
      <c r="I55" s="220"/>
      <c r="J55" s="220"/>
      <c r="K55" s="218"/>
      <c r="L55" s="218"/>
      <c r="M55" s="218"/>
    </row>
    <row r="56" spans="2:13" x14ac:dyDescent="0.6">
      <c r="H56" s="220"/>
      <c r="I56" s="220"/>
      <c r="J56" s="220"/>
      <c r="K56" s="218"/>
      <c r="L56" s="218"/>
      <c r="M56" s="218"/>
    </row>
    <row r="57" spans="2:13" x14ac:dyDescent="0.6">
      <c r="C57" s="220"/>
      <c r="D57" s="220"/>
      <c r="E57" s="220"/>
      <c r="F57" s="220"/>
      <c r="G57" s="220"/>
      <c r="H57" s="220"/>
      <c r="I57" s="220"/>
      <c r="J57" s="220"/>
      <c r="K57" s="218"/>
      <c r="L57" s="218"/>
      <c r="M57" s="218"/>
    </row>
    <row r="58" spans="2:13" x14ac:dyDescent="0.6">
      <c r="B58" s="216"/>
      <c r="C58" s="29"/>
      <c r="D58" s="29"/>
      <c r="E58" s="217"/>
      <c r="F58" s="29"/>
      <c r="G58" s="29"/>
      <c r="H58" s="29"/>
      <c r="I58" s="217"/>
      <c r="J58" s="217"/>
      <c r="K58" s="218"/>
      <c r="L58" s="218"/>
      <c r="M58" s="218"/>
    </row>
    <row r="59" spans="2:13" x14ac:dyDescent="0.6">
      <c r="B59" s="219"/>
      <c r="C59" s="220"/>
      <c r="D59" s="220"/>
      <c r="E59" s="29"/>
      <c r="F59" s="220"/>
      <c r="G59" s="220"/>
      <c r="H59" s="220"/>
      <c r="J59" s="221"/>
      <c r="K59" s="218"/>
      <c r="L59" s="218"/>
      <c r="M59" s="218"/>
    </row>
    <row r="60" spans="2:13" x14ac:dyDescent="0.6">
      <c r="B60" s="219"/>
      <c r="C60" s="220"/>
      <c r="D60" s="220"/>
      <c r="E60" s="29"/>
      <c r="F60" s="220"/>
      <c r="G60" s="220"/>
      <c r="J60" s="221"/>
      <c r="K60" s="223"/>
      <c r="L60" s="218"/>
      <c r="M60" s="218"/>
    </row>
    <row r="61" spans="2:13" x14ac:dyDescent="0.6">
      <c r="C61" s="227"/>
      <c r="D61" s="227"/>
      <c r="E61" s="227"/>
      <c r="F61" s="227"/>
      <c r="G61" s="227"/>
      <c r="K61" s="218"/>
      <c r="L61" s="218"/>
      <c r="M61" s="218"/>
    </row>
    <row r="62" spans="2:13" x14ac:dyDescent="0.6">
      <c r="C62" s="228"/>
      <c r="D62" s="228"/>
      <c r="E62" s="228"/>
      <c r="F62" s="228"/>
      <c r="G62" s="228"/>
      <c r="H62" s="228"/>
      <c r="I62" s="228"/>
      <c r="J62" s="228"/>
      <c r="K62" s="218"/>
      <c r="L62" s="218"/>
      <c r="M62" s="218"/>
    </row>
    <row r="65" spans="2:11" x14ac:dyDescent="0.6">
      <c r="B65" s="180"/>
    </row>
    <row r="66" spans="2:11" x14ac:dyDescent="0.6">
      <c r="B66" s="192"/>
    </row>
    <row r="67" spans="2:11" x14ac:dyDescent="0.6">
      <c r="B67" s="183"/>
    </row>
    <row r="68" spans="2:11" x14ac:dyDescent="0.6">
      <c r="C68" s="215"/>
      <c r="D68" s="215"/>
      <c r="E68" s="215"/>
      <c r="F68" s="215"/>
      <c r="H68" s="180"/>
      <c r="I68" s="215"/>
      <c r="J68" s="215"/>
    </row>
    <row r="69" spans="2:11" x14ac:dyDescent="0.6">
      <c r="C69" s="215"/>
      <c r="D69" s="229"/>
      <c r="E69" s="215"/>
      <c r="F69" s="229"/>
    </row>
    <row r="70" spans="2:11" x14ac:dyDescent="0.6">
      <c r="B70" s="216"/>
      <c r="C70" s="29"/>
      <c r="D70" s="223"/>
      <c r="E70" s="222"/>
      <c r="F70" s="222"/>
      <c r="H70" s="230"/>
    </row>
    <row r="71" spans="2:11" x14ac:dyDescent="0.6">
      <c r="B71" s="219"/>
      <c r="C71" s="217"/>
      <c r="D71" s="223"/>
      <c r="E71" s="29"/>
      <c r="F71" s="223"/>
      <c r="H71" s="211"/>
      <c r="I71" s="231"/>
      <c r="J71" s="231"/>
      <c r="K71" s="208"/>
    </row>
    <row r="72" spans="2:11" x14ac:dyDescent="0.6">
      <c r="B72" s="219"/>
      <c r="C72" s="217"/>
      <c r="D72" s="223"/>
      <c r="E72" s="29"/>
      <c r="F72" s="223"/>
      <c r="H72" s="211"/>
      <c r="I72" s="231"/>
      <c r="J72" s="231"/>
      <c r="K72" s="208"/>
    </row>
    <row r="73" spans="2:11" x14ac:dyDescent="0.6">
      <c r="C73" s="217"/>
      <c r="D73" s="223"/>
      <c r="E73" s="217"/>
      <c r="F73" s="223"/>
      <c r="H73" s="211"/>
      <c r="I73" s="231"/>
      <c r="J73" s="231"/>
      <c r="K73" s="208"/>
    </row>
    <row r="74" spans="2:11" x14ac:dyDescent="0.6">
      <c r="B74" s="216"/>
      <c r="C74" s="29"/>
      <c r="D74" s="223"/>
      <c r="E74" s="29"/>
      <c r="F74" s="223"/>
      <c r="H74" s="230"/>
      <c r="I74" s="207"/>
      <c r="J74" s="207"/>
    </row>
    <row r="75" spans="2:11" x14ac:dyDescent="0.6">
      <c r="B75" s="219"/>
      <c r="C75" s="217"/>
      <c r="D75" s="222"/>
      <c r="E75" s="29"/>
      <c r="F75" s="223"/>
      <c r="H75" s="211"/>
      <c r="I75" s="231"/>
      <c r="J75" s="231"/>
      <c r="K75" s="208"/>
    </row>
    <row r="76" spans="2:11" x14ac:dyDescent="0.6">
      <c r="B76" s="219"/>
      <c r="C76" s="217"/>
      <c r="D76" s="222"/>
      <c r="E76" s="29"/>
      <c r="F76" s="223"/>
    </row>
    <row r="77" spans="2:11" x14ac:dyDescent="0.6">
      <c r="C77" s="228"/>
      <c r="D77" s="222"/>
      <c r="E77" s="228"/>
      <c r="F77" s="222"/>
    </row>
    <row r="78" spans="2:11" x14ac:dyDescent="0.6">
      <c r="C78" s="228"/>
      <c r="D78" s="222"/>
      <c r="E78" s="228"/>
      <c r="F78" s="222"/>
    </row>
    <row r="79" spans="2:11" x14ac:dyDescent="0.6">
      <c r="C79" s="228"/>
      <c r="D79" s="222"/>
      <c r="E79" s="228"/>
      <c r="F79" s="222"/>
    </row>
    <row r="80" spans="2:11" x14ac:dyDescent="0.6">
      <c r="C80" s="218"/>
      <c r="E80" s="218"/>
    </row>
    <row r="81" spans="1:13" x14ac:dyDescent="0.6">
      <c r="A81" s="232"/>
      <c r="B81" s="210"/>
      <c r="C81" s="218"/>
      <c r="E81" s="218"/>
    </row>
    <row r="82" spans="1:13" x14ac:dyDescent="0.6">
      <c r="A82" s="232"/>
      <c r="B82" s="192"/>
    </row>
    <row r="84" spans="1:13" x14ac:dyDescent="0.6">
      <c r="B84" s="180"/>
    </row>
    <row r="85" spans="1:13" x14ac:dyDescent="0.6">
      <c r="B85" s="192"/>
    </row>
    <row r="86" spans="1:13" x14ac:dyDescent="0.6">
      <c r="B86" s="180"/>
    </row>
    <row r="87" spans="1:13" x14ac:dyDescent="0.6">
      <c r="C87" s="215"/>
      <c r="D87" s="215"/>
      <c r="E87" s="215"/>
      <c r="F87" s="215"/>
      <c r="G87" s="215"/>
      <c r="H87" s="215"/>
      <c r="I87" s="215"/>
      <c r="J87" s="215"/>
    </row>
    <row r="88" spans="1:13" x14ac:dyDescent="0.6">
      <c r="C88" s="232"/>
      <c r="D88" s="232"/>
      <c r="E88" s="232"/>
      <c r="F88" s="233"/>
      <c r="G88" s="233"/>
      <c r="H88" s="233"/>
      <c r="I88" s="233"/>
      <c r="J88" s="233"/>
    </row>
    <row r="89" spans="1:13" x14ac:dyDescent="0.6">
      <c r="B89" s="216"/>
      <c r="C89" s="232"/>
      <c r="D89" s="232"/>
      <c r="E89" s="232"/>
      <c r="F89" s="233"/>
      <c r="G89" s="233"/>
      <c r="H89" s="233"/>
      <c r="I89" s="233"/>
      <c r="J89" s="233"/>
      <c r="L89" s="218"/>
      <c r="M89" s="218"/>
    </row>
    <row r="90" spans="1:13" x14ac:dyDescent="0.6">
      <c r="B90" s="219"/>
      <c r="C90" s="232"/>
      <c r="D90" s="232"/>
      <c r="E90" s="233"/>
      <c r="F90" s="232"/>
      <c r="G90" s="233"/>
      <c r="H90" s="233"/>
      <c r="I90" s="233"/>
      <c r="J90" s="232"/>
      <c r="L90" s="218"/>
      <c r="M90" s="218"/>
    </row>
    <row r="91" spans="1:13" x14ac:dyDescent="0.6">
      <c r="B91" s="219"/>
      <c r="C91" s="232"/>
      <c r="D91" s="232"/>
      <c r="E91" s="233"/>
      <c r="F91" s="232"/>
      <c r="G91" s="232"/>
      <c r="H91" s="232"/>
      <c r="I91" s="232"/>
      <c r="J91" s="232"/>
      <c r="L91" s="218"/>
      <c r="M91" s="218"/>
    </row>
    <row r="92" spans="1:13" x14ac:dyDescent="0.6">
      <c r="B92" s="224"/>
      <c r="C92" s="232"/>
      <c r="D92" s="232"/>
      <c r="E92" s="232"/>
      <c r="F92" s="232"/>
      <c r="G92" s="232"/>
      <c r="H92" s="232"/>
      <c r="I92" s="232"/>
      <c r="J92" s="232"/>
      <c r="L92" s="218"/>
      <c r="M92" s="218"/>
    </row>
    <row r="93" spans="1:13" x14ac:dyDescent="0.6">
      <c r="B93" s="226"/>
      <c r="C93" s="233"/>
      <c r="D93" s="233"/>
      <c r="E93" s="232"/>
      <c r="F93" s="232"/>
      <c r="G93" s="232"/>
      <c r="H93" s="232"/>
      <c r="I93" s="232"/>
      <c r="J93" s="232"/>
      <c r="L93" s="218"/>
      <c r="M93" s="218"/>
    </row>
    <row r="94" spans="1:13" x14ac:dyDescent="0.6">
      <c r="B94" s="226"/>
      <c r="C94" s="233"/>
      <c r="D94" s="233"/>
      <c r="E94" s="232"/>
      <c r="F94" s="232"/>
      <c r="G94" s="232"/>
      <c r="H94" s="232"/>
      <c r="I94" s="232"/>
      <c r="J94" s="232"/>
      <c r="L94" s="218"/>
      <c r="M94" s="218"/>
    </row>
    <row r="95" spans="1:13" x14ac:dyDescent="0.6">
      <c r="C95" s="233"/>
      <c r="D95" s="233"/>
      <c r="E95" s="232"/>
      <c r="F95" s="232"/>
      <c r="G95" s="232"/>
      <c r="H95" s="232"/>
      <c r="I95" s="232"/>
      <c r="J95" s="232"/>
      <c r="L95" s="218"/>
      <c r="M95" s="218"/>
    </row>
    <row r="96" spans="1:13" x14ac:dyDescent="0.6">
      <c r="B96" s="216"/>
      <c r="C96" s="233"/>
      <c r="D96" s="233"/>
      <c r="E96" s="232"/>
      <c r="F96" s="233"/>
      <c r="G96" s="233"/>
      <c r="H96" s="233"/>
      <c r="I96" s="233"/>
      <c r="J96" s="233"/>
      <c r="L96" s="218"/>
      <c r="M96" s="218"/>
    </row>
    <row r="97" spans="2:13" x14ac:dyDescent="0.6">
      <c r="B97" s="219"/>
      <c r="C97" s="232"/>
      <c r="D97" s="232"/>
      <c r="E97" s="233"/>
      <c r="F97" s="232"/>
      <c r="G97" s="232"/>
      <c r="H97" s="232"/>
      <c r="I97" s="232"/>
      <c r="J97" s="232"/>
      <c r="L97" s="218"/>
      <c r="M97" s="218"/>
    </row>
    <row r="98" spans="2:13" x14ac:dyDescent="0.6">
      <c r="B98" s="219"/>
      <c r="C98" s="232"/>
      <c r="D98" s="232"/>
      <c r="E98" s="233"/>
      <c r="F98" s="232"/>
      <c r="G98" s="232"/>
      <c r="H98" s="232"/>
      <c r="I98" s="232"/>
      <c r="J98" s="232"/>
      <c r="L98" s="218"/>
      <c r="M98" s="218"/>
    </row>
    <row r="99" spans="2:13" x14ac:dyDescent="0.6">
      <c r="C99" s="232"/>
      <c r="D99" s="232"/>
      <c r="E99" s="233"/>
      <c r="F99" s="232"/>
      <c r="G99" s="232"/>
      <c r="H99" s="232"/>
      <c r="I99" s="232"/>
      <c r="J99" s="232"/>
      <c r="L99" s="218"/>
      <c r="M99" s="218"/>
    </row>
    <row r="102" spans="2:13" x14ac:dyDescent="0.6">
      <c r="B102" s="180"/>
    </row>
    <row r="103" spans="2:13" x14ac:dyDescent="0.6">
      <c r="B103" s="192"/>
    </row>
    <row r="104" spans="2:13" x14ac:dyDescent="0.6">
      <c r="B104" s="183"/>
    </row>
    <row r="105" spans="2:13" x14ac:dyDescent="0.6">
      <c r="C105" s="215"/>
      <c r="D105" s="215"/>
      <c r="E105" s="215"/>
      <c r="F105" s="215"/>
      <c r="H105" s="180"/>
      <c r="I105" s="215"/>
      <c r="J105" s="215"/>
    </row>
    <row r="106" spans="2:13" x14ac:dyDescent="0.6">
      <c r="F106" s="229"/>
    </row>
    <row r="107" spans="2:13" x14ac:dyDescent="0.6">
      <c r="B107" s="216"/>
      <c r="C107" s="233"/>
      <c r="D107" s="233"/>
      <c r="E107" s="233"/>
      <c r="F107" s="222"/>
      <c r="H107" s="230"/>
    </row>
    <row r="108" spans="2:13" x14ac:dyDescent="0.6">
      <c r="B108" s="219"/>
      <c r="C108" s="233"/>
      <c r="D108" s="233"/>
      <c r="E108" s="233"/>
      <c r="F108" s="223"/>
      <c r="H108" s="211"/>
      <c r="I108" s="234"/>
      <c r="J108" s="234"/>
      <c r="K108" s="208"/>
    </row>
    <row r="109" spans="2:13" x14ac:dyDescent="0.6">
      <c r="B109" s="219"/>
      <c r="C109" s="233"/>
      <c r="D109" s="233"/>
      <c r="E109" s="233"/>
      <c r="F109" s="223"/>
      <c r="H109" s="211"/>
      <c r="I109" s="234"/>
      <c r="J109" s="234"/>
      <c r="K109" s="208"/>
    </row>
    <row r="110" spans="2:13" x14ac:dyDescent="0.6">
      <c r="C110" s="233"/>
      <c r="D110" s="233"/>
      <c r="E110" s="233"/>
      <c r="F110" s="223"/>
      <c r="H110" s="211"/>
      <c r="I110" s="231"/>
      <c r="J110" s="231"/>
      <c r="K110" s="208"/>
    </row>
    <row r="111" spans="2:13" x14ac:dyDescent="0.6">
      <c r="B111" s="216"/>
      <c r="C111" s="233"/>
      <c r="D111" s="233"/>
      <c r="E111" s="233"/>
      <c r="F111" s="223"/>
      <c r="H111" s="230"/>
      <c r="I111" s="207"/>
      <c r="J111" s="207"/>
    </row>
    <row r="112" spans="2:13" x14ac:dyDescent="0.6">
      <c r="B112" s="219"/>
      <c r="C112" s="233"/>
      <c r="D112" s="233"/>
      <c r="E112" s="233"/>
      <c r="F112" s="223"/>
      <c r="H112" s="211"/>
      <c r="I112" s="234"/>
      <c r="J112" s="234"/>
      <c r="K112" s="208"/>
    </row>
    <row r="113" spans="1:12" x14ac:dyDescent="0.6">
      <c r="B113" s="219"/>
      <c r="C113" s="233"/>
      <c r="D113" s="233"/>
      <c r="E113" s="233"/>
      <c r="F113" s="223"/>
    </row>
    <row r="114" spans="1:12" x14ac:dyDescent="0.6">
      <c r="C114" s="228"/>
      <c r="D114" s="222"/>
      <c r="E114" s="228"/>
      <c r="F114" s="222"/>
    </row>
    <row r="115" spans="1:12" x14ac:dyDescent="0.6">
      <c r="C115" s="228"/>
      <c r="D115" s="222"/>
      <c r="E115" s="228"/>
      <c r="F115" s="222"/>
    </row>
    <row r="117" spans="1:12" x14ac:dyDescent="0.6">
      <c r="A117" s="232"/>
      <c r="B117" s="180"/>
      <c r="C117" s="218"/>
      <c r="E117" s="218"/>
    </row>
    <row r="118" spans="1:12" x14ac:dyDescent="0.6">
      <c r="C118" s="218"/>
      <c r="E118" s="218"/>
    </row>
    <row r="119" spans="1:12" x14ac:dyDescent="0.6">
      <c r="C119" s="215"/>
      <c r="D119" s="215"/>
      <c r="E119" s="215"/>
      <c r="F119" s="215"/>
      <c r="G119" s="215"/>
      <c r="H119" s="215"/>
      <c r="I119" s="215"/>
      <c r="J119" s="215"/>
    </row>
    <row r="121" spans="1:12" x14ac:dyDescent="0.6">
      <c r="B121" s="194"/>
      <c r="C121" s="213"/>
      <c r="D121" s="213"/>
      <c r="E121" s="235"/>
      <c r="F121" s="213"/>
      <c r="G121" s="213"/>
      <c r="H121" s="213"/>
      <c r="I121" s="213"/>
      <c r="J121" s="213"/>
    </row>
    <row r="122" spans="1:12" ht="15.25" x14ac:dyDescent="1.05">
      <c r="B122" s="194"/>
      <c r="C122" s="236"/>
      <c r="D122" s="236"/>
      <c r="E122" s="236"/>
      <c r="F122" s="236"/>
      <c r="G122" s="236"/>
      <c r="H122" s="236"/>
      <c r="I122" s="236"/>
      <c r="J122" s="236"/>
    </row>
    <row r="123" spans="1:12" x14ac:dyDescent="0.6">
      <c r="B123" s="194"/>
      <c r="C123" s="205"/>
      <c r="D123" s="205"/>
      <c r="E123" s="205"/>
      <c r="F123" s="205"/>
      <c r="G123" s="205"/>
      <c r="H123" s="205"/>
      <c r="I123" s="205"/>
      <c r="J123" s="205"/>
    </row>
    <row r="124" spans="1:12" x14ac:dyDescent="0.6">
      <c r="B124" s="194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</row>
    <row r="125" spans="1:12" x14ac:dyDescent="0.6">
      <c r="B125" s="194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</row>
    <row r="126" spans="1:12" x14ac:dyDescent="0.6">
      <c r="B126" s="194"/>
      <c r="C126" s="215"/>
      <c r="D126" s="215"/>
      <c r="F126" s="215"/>
      <c r="G126" s="215"/>
      <c r="H126" s="205"/>
      <c r="I126" s="205"/>
      <c r="J126" s="205"/>
      <c r="K126" s="205"/>
      <c r="L126" s="205"/>
    </row>
    <row r="127" spans="1:12" x14ac:dyDescent="0.6">
      <c r="B127" s="194"/>
      <c r="C127" s="215"/>
      <c r="D127" s="215"/>
      <c r="F127" s="215"/>
      <c r="G127" s="215"/>
      <c r="H127" s="205"/>
      <c r="I127" s="205"/>
      <c r="J127" s="205"/>
      <c r="K127" s="205"/>
      <c r="L127" s="205"/>
    </row>
    <row r="128" spans="1:12" x14ac:dyDescent="0.6">
      <c r="B128" s="194"/>
      <c r="G128" s="205"/>
      <c r="H128" s="205"/>
      <c r="I128" s="205"/>
      <c r="J128" s="205"/>
      <c r="K128" s="205"/>
      <c r="L128" s="205"/>
    </row>
    <row r="129" spans="2:12" x14ac:dyDescent="0.6">
      <c r="B129" s="194"/>
      <c r="C129" s="235"/>
      <c r="D129" s="235"/>
      <c r="F129" s="235"/>
      <c r="G129" s="235"/>
      <c r="H129" s="205"/>
      <c r="I129" s="205"/>
      <c r="J129" s="205"/>
      <c r="K129" s="205"/>
      <c r="L129" s="205"/>
    </row>
    <row r="130" spans="2:12" ht="15.25" x14ac:dyDescent="1.05">
      <c r="B130" s="194"/>
      <c r="C130" s="237"/>
      <c r="D130" s="237"/>
      <c r="F130" s="237"/>
      <c r="G130" s="237"/>
      <c r="H130" s="205"/>
      <c r="I130" s="205"/>
      <c r="J130" s="205"/>
      <c r="K130" s="205"/>
      <c r="L130" s="205"/>
    </row>
    <row r="131" spans="2:12" x14ac:dyDescent="0.6">
      <c r="B131" s="194"/>
      <c r="C131" s="205"/>
      <c r="D131" s="205"/>
      <c r="F131" s="205"/>
      <c r="G131" s="205"/>
      <c r="H131" s="205"/>
      <c r="I131" s="205"/>
      <c r="J131" s="205"/>
      <c r="K131" s="205"/>
      <c r="L131" s="205"/>
    </row>
    <row r="132" spans="2:12" x14ac:dyDescent="0.6">
      <c r="B132" s="194"/>
      <c r="C132" s="205"/>
      <c r="F132" s="205"/>
      <c r="G132" s="205"/>
      <c r="H132" s="205"/>
      <c r="I132" s="205"/>
      <c r="J132" s="205"/>
      <c r="K132" s="205"/>
      <c r="L132" s="205"/>
    </row>
    <row r="133" spans="2:12" x14ac:dyDescent="0.6">
      <c r="B133" s="194"/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</row>
    <row r="134" spans="2:12" x14ac:dyDescent="0.6">
      <c r="B134" s="194"/>
      <c r="C134" s="215"/>
      <c r="D134" s="215"/>
      <c r="E134" s="215"/>
      <c r="F134" s="205"/>
      <c r="G134" s="205"/>
      <c r="H134" s="205"/>
      <c r="I134" s="205"/>
      <c r="J134" s="205"/>
      <c r="K134" s="205"/>
      <c r="L134" s="205"/>
    </row>
    <row r="135" spans="2:12" x14ac:dyDescent="0.6">
      <c r="B135" s="194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</row>
    <row r="136" spans="2:12" ht="15.25" x14ac:dyDescent="1.05">
      <c r="B136" s="194"/>
      <c r="C136" s="212"/>
      <c r="D136" s="212"/>
      <c r="E136" s="212"/>
    </row>
    <row r="137" spans="2:12" x14ac:dyDescent="0.6">
      <c r="B137" s="194"/>
      <c r="C137" s="205"/>
      <c r="D137" s="205"/>
      <c r="E137" s="238"/>
    </row>
    <row r="138" spans="2:12" x14ac:dyDescent="0.6">
      <c r="B138" s="194"/>
      <c r="C138" s="218"/>
      <c r="E138" s="218"/>
    </row>
    <row r="139" spans="2:12" x14ac:dyDescent="0.6"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</row>
    <row r="141" spans="2:12" x14ac:dyDescent="0.6">
      <c r="B141" s="194"/>
      <c r="C141" s="205"/>
    </row>
    <row r="142" spans="2:12" ht="15.25" x14ac:dyDescent="1.05">
      <c r="B142" s="194"/>
      <c r="C142" s="212"/>
    </row>
    <row r="143" spans="2:12" x14ac:dyDescent="0.6">
      <c r="B143" s="194"/>
      <c r="C143" s="205"/>
    </row>
    <row r="144" spans="2:12" x14ac:dyDescent="0.6">
      <c r="C144" s="218"/>
    </row>
    <row r="145" spans="1:10" x14ac:dyDescent="0.6">
      <c r="B145" s="239"/>
      <c r="C145" s="195"/>
    </row>
    <row r="146" spans="1:10" x14ac:dyDescent="0.6">
      <c r="B146" s="194"/>
      <c r="C146" s="205"/>
    </row>
    <row r="147" spans="1:10" ht="15.25" x14ac:dyDescent="1.05">
      <c r="B147" s="194"/>
      <c r="C147" s="212"/>
    </row>
    <row r="148" spans="1:10" x14ac:dyDescent="0.6">
      <c r="B148" s="194"/>
      <c r="C148" s="205"/>
    </row>
    <row r="151" spans="1:10" x14ac:dyDescent="0.6">
      <c r="D151" s="240"/>
      <c r="E151" s="240"/>
      <c r="F151" s="240"/>
      <c r="G151" s="240"/>
      <c r="H151" s="240"/>
      <c r="I151" s="240"/>
    </row>
    <row r="152" spans="1:10" x14ac:dyDescent="0.6">
      <c r="D152" s="240"/>
      <c r="E152" s="240"/>
      <c r="F152" s="240"/>
      <c r="G152" s="240"/>
      <c r="H152" s="240"/>
      <c r="I152" s="240"/>
    </row>
    <row r="153" spans="1:10" x14ac:dyDescent="0.6">
      <c r="A153" s="232"/>
      <c r="B153" s="210"/>
      <c r="C153" s="218"/>
      <c r="E153" s="218"/>
    </row>
    <row r="154" spans="1:10" x14ac:dyDescent="0.6">
      <c r="B154" s="192"/>
    </row>
    <row r="156" spans="1:10" x14ac:dyDescent="0.6">
      <c r="B156" s="180"/>
    </row>
    <row r="157" spans="1:10" x14ac:dyDescent="0.6">
      <c r="B157" s="192"/>
    </row>
    <row r="158" spans="1:10" x14ac:dyDescent="0.6">
      <c r="B158" s="180"/>
    </row>
    <row r="159" spans="1:10" x14ac:dyDescent="0.6">
      <c r="C159" s="215"/>
      <c r="D159" s="215"/>
      <c r="E159" s="215"/>
      <c r="F159" s="215"/>
      <c r="G159" s="215"/>
      <c r="H159" s="215"/>
      <c r="I159" s="215"/>
      <c r="J159" s="215"/>
    </row>
    <row r="160" spans="1:10" x14ac:dyDescent="0.6">
      <c r="C160" s="232"/>
      <c r="D160" s="232"/>
      <c r="E160" s="232"/>
      <c r="F160" s="233"/>
      <c r="G160" s="233"/>
      <c r="H160" s="233"/>
      <c r="I160" s="233"/>
      <c r="J160" s="233"/>
    </row>
    <row r="161" spans="2:10" x14ac:dyDescent="0.6">
      <c r="B161" s="216"/>
      <c r="C161" s="232"/>
      <c r="D161" s="232"/>
      <c r="E161" s="232"/>
      <c r="F161" s="233"/>
      <c r="G161" s="233"/>
      <c r="H161" s="233"/>
      <c r="I161" s="233"/>
      <c r="J161" s="233"/>
    </row>
    <row r="162" spans="2:10" x14ac:dyDescent="0.6">
      <c r="B162" s="219"/>
      <c r="C162" s="232"/>
      <c r="D162" s="232"/>
      <c r="E162" s="233"/>
      <c r="G162" s="233"/>
      <c r="H162" s="233"/>
      <c r="I162" s="233"/>
      <c r="J162" s="232"/>
    </row>
    <row r="163" spans="2:10" x14ac:dyDescent="0.6">
      <c r="B163" s="219"/>
      <c r="C163" s="232"/>
      <c r="D163" s="232"/>
      <c r="E163" s="233"/>
      <c r="F163" s="232"/>
      <c r="G163" s="232"/>
      <c r="H163" s="232"/>
      <c r="I163" s="232"/>
      <c r="J163" s="232"/>
    </row>
    <row r="164" spans="2:10" x14ac:dyDescent="0.6">
      <c r="B164" s="224"/>
      <c r="C164" s="232"/>
      <c r="D164" s="232"/>
      <c r="E164" s="232"/>
      <c r="F164" s="232"/>
      <c r="G164" s="232"/>
      <c r="H164" s="232"/>
      <c r="I164" s="232"/>
      <c r="J164" s="232"/>
    </row>
    <row r="165" spans="2:10" x14ac:dyDescent="0.6">
      <c r="B165" s="226"/>
      <c r="C165" s="233"/>
      <c r="D165" s="233"/>
      <c r="E165" s="232"/>
      <c r="F165" s="232"/>
      <c r="G165" s="232"/>
      <c r="H165" s="232"/>
      <c r="I165" s="232"/>
      <c r="J165" s="232"/>
    </row>
    <row r="166" spans="2:10" x14ac:dyDescent="0.6">
      <c r="B166" s="226"/>
      <c r="C166" s="233"/>
      <c r="D166" s="233"/>
      <c r="E166" s="232"/>
      <c r="F166" s="232"/>
      <c r="G166" s="232"/>
      <c r="H166" s="232"/>
      <c r="I166" s="232"/>
      <c r="J166" s="232"/>
    </row>
    <row r="167" spans="2:10" x14ac:dyDescent="0.6">
      <c r="C167" s="233"/>
      <c r="D167" s="233"/>
      <c r="E167" s="232"/>
      <c r="F167" s="232"/>
      <c r="G167" s="232"/>
      <c r="H167" s="232"/>
      <c r="I167" s="232"/>
      <c r="J167" s="232"/>
    </row>
    <row r="168" spans="2:10" x14ac:dyDescent="0.6">
      <c r="B168" s="216"/>
      <c r="C168" s="233"/>
      <c r="D168" s="233"/>
      <c r="E168" s="232"/>
      <c r="F168" s="233"/>
      <c r="G168" s="233"/>
      <c r="H168" s="233"/>
      <c r="I168" s="233"/>
      <c r="J168" s="233"/>
    </row>
    <row r="169" spans="2:10" x14ac:dyDescent="0.6">
      <c r="B169" s="219"/>
      <c r="C169" s="232"/>
      <c r="D169" s="232"/>
      <c r="E169" s="233"/>
      <c r="F169" s="232"/>
      <c r="G169" s="232"/>
      <c r="H169" s="232"/>
      <c r="I169" s="232"/>
      <c r="J169" s="232"/>
    </row>
    <row r="170" spans="2:10" x14ac:dyDescent="0.6">
      <c r="B170" s="219"/>
      <c r="C170" s="232"/>
      <c r="D170" s="232"/>
      <c r="E170" s="233"/>
      <c r="F170" s="232"/>
      <c r="G170" s="232"/>
      <c r="H170" s="232"/>
      <c r="I170" s="232"/>
      <c r="J170" s="232"/>
    </row>
    <row r="171" spans="2:10" x14ac:dyDescent="0.6">
      <c r="C171" s="232"/>
      <c r="D171" s="232"/>
      <c r="E171" s="233"/>
      <c r="F171" s="232"/>
      <c r="G171" s="232"/>
      <c r="H171" s="232"/>
      <c r="I171" s="232"/>
      <c r="J171" s="232"/>
    </row>
    <row r="174" spans="2:10" x14ac:dyDescent="0.6">
      <c r="B174" s="180"/>
    </row>
    <row r="175" spans="2:10" x14ac:dyDescent="0.6">
      <c r="B175" s="192"/>
    </row>
    <row r="176" spans="2:10" x14ac:dyDescent="0.6">
      <c r="B176" s="183"/>
    </row>
    <row r="177" spans="1:12" x14ac:dyDescent="0.6">
      <c r="C177" s="215"/>
      <c r="D177" s="215"/>
      <c r="E177" s="215"/>
      <c r="F177" s="215"/>
      <c r="H177" s="180"/>
      <c r="I177" s="215"/>
      <c r="J177" s="215"/>
    </row>
    <row r="178" spans="1:12" x14ac:dyDescent="0.6">
      <c r="F178" s="229"/>
    </row>
    <row r="179" spans="1:12" x14ac:dyDescent="0.6">
      <c r="B179" s="216"/>
      <c r="C179" s="233"/>
      <c r="D179" s="233"/>
      <c r="E179" s="233"/>
      <c r="F179" s="222"/>
      <c r="H179" s="230"/>
    </row>
    <row r="180" spans="1:12" x14ac:dyDescent="0.6">
      <c r="B180" s="219"/>
      <c r="C180" s="233"/>
      <c r="D180" s="233"/>
      <c r="E180" s="233"/>
      <c r="F180" s="223"/>
      <c r="H180" s="211"/>
      <c r="I180" s="241"/>
      <c r="J180" s="241"/>
    </row>
    <row r="181" spans="1:12" x14ac:dyDescent="0.6">
      <c r="B181" s="219"/>
      <c r="C181" s="233"/>
      <c r="D181" s="233"/>
      <c r="E181" s="233"/>
      <c r="F181" s="223"/>
      <c r="H181" s="211"/>
      <c r="I181" s="241"/>
      <c r="J181" s="241"/>
    </row>
    <row r="182" spans="1:12" x14ac:dyDescent="0.6">
      <c r="C182" s="233"/>
      <c r="D182" s="233"/>
      <c r="E182" s="233"/>
      <c r="F182" s="223"/>
      <c r="H182" s="211"/>
      <c r="I182" s="231"/>
      <c r="J182" s="231"/>
    </row>
    <row r="183" spans="1:12" x14ac:dyDescent="0.6">
      <c r="B183" s="216"/>
      <c r="C183" s="233"/>
      <c r="D183" s="233"/>
      <c r="E183" s="233"/>
      <c r="F183" s="223"/>
      <c r="H183" s="230"/>
      <c r="I183" s="207"/>
      <c r="J183" s="207"/>
    </row>
    <row r="184" spans="1:12" x14ac:dyDescent="0.6">
      <c r="B184" s="219"/>
      <c r="C184" s="233"/>
      <c r="D184" s="233"/>
      <c r="E184" s="233"/>
      <c r="F184" s="223"/>
      <c r="H184" s="211"/>
      <c r="I184" s="241"/>
      <c r="J184" s="241"/>
    </row>
    <row r="185" spans="1:12" x14ac:dyDescent="0.6">
      <c r="B185" s="219"/>
      <c r="C185" s="233"/>
      <c r="D185" s="233"/>
      <c r="E185" s="233"/>
      <c r="F185" s="223"/>
    </row>
    <row r="189" spans="1:12" x14ac:dyDescent="0.6">
      <c r="A189" s="232"/>
      <c r="B189" s="180"/>
      <c r="C189" s="218"/>
      <c r="E189" s="218"/>
    </row>
    <row r="190" spans="1:12" x14ac:dyDescent="0.6">
      <c r="C190" s="218"/>
      <c r="E190" s="218"/>
    </row>
    <row r="191" spans="1:12" x14ac:dyDescent="0.6"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</row>
    <row r="193" spans="2:12" x14ac:dyDescent="0.6">
      <c r="B193" s="194"/>
      <c r="C193" s="213"/>
      <c r="D193" s="213"/>
      <c r="E193" s="235"/>
      <c r="F193" s="213"/>
      <c r="G193" s="213"/>
      <c r="H193" s="213"/>
      <c r="I193" s="213"/>
      <c r="J193" s="213"/>
      <c r="K193" s="235"/>
      <c r="L193" s="235"/>
    </row>
    <row r="194" spans="2:12" ht="15.25" x14ac:dyDescent="1.05">
      <c r="B194" s="194"/>
      <c r="C194" s="236"/>
      <c r="D194" s="236"/>
      <c r="E194" s="236"/>
      <c r="F194" s="236"/>
      <c r="G194" s="236"/>
      <c r="H194" s="236"/>
      <c r="I194" s="236"/>
      <c r="J194" s="236"/>
      <c r="K194" s="237"/>
      <c r="L194" s="237"/>
    </row>
    <row r="195" spans="2:12" x14ac:dyDescent="0.6">
      <c r="B195" s="194"/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</row>
    <row r="196" spans="2:12" x14ac:dyDescent="0.6">
      <c r="B196" s="194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</row>
    <row r="197" spans="2:12" x14ac:dyDescent="0.6">
      <c r="B197" s="194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</row>
    <row r="198" spans="2:12" ht="15.25" x14ac:dyDescent="1.05">
      <c r="B198" s="194"/>
      <c r="C198" s="212"/>
      <c r="E198" s="218"/>
    </row>
    <row r="199" spans="2:12" x14ac:dyDescent="0.6">
      <c r="B199" s="194"/>
      <c r="C199" s="205"/>
      <c r="E199" s="218"/>
    </row>
    <row r="200" spans="2:12" x14ac:dyDescent="0.6">
      <c r="B200" s="194"/>
      <c r="C200" s="218"/>
      <c r="E200" s="218"/>
    </row>
    <row r="201" spans="2:12" x14ac:dyDescent="0.6"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</row>
    <row r="203" spans="2:12" x14ac:dyDescent="0.6">
      <c r="B203" s="194"/>
      <c r="C203" s="205"/>
    </row>
    <row r="204" spans="2:12" ht="15.25" x14ac:dyDescent="1.05">
      <c r="B204" s="194"/>
      <c r="C204" s="212"/>
    </row>
    <row r="205" spans="2:12" x14ac:dyDescent="0.6">
      <c r="B205" s="194"/>
      <c r="C205" s="205"/>
      <c r="D205" s="205"/>
      <c r="G205" s="194"/>
    </row>
    <row r="206" spans="2:12" x14ac:dyDescent="0.6">
      <c r="C206" s="218"/>
      <c r="E206" s="218"/>
      <c r="G206" s="194"/>
    </row>
    <row r="207" spans="2:12" x14ac:dyDescent="0.6">
      <c r="B207" s="239"/>
      <c r="C207" s="205"/>
      <c r="E207" s="242"/>
      <c r="G207" s="242"/>
    </row>
    <row r="208" spans="2:12" x14ac:dyDescent="0.6">
      <c r="B208" s="194"/>
      <c r="C208" s="205"/>
      <c r="E208" s="154"/>
    </row>
    <row r="209" spans="1:10" ht="15.25" x14ac:dyDescent="1.05">
      <c r="B209" s="194"/>
      <c r="C209" s="212"/>
      <c r="E209" s="243"/>
    </row>
    <row r="210" spans="1:10" x14ac:dyDescent="0.6">
      <c r="B210" s="194"/>
      <c r="C210" s="205"/>
      <c r="E210" s="154"/>
    </row>
    <row r="212" spans="1:10" x14ac:dyDescent="0.6">
      <c r="C212" s="244"/>
    </row>
    <row r="213" spans="1:10" outlineLevel="1" x14ac:dyDescent="0.6">
      <c r="A213" s="180"/>
    </row>
    <row r="214" spans="1:10" outlineLevel="1" x14ac:dyDescent="0.6">
      <c r="A214" s="232"/>
      <c r="B214" s="210"/>
      <c r="C214" s="218"/>
      <c r="E214" s="218"/>
    </row>
    <row r="215" spans="1:10" outlineLevel="1" x14ac:dyDescent="0.6">
      <c r="B215" s="192"/>
    </row>
    <row r="216" spans="1:10" outlineLevel="1" x14ac:dyDescent="0.6">
      <c r="A216" s="232"/>
    </row>
    <row r="217" spans="1:10" outlineLevel="1" x14ac:dyDescent="0.6">
      <c r="B217" s="180"/>
    </row>
    <row r="218" spans="1:10" outlineLevel="1" x14ac:dyDescent="0.6">
      <c r="B218" s="192"/>
    </row>
    <row r="219" spans="1:10" outlineLevel="1" x14ac:dyDescent="0.6">
      <c r="B219" s="180"/>
    </row>
    <row r="220" spans="1:10" outlineLevel="1" x14ac:dyDescent="0.6">
      <c r="C220" s="215"/>
      <c r="D220" s="215"/>
      <c r="E220" s="215"/>
      <c r="F220" s="215"/>
      <c r="G220" s="215"/>
      <c r="H220" s="215"/>
      <c r="I220" s="215"/>
      <c r="J220" s="215"/>
    </row>
    <row r="221" spans="1:10" outlineLevel="1" x14ac:dyDescent="0.6">
      <c r="C221" s="232"/>
      <c r="D221" s="232"/>
      <c r="E221" s="232"/>
      <c r="F221" s="233"/>
      <c r="G221" s="233"/>
      <c r="H221" s="233"/>
      <c r="I221" s="233"/>
      <c r="J221" s="233"/>
    </row>
    <row r="222" spans="1:10" outlineLevel="1" x14ac:dyDescent="0.6">
      <c r="B222" s="216"/>
      <c r="C222" s="232"/>
      <c r="D222" s="232"/>
      <c r="E222" s="232"/>
      <c r="F222" s="233"/>
      <c r="G222" s="233"/>
      <c r="H222" s="233"/>
      <c r="I222" s="233"/>
      <c r="J222" s="233"/>
    </row>
    <row r="223" spans="1:10" outlineLevel="1" x14ac:dyDescent="0.6">
      <c r="B223" s="219"/>
      <c r="C223" s="232"/>
      <c r="D223" s="232"/>
      <c r="E223" s="233"/>
    </row>
    <row r="224" spans="1:10" outlineLevel="1" x14ac:dyDescent="0.6">
      <c r="B224" s="219"/>
      <c r="C224" s="232"/>
      <c r="D224" s="232"/>
      <c r="E224" s="233"/>
      <c r="F224" s="232"/>
      <c r="G224" s="232"/>
      <c r="H224" s="232"/>
      <c r="I224" s="232"/>
      <c r="J224" s="232"/>
    </row>
    <row r="225" spans="2:10" outlineLevel="1" x14ac:dyDescent="0.6">
      <c r="B225" s="224"/>
      <c r="C225" s="232"/>
      <c r="D225" s="232"/>
      <c r="E225" s="232"/>
      <c r="F225" s="232"/>
      <c r="G225" s="232"/>
      <c r="H225" s="232"/>
      <c r="I225" s="232"/>
      <c r="J225" s="232"/>
    </row>
    <row r="226" spans="2:10" outlineLevel="1" x14ac:dyDescent="0.6">
      <c r="B226" s="226"/>
      <c r="C226" s="233"/>
      <c r="D226" s="233"/>
      <c r="E226" s="232"/>
      <c r="F226" s="232"/>
      <c r="G226" s="232"/>
      <c r="H226" s="232"/>
      <c r="I226" s="232"/>
      <c r="J226" s="232"/>
    </row>
    <row r="227" spans="2:10" outlineLevel="1" x14ac:dyDescent="0.6">
      <c r="B227" s="226"/>
      <c r="C227" s="233"/>
      <c r="D227" s="233"/>
      <c r="E227" s="232"/>
      <c r="F227" s="232"/>
      <c r="G227" s="232"/>
      <c r="H227" s="232"/>
      <c r="I227" s="232"/>
      <c r="J227" s="232"/>
    </row>
    <row r="228" spans="2:10" outlineLevel="1" x14ac:dyDescent="0.6">
      <c r="C228" s="233"/>
      <c r="D228" s="233"/>
      <c r="E228" s="232"/>
      <c r="F228" s="232"/>
      <c r="G228" s="232"/>
      <c r="H228" s="232"/>
      <c r="I228" s="232"/>
      <c r="J228" s="232"/>
    </row>
    <row r="229" spans="2:10" outlineLevel="1" x14ac:dyDescent="0.6">
      <c r="B229" s="216"/>
      <c r="C229" s="233"/>
      <c r="D229" s="233"/>
      <c r="E229" s="232"/>
      <c r="F229" s="233"/>
      <c r="G229" s="233"/>
      <c r="H229" s="233"/>
      <c r="I229" s="233"/>
      <c r="J229" s="233"/>
    </row>
    <row r="230" spans="2:10" outlineLevel="1" x14ac:dyDescent="0.6">
      <c r="B230" s="219"/>
      <c r="C230" s="232"/>
      <c r="D230" s="232"/>
      <c r="E230" s="233"/>
      <c r="F230" s="232"/>
      <c r="G230" s="232"/>
      <c r="H230" s="232"/>
      <c r="I230" s="232"/>
      <c r="J230" s="232"/>
    </row>
    <row r="231" spans="2:10" outlineLevel="1" x14ac:dyDescent="0.6">
      <c r="B231" s="219"/>
      <c r="C231" s="232"/>
      <c r="D231" s="232"/>
      <c r="E231" s="233"/>
      <c r="F231" s="232"/>
      <c r="G231" s="232"/>
      <c r="H231" s="232"/>
      <c r="I231" s="232"/>
      <c r="J231" s="232"/>
    </row>
    <row r="232" spans="2:10" outlineLevel="1" x14ac:dyDescent="0.6">
      <c r="C232" s="232"/>
      <c r="D232" s="232"/>
      <c r="E232" s="233"/>
      <c r="F232" s="232"/>
      <c r="G232" s="232"/>
      <c r="H232" s="232"/>
      <c r="I232" s="232"/>
      <c r="J232" s="232"/>
    </row>
    <row r="233" spans="2:10" outlineLevel="1" x14ac:dyDescent="0.6"/>
    <row r="234" spans="2:10" outlineLevel="1" x14ac:dyDescent="0.6"/>
    <row r="235" spans="2:10" outlineLevel="1" x14ac:dyDescent="0.6">
      <c r="B235" s="180"/>
    </row>
    <row r="236" spans="2:10" outlineLevel="1" x14ac:dyDescent="0.6">
      <c r="B236" s="192"/>
    </row>
    <row r="237" spans="2:10" outlineLevel="1" x14ac:dyDescent="0.6">
      <c r="B237" s="183"/>
    </row>
    <row r="238" spans="2:10" outlineLevel="1" x14ac:dyDescent="0.6">
      <c r="C238" s="215"/>
      <c r="D238" s="215"/>
      <c r="E238" s="215"/>
      <c r="F238" s="215"/>
      <c r="H238" s="180"/>
      <c r="I238" s="215"/>
      <c r="J238" s="215"/>
    </row>
    <row r="239" spans="2:10" outlineLevel="1" x14ac:dyDescent="0.6">
      <c r="F239" s="229"/>
    </row>
    <row r="240" spans="2:10" outlineLevel="1" x14ac:dyDescent="0.6">
      <c r="B240" s="216"/>
      <c r="C240" s="233"/>
      <c r="D240" s="233"/>
      <c r="E240" s="233"/>
      <c r="F240" s="222"/>
      <c r="H240" s="230"/>
    </row>
    <row r="241" spans="1:12" outlineLevel="1" x14ac:dyDescent="0.6">
      <c r="B241" s="219"/>
      <c r="C241" s="233"/>
      <c r="D241" s="233"/>
      <c r="E241" s="233"/>
      <c r="F241" s="223"/>
      <c r="H241" s="211"/>
      <c r="I241" s="241"/>
      <c r="J241" s="241"/>
    </row>
    <row r="242" spans="1:12" outlineLevel="1" x14ac:dyDescent="0.6">
      <c r="B242" s="219"/>
      <c r="C242" s="233"/>
      <c r="D242" s="233"/>
      <c r="E242" s="233"/>
      <c r="F242" s="223"/>
      <c r="H242" s="211"/>
      <c r="I242" s="241"/>
      <c r="J242" s="241"/>
    </row>
    <row r="243" spans="1:12" outlineLevel="1" x14ac:dyDescent="0.6">
      <c r="C243" s="233"/>
      <c r="D243" s="233"/>
      <c r="E243" s="233"/>
      <c r="F243" s="223"/>
      <c r="H243" s="211"/>
      <c r="I243" s="231"/>
      <c r="J243" s="231"/>
    </row>
    <row r="244" spans="1:12" outlineLevel="1" x14ac:dyDescent="0.6">
      <c r="B244" s="216"/>
      <c r="C244" s="233"/>
      <c r="D244" s="233"/>
      <c r="E244" s="233"/>
      <c r="F244" s="223"/>
      <c r="H244" s="230"/>
      <c r="I244" s="207"/>
      <c r="J244" s="207"/>
    </row>
    <row r="245" spans="1:12" outlineLevel="1" x14ac:dyDescent="0.6">
      <c r="B245" s="219"/>
      <c r="C245" s="233"/>
      <c r="D245" s="233"/>
      <c r="E245" s="233"/>
      <c r="F245" s="223"/>
      <c r="H245" s="211"/>
      <c r="I245" s="241"/>
      <c r="J245" s="241"/>
    </row>
    <row r="246" spans="1:12" outlineLevel="1" x14ac:dyDescent="0.6">
      <c r="B246" s="219"/>
      <c r="C246" s="233"/>
      <c r="D246" s="233"/>
      <c r="E246" s="233"/>
      <c r="F246" s="223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232"/>
      <c r="B251" s="180"/>
      <c r="C251" s="218"/>
      <c r="E251" s="218"/>
    </row>
    <row r="252" spans="1:12" outlineLevel="1" x14ac:dyDescent="0.6">
      <c r="C252" s="218"/>
      <c r="E252" s="218"/>
    </row>
    <row r="253" spans="1:12" outlineLevel="1" x14ac:dyDescent="0.6"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</row>
    <row r="254" spans="1:12" outlineLevel="1" x14ac:dyDescent="0.6"/>
    <row r="255" spans="1:12" outlineLevel="1" x14ac:dyDescent="0.6">
      <c r="B255" s="194"/>
      <c r="C255" s="213"/>
      <c r="D255" s="213"/>
      <c r="E255" s="235"/>
      <c r="F255" s="213"/>
      <c r="G255" s="213"/>
      <c r="H255" s="213"/>
      <c r="I255" s="213"/>
      <c r="J255" s="213"/>
      <c r="K255" s="235"/>
      <c r="L255" s="235"/>
    </row>
    <row r="256" spans="1:12" ht="15.25" outlineLevel="1" x14ac:dyDescent="1.05">
      <c r="B256" s="194"/>
      <c r="C256" s="236"/>
      <c r="D256" s="236"/>
      <c r="E256" s="236"/>
      <c r="F256" s="245"/>
      <c r="G256" s="245"/>
      <c r="H256" s="245"/>
      <c r="I256" s="245"/>
      <c r="J256" s="245"/>
      <c r="K256" s="237"/>
      <c r="L256" s="237"/>
    </row>
    <row r="257" spans="2:12" outlineLevel="1" x14ac:dyDescent="0.6">
      <c r="B257" s="194"/>
      <c r="C257" s="205"/>
      <c r="D257" s="205"/>
      <c r="E257" s="205"/>
      <c r="F257" s="205"/>
      <c r="G257" s="205"/>
      <c r="H257" s="205"/>
      <c r="I257" s="205"/>
      <c r="J257" s="205"/>
      <c r="K257" s="205"/>
      <c r="L257" s="205"/>
    </row>
    <row r="258" spans="2:12" outlineLevel="1" x14ac:dyDescent="0.6">
      <c r="B258" s="194"/>
      <c r="C258" s="205"/>
      <c r="D258" s="205"/>
      <c r="E258" s="205"/>
      <c r="F258" s="205"/>
      <c r="G258" s="205"/>
      <c r="H258" s="205"/>
      <c r="I258" s="205"/>
      <c r="J258" s="205"/>
      <c r="K258" s="205"/>
      <c r="L258" s="205"/>
    </row>
    <row r="259" spans="2:12" outlineLevel="1" x14ac:dyDescent="0.6">
      <c r="B259" s="194"/>
      <c r="C259" s="205"/>
      <c r="D259" s="205"/>
      <c r="E259" s="205"/>
      <c r="F259" s="205"/>
      <c r="G259" s="205"/>
      <c r="H259" s="205"/>
      <c r="I259" s="205"/>
      <c r="J259" s="205"/>
      <c r="K259" s="205"/>
      <c r="L259" s="205"/>
    </row>
    <row r="260" spans="2:12" ht="15.25" outlineLevel="1" x14ac:dyDescent="1.05">
      <c r="B260" s="194"/>
      <c r="C260" s="212"/>
      <c r="E260" s="218"/>
    </row>
    <row r="261" spans="2:12" outlineLevel="1" x14ac:dyDescent="0.6">
      <c r="B261" s="194"/>
      <c r="C261" s="205"/>
      <c r="E261" s="218"/>
    </row>
    <row r="262" spans="2:12" outlineLevel="1" x14ac:dyDescent="0.6">
      <c r="B262" s="194"/>
      <c r="C262" s="218"/>
      <c r="E262" s="218"/>
    </row>
    <row r="263" spans="2:12" outlineLevel="1" x14ac:dyDescent="0.6">
      <c r="C263" s="215"/>
      <c r="D263" s="215"/>
      <c r="E263" s="215"/>
      <c r="F263" s="215"/>
      <c r="G263" s="215"/>
      <c r="H263" s="215"/>
      <c r="I263" s="215"/>
      <c r="J263" s="215"/>
      <c r="K263" s="215"/>
      <c r="L263" s="215"/>
    </row>
    <row r="264" spans="2:12" outlineLevel="1" x14ac:dyDescent="0.6"/>
    <row r="265" spans="2:12" outlineLevel="1" x14ac:dyDescent="0.6">
      <c r="C265" s="246"/>
      <c r="D265" s="246"/>
      <c r="E265" s="246"/>
    </row>
    <row r="266" spans="2:12" outlineLevel="1" x14ac:dyDescent="0.6">
      <c r="B266" s="194"/>
      <c r="C266" s="205"/>
      <c r="D266" s="244"/>
      <c r="E266" s="205"/>
    </row>
    <row r="267" spans="2:12" outlineLevel="1" x14ac:dyDescent="0.6">
      <c r="B267" s="194"/>
      <c r="C267" s="247"/>
      <c r="D267" s="248"/>
      <c r="E267" s="247"/>
    </row>
    <row r="268" spans="2:12" outlineLevel="1" x14ac:dyDescent="0.6">
      <c r="B268" s="194"/>
      <c r="C268" s="205"/>
      <c r="D268" s="205"/>
      <c r="E268" s="205"/>
      <c r="G268" s="194"/>
    </row>
    <row r="269" spans="2:12" outlineLevel="1" x14ac:dyDescent="0.6">
      <c r="C269" s="218"/>
      <c r="E269" s="218"/>
      <c r="G269" s="194"/>
    </row>
    <row r="270" spans="2:12" outlineLevel="1" x14ac:dyDescent="0.6">
      <c r="B270" s="239"/>
      <c r="C270" s="205"/>
      <c r="E270" s="242"/>
      <c r="G270" s="242"/>
    </row>
    <row r="271" spans="2:12" outlineLevel="1" x14ac:dyDescent="0.6">
      <c r="B271" s="194"/>
      <c r="C271" s="205"/>
      <c r="E271" s="154"/>
    </row>
    <row r="272" spans="2:12" outlineLevel="1" x14ac:dyDescent="0.6">
      <c r="B272" s="194"/>
      <c r="C272" s="247"/>
      <c r="E272" s="243"/>
    </row>
    <row r="273" spans="2:5" outlineLevel="1" x14ac:dyDescent="0.6">
      <c r="B273" s="194"/>
      <c r="C273" s="205"/>
      <c r="E273" s="154"/>
    </row>
    <row r="274" spans="2:5" outlineLevel="1" x14ac:dyDescent="0.6"/>
  </sheetData>
  <pageMargins left="0.75" right="0.75" top="1" bottom="1" header="0.5" footer="0.5"/>
  <pageSetup scale="56" orientation="landscape" r:id="rId1"/>
  <headerFooter alignWithMargins="0">
    <oddHeader>&amp;L&amp;"Arial,Bold"Atlantic City Electric
&amp;"Arial,Regular"Development of BGS Rates
June 2024 - May 2025
&amp;"Arial,Bold"
&amp;RAttachment 4
Page 4 of 5</oddHeader>
  </headerFooter>
  <rowBreaks count="7" manualBreakCount="7">
    <brk id="34" max="9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6E89-B802-4141-A402-9153D7920E02}">
  <sheetPr>
    <pageSetUpPr fitToPage="1"/>
  </sheetPr>
  <dimension ref="A1:M274"/>
  <sheetViews>
    <sheetView zoomScaleNormal="100" zoomScaleSheetLayoutView="80" workbookViewId="0"/>
  </sheetViews>
  <sheetFormatPr defaultColWidth="9.1328125" defaultRowHeight="13" outlineLevelRow="1" x14ac:dyDescent="0.6"/>
  <cols>
    <col min="1" max="1" width="12.26953125" style="187" bestFit="1" customWidth="1"/>
    <col min="2" max="2" width="46" style="187" customWidth="1"/>
    <col min="3" max="3" width="17.86328125" style="187" customWidth="1"/>
    <col min="4" max="4" width="13.7265625" style="187" customWidth="1"/>
    <col min="5" max="5" width="13.1328125" style="187" customWidth="1"/>
    <col min="6" max="7" width="12.1328125" style="187" customWidth="1"/>
    <col min="8" max="8" width="11.86328125" style="187" customWidth="1"/>
    <col min="9" max="9" width="11" style="187" customWidth="1"/>
    <col min="10" max="10" width="13.1328125" style="187" customWidth="1"/>
    <col min="11" max="11" width="12.54296875" style="187" customWidth="1"/>
    <col min="12" max="12" width="21" style="187" customWidth="1"/>
    <col min="13" max="13" width="14.26953125" style="187" bestFit="1" customWidth="1"/>
    <col min="14" max="14" width="24.1328125" style="187" bestFit="1" customWidth="1"/>
    <col min="15" max="16" width="10.86328125" style="187" bestFit="1" customWidth="1"/>
    <col min="17" max="17" width="14.40625" style="187" bestFit="1" customWidth="1"/>
    <col min="18" max="16384" width="9.1328125" style="187"/>
  </cols>
  <sheetData>
    <row r="1" spans="1:11" ht="20.5" x14ac:dyDescent="0.9">
      <c r="A1" s="189" t="s">
        <v>244</v>
      </c>
    </row>
    <row r="2" spans="1:11" ht="15.5" x14ac:dyDescent="0.7">
      <c r="A2" s="190" t="s">
        <v>303</v>
      </c>
    </row>
    <row r="3" spans="1:11" x14ac:dyDescent="0.6">
      <c r="A3" s="191" t="s">
        <v>254</v>
      </c>
    </row>
    <row r="5" spans="1:11" x14ac:dyDescent="0.6">
      <c r="A5" s="193" t="s">
        <v>194</v>
      </c>
      <c r="B5" s="180" t="s">
        <v>195</v>
      </c>
    </row>
    <row r="6" spans="1:11" ht="51" customHeight="1" x14ac:dyDescent="0.6">
      <c r="A6" s="194" t="s">
        <v>142</v>
      </c>
      <c r="B6" s="180" t="s">
        <v>245</v>
      </c>
      <c r="C6" s="179" t="s">
        <v>305</v>
      </c>
      <c r="D6" s="179" t="s">
        <v>306</v>
      </c>
      <c r="E6" s="179" t="s">
        <v>307</v>
      </c>
      <c r="G6" s="179" t="s">
        <v>144</v>
      </c>
    </row>
    <row r="8" spans="1:11" x14ac:dyDescent="0.6">
      <c r="A8" s="194">
        <v>1</v>
      </c>
      <c r="B8" s="180" t="s">
        <v>145</v>
      </c>
      <c r="C8" s="6">
        <f>'Attachment 3'!D8</f>
        <v>92.17</v>
      </c>
      <c r="D8" s="6">
        <f>C8</f>
        <v>92.17</v>
      </c>
      <c r="E8" s="6">
        <f>D8</f>
        <v>92.17</v>
      </c>
      <c r="G8" s="5" t="s">
        <v>146</v>
      </c>
    </row>
    <row r="9" spans="1:11" x14ac:dyDescent="0.6">
      <c r="A9" s="195" t="s">
        <v>266</v>
      </c>
      <c r="B9" s="180" t="s">
        <v>308</v>
      </c>
      <c r="C9" s="176">
        <f>'Attachment 4 Pg3'!C21</f>
        <v>0.12</v>
      </c>
      <c r="D9" s="196"/>
      <c r="E9" s="196"/>
      <c r="G9" s="129" t="s">
        <v>304</v>
      </c>
    </row>
    <row r="10" spans="1:11" x14ac:dyDescent="0.6">
      <c r="A10" s="194" t="s">
        <v>226</v>
      </c>
      <c r="B10" s="180" t="s">
        <v>246</v>
      </c>
      <c r="C10" s="197">
        <f>C8+C9</f>
        <v>92.29</v>
      </c>
      <c r="D10" s="197">
        <f t="shared" ref="D10:E10" si="0">D8+D9</f>
        <v>92.17</v>
      </c>
      <c r="E10" s="197">
        <f t="shared" si="0"/>
        <v>92.17</v>
      </c>
      <c r="G10" s="164" t="s">
        <v>267</v>
      </c>
    </row>
    <row r="11" spans="1:11" x14ac:dyDescent="0.6">
      <c r="A11" s="194"/>
      <c r="B11" s="180"/>
      <c r="C11" s="197"/>
      <c r="D11" s="197"/>
      <c r="E11" s="197"/>
      <c r="G11" s="198"/>
    </row>
    <row r="12" spans="1:11" x14ac:dyDescent="0.6">
      <c r="A12" s="194">
        <v>2</v>
      </c>
      <c r="B12" s="253" t="s">
        <v>247</v>
      </c>
      <c r="C12" s="199">
        <v>7</v>
      </c>
      <c r="D12" s="199">
        <v>7</v>
      </c>
      <c r="E12" s="199">
        <v>8</v>
      </c>
      <c r="G12" s="5" t="s">
        <v>147</v>
      </c>
    </row>
    <row r="13" spans="1:11" x14ac:dyDescent="0.6">
      <c r="A13" s="194">
        <v>3</v>
      </c>
      <c r="B13" s="180" t="s">
        <v>248</v>
      </c>
      <c r="C13" s="199">
        <v>22</v>
      </c>
      <c r="D13" s="199">
        <v>22</v>
      </c>
      <c r="E13" s="199">
        <v>22</v>
      </c>
      <c r="G13" s="5" t="s">
        <v>147</v>
      </c>
    </row>
    <row r="14" spans="1:11" x14ac:dyDescent="0.6">
      <c r="A14" s="194"/>
      <c r="B14" s="180"/>
      <c r="C14" s="199"/>
      <c r="D14" s="199"/>
      <c r="E14" s="199"/>
      <c r="G14" s="5"/>
    </row>
    <row r="15" spans="1:11" x14ac:dyDescent="0.6">
      <c r="A15" s="194"/>
      <c r="B15" s="180" t="s">
        <v>148</v>
      </c>
    </row>
    <row r="16" spans="1:11" x14ac:dyDescent="0.6">
      <c r="A16" s="194">
        <v>4</v>
      </c>
      <c r="B16" s="200" t="s">
        <v>149</v>
      </c>
      <c r="C16" s="78">
        <f>'Attachment 3'!C16</f>
        <v>1</v>
      </c>
      <c r="D16" s="78">
        <f>'Attachment 3'!D16</f>
        <v>1</v>
      </c>
      <c r="E16" s="133">
        <f>'Attachment 3'!E16</f>
        <v>1</v>
      </c>
      <c r="G16" s="5" t="s">
        <v>150</v>
      </c>
      <c r="K16" s="201"/>
    </row>
    <row r="17" spans="1:12" x14ac:dyDescent="0.6">
      <c r="A17" s="194">
        <v>5</v>
      </c>
      <c r="B17" s="200" t="s">
        <v>151</v>
      </c>
      <c r="C17" s="78">
        <f>'Attachment 3'!C17</f>
        <v>1</v>
      </c>
      <c r="D17" s="78">
        <f>'Attachment 3'!D17</f>
        <v>1</v>
      </c>
      <c r="E17" s="133">
        <f>'Attachment 3'!E17</f>
        <v>1</v>
      </c>
      <c r="G17" s="5" t="s">
        <v>150</v>
      </c>
      <c r="K17" s="201"/>
    </row>
    <row r="18" spans="1:12" x14ac:dyDescent="0.6">
      <c r="A18" s="194"/>
    </row>
    <row r="19" spans="1:12" x14ac:dyDescent="0.6">
      <c r="A19" s="194"/>
      <c r="B19" s="3" t="s">
        <v>152</v>
      </c>
    </row>
    <row r="20" spans="1:12" x14ac:dyDescent="0.6">
      <c r="A20" s="194">
        <v>6</v>
      </c>
      <c r="B20" s="187" t="s">
        <v>153</v>
      </c>
      <c r="C20" s="202">
        <f>'Attachment 3'!C20</f>
        <v>2558050.782650935</v>
      </c>
      <c r="D20" s="203"/>
      <c r="E20" s="203"/>
      <c r="G20" s="5" t="s">
        <v>154</v>
      </c>
    </row>
    <row r="21" spans="1:12" x14ac:dyDescent="0.6">
      <c r="A21" s="194">
        <v>7</v>
      </c>
      <c r="B21" s="187" t="s">
        <v>155</v>
      </c>
      <c r="C21" s="202">
        <f>'Attachment 3'!C21</f>
        <v>3568922.275829779</v>
      </c>
      <c r="D21" s="203"/>
      <c r="E21" s="203"/>
    </row>
    <row r="22" spans="1:12" x14ac:dyDescent="0.6">
      <c r="A22" s="194"/>
    </row>
    <row r="23" spans="1:12" x14ac:dyDescent="0.6">
      <c r="A23" s="194"/>
      <c r="B23" s="180" t="s">
        <v>249</v>
      </c>
    </row>
    <row r="24" spans="1:12" x14ac:dyDescent="0.6">
      <c r="A24" s="194">
        <v>8</v>
      </c>
      <c r="B24" s="200" t="s">
        <v>149</v>
      </c>
      <c r="C24" s="258">
        <f>((+C$8+C$9)*C$12/C$13*C16*$C20/1000)</f>
        <v>75117.16123254472</v>
      </c>
      <c r="D24" s="258">
        <f t="shared" ref="D24:E25" si="1">((+D$8+D$9)*D$12/D$13*D16*$C20/1000)</f>
        <v>75019.490202661676</v>
      </c>
      <c r="E24" s="258">
        <f t="shared" si="1"/>
        <v>85736.560231613345</v>
      </c>
      <c r="F24" s="204"/>
      <c r="G24" s="287" t="s">
        <v>281</v>
      </c>
      <c r="J24" s="205"/>
      <c r="L24" s="205"/>
    </row>
    <row r="25" spans="1:12" ht="15.25" x14ac:dyDescent="1.05">
      <c r="A25" s="194">
        <v>9</v>
      </c>
      <c r="B25" s="200" t="s">
        <v>151</v>
      </c>
      <c r="C25" s="206">
        <f>((+C$8+C$9)*C$12/C$13*C17*$C21/1000)</f>
        <v>104801.40262974148</v>
      </c>
      <c r="D25" s="206">
        <f t="shared" si="1"/>
        <v>104665.13468830068</v>
      </c>
      <c r="E25" s="206">
        <f t="shared" si="1"/>
        <v>119617.29678662935</v>
      </c>
      <c r="F25" s="204"/>
      <c r="G25" s="287" t="s">
        <v>282</v>
      </c>
    </row>
    <row r="26" spans="1:12" x14ac:dyDescent="0.6">
      <c r="A26" s="194">
        <v>10</v>
      </c>
      <c r="B26" s="187" t="s">
        <v>157</v>
      </c>
      <c r="C26" s="205">
        <f>+C25+C24</f>
        <v>179918.56386228622</v>
      </c>
      <c r="D26" s="205">
        <f>+D25+D24</f>
        <v>179684.62489096235</v>
      </c>
      <c r="E26" s="205">
        <f>+E25+E24</f>
        <v>205353.85701824271</v>
      </c>
      <c r="J26" s="205"/>
      <c r="L26" s="205"/>
    </row>
    <row r="27" spans="1:12" x14ac:dyDescent="0.6">
      <c r="A27" s="194"/>
    </row>
    <row r="28" spans="1:12" x14ac:dyDescent="0.6">
      <c r="A28" s="194"/>
      <c r="B28" s="180" t="s">
        <v>250</v>
      </c>
    </row>
    <row r="29" spans="1:12" x14ac:dyDescent="0.6">
      <c r="A29" s="194">
        <v>11</v>
      </c>
      <c r="B29" s="200" t="s">
        <v>149</v>
      </c>
      <c r="C29" s="249">
        <f>ROUND(+SUM(C24:E24)/C20*1000,3)</f>
        <v>92.207999999999998</v>
      </c>
      <c r="D29" s="207"/>
      <c r="G29" s="164" t="s">
        <v>219</v>
      </c>
    </row>
    <row r="30" spans="1:12" x14ac:dyDescent="0.6">
      <c r="A30" s="194">
        <v>12</v>
      </c>
      <c r="B30" s="200" t="s">
        <v>151</v>
      </c>
      <c r="C30" s="250">
        <f>ROUND(+SUM(C25:E25)/C21*1000,3)</f>
        <v>92.207999999999998</v>
      </c>
      <c r="G30" s="164" t="s">
        <v>220</v>
      </c>
    </row>
    <row r="31" spans="1:12" x14ac:dyDescent="0.6">
      <c r="A31" s="194"/>
      <c r="B31" s="200"/>
      <c r="C31" s="209"/>
      <c r="G31" s="208"/>
    </row>
    <row r="32" spans="1:12" x14ac:dyDescent="0.6">
      <c r="A32" s="194">
        <v>13</v>
      </c>
      <c r="B32" s="187" t="s">
        <v>159</v>
      </c>
      <c r="C32" s="251">
        <f>ROUND(+SUM(C26:E26)/(C20+C21)*1000,3)</f>
        <v>92.207999999999998</v>
      </c>
      <c r="D32" s="187" t="s">
        <v>160</v>
      </c>
      <c r="G32" s="164" t="s">
        <v>221</v>
      </c>
    </row>
    <row r="33" spans="1:13" x14ac:dyDescent="0.6">
      <c r="D33" s="187" t="s">
        <v>161</v>
      </c>
      <c r="G33" s="5" t="s">
        <v>162</v>
      </c>
    </row>
    <row r="34" spans="1:13" x14ac:dyDescent="0.6">
      <c r="C34" s="207"/>
    </row>
    <row r="35" spans="1:13" x14ac:dyDescent="0.6">
      <c r="A35" s="292" t="s">
        <v>284</v>
      </c>
      <c r="B35" s="291" t="s">
        <v>314</v>
      </c>
      <c r="C35" s="282"/>
      <c r="D35" s="177"/>
      <c r="E35" s="182"/>
    </row>
    <row r="36" spans="1:13" x14ac:dyDescent="0.6">
      <c r="A36" s="194"/>
      <c r="B36" s="211"/>
      <c r="C36" s="205"/>
      <c r="D36" s="207"/>
      <c r="G36" s="208"/>
    </row>
    <row r="37" spans="1:13" ht="15.25" x14ac:dyDescent="1.05">
      <c r="A37" s="194"/>
      <c r="B37" s="211"/>
      <c r="C37" s="212"/>
      <c r="D37" s="207"/>
      <c r="G37" s="208"/>
    </row>
    <row r="38" spans="1:13" x14ac:dyDescent="0.6">
      <c r="A38" s="194"/>
      <c r="B38" s="211"/>
      <c r="C38" s="213"/>
      <c r="D38" s="207"/>
      <c r="G38" s="208"/>
    </row>
    <row r="39" spans="1:13" x14ac:dyDescent="0.6">
      <c r="B39" s="211"/>
      <c r="D39" s="207"/>
    </row>
    <row r="41" spans="1:13" x14ac:dyDescent="0.6">
      <c r="A41" s="214"/>
      <c r="B41" s="180"/>
      <c r="G41" s="192"/>
    </row>
    <row r="42" spans="1:13" x14ac:dyDescent="0.6">
      <c r="A42" s="214"/>
      <c r="B42" s="180"/>
      <c r="G42" s="192"/>
    </row>
    <row r="43" spans="1:13" x14ac:dyDescent="0.6">
      <c r="B43" s="180"/>
    </row>
    <row r="44" spans="1:13" x14ac:dyDescent="0.6">
      <c r="B44" s="192"/>
    </row>
    <row r="45" spans="1:13" x14ac:dyDescent="0.6">
      <c r="B45" s="180"/>
    </row>
    <row r="46" spans="1:13" x14ac:dyDescent="0.6">
      <c r="C46" s="215"/>
      <c r="D46" s="215"/>
      <c r="E46" s="215"/>
      <c r="F46" s="215"/>
      <c r="G46" s="215"/>
      <c r="H46" s="215"/>
      <c r="I46" s="215"/>
      <c r="J46" s="215"/>
    </row>
    <row r="47" spans="1:13" x14ac:dyDescent="0.6">
      <c r="C47" s="215"/>
      <c r="D47" s="215"/>
      <c r="E47" s="215"/>
      <c r="F47" s="215"/>
      <c r="G47" s="215"/>
    </row>
    <row r="48" spans="1:13" x14ac:dyDescent="0.6">
      <c r="B48" s="216"/>
      <c r="E48" s="217"/>
      <c r="F48" s="29"/>
      <c r="G48" s="29"/>
      <c r="H48" s="29"/>
      <c r="I48" s="217"/>
      <c r="J48" s="217"/>
      <c r="K48" s="218"/>
      <c r="L48" s="218"/>
      <c r="M48" s="218"/>
    </row>
    <row r="49" spans="2:13" x14ac:dyDescent="0.6">
      <c r="B49" s="219"/>
      <c r="C49" s="24"/>
      <c r="D49" s="220"/>
      <c r="E49" s="29"/>
      <c r="F49" s="217"/>
      <c r="G49" s="217"/>
      <c r="H49" s="217"/>
      <c r="I49" s="183"/>
      <c r="J49" s="221"/>
      <c r="K49" s="218"/>
      <c r="L49" s="218"/>
      <c r="M49" s="218"/>
    </row>
    <row r="50" spans="2:13" x14ac:dyDescent="0.6">
      <c r="B50" s="219"/>
      <c r="C50" s="24"/>
      <c r="D50" s="220"/>
      <c r="E50" s="29"/>
      <c r="F50" s="217"/>
      <c r="G50" s="217"/>
      <c r="H50" s="222"/>
      <c r="I50" s="183"/>
      <c r="J50" s="221"/>
      <c r="K50" s="223"/>
      <c r="L50" s="218"/>
      <c r="M50" s="218"/>
    </row>
    <row r="51" spans="2:13" x14ac:dyDescent="0.6">
      <c r="E51" s="24"/>
      <c r="F51" s="220"/>
      <c r="G51" s="220"/>
      <c r="L51" s="218"/>
      <c r="M51" s="218"/>
    </row>
    <row r="52" spans="2:13" x14ac:dyDescent="0.6">
      <c r="B52" s="224"/>
      <c r="C52" s="29"/>
      <c r="D52" s="29"/>
      <c r="E52" s="24"/>
      <c r="F52" s="220"/>
      <c r="G52" s="220"/>
      <c r="H52" s="220"/>
      <c r="I52" s="220"/>
      <c r="J52" s="220"/>
      <c r="K52" s="218"/>
      <c r="L52" s="218"/>
      <c r="M52" s="218"/>
    </row>
    <row r="53" spans="2:13" x14ac:dyDescent="0.6">
      <c r="B53" s="224"/>
      <c r="C53" s="225"/>
      <c r="D53" s="225"/>
      <c r="E53" s="226"/>
      <c r="F53" s="220"/>
      <c r="G53" s="220"/>
      <c r="H53" s="220"/>
      <c r="I53" s="220"/>
      <c r="J53" s="220"/>
      <c r="K53" s="218"/>
      <c r="L53" s="218"/>
      <c r="M53" s="218"/>
    </row>
    <row r="54" spans="2:13" x14ac:dyDescent="0.6">
      <c r="B54" s="224"/>
      <c r="C54" s="225"/>
      <c r="D54" s="225"/>
      <c r="E54" s="226"/>
      <c r="F54" s="220"/>
      <c r="G54" s="220"/>
      <c r="H54" s="220"/>
      <c r="I54" s="220"/>
      <c r="J54" s="220"/>
      <c r="K54" s="218"/>
      <c r="L54" s="218"/>
      <c r="M54" s="218"/>
    </row>
    <row r="55" spans="2:13" x14ac:dyDescent="0.6">
      <c r="G55" s="220"/>
      <c r="H55" s="220"/>
      <c r="I55" s="220"/>
      <c r="J55" s="220"/>
      <c r="K55" s="218"/>
      <c r="L55" s="218"/>
      <c r="M55" s="218"/>
    </row>
    <row r="56" spans="2:13" x14ac:dyDescent="0.6">
      <c r="H56" s="220"/>
      <c r="I56" s="220"/>
      <c r="J56" s="220"/>
      <c r="K56" s="218"/>
      <c r="L56" s="218"/>
      <c r="M56" s="218"/>
    </row>
    <row r="57" spans="2:13" x14ac:dyDescent="0.6">
      <c r="C57" s="220"/>
      <c r="D57" s="220"/>
      <c r="E57" s="220"/>
      <c r="F57" s="220"/>
      <c r="G57" s="220"/>
      <c r="H57" s="220"/>
      <c r="I57" s="220"/>
      <c r="J57" s="220"/>
      <c r="K57" s="218"/>
      <c r="L57" s="218"/>
      <c r="M57" s="218"/>
    </row>
    <row r="58" spans="2:13" x14ac:dyDescent="0.6">
      <c r="B58" s="216"/>
      <c r="C58" s="29"/>
      <c r="D58" s="29"/>
      <c r="E58" s="217"/>
      <c r="F58" s="29"/>
      <c r="G58" s="29"/>
      <c r="H58" s="29"/>
      <c r="I58" s="217"/>
      <c r="J58" s="217"/>
      <c r="K58" s="218"/>
      <c r="L58" s="218"/>
      <c r="M58" s="218"/>
    </row>
    <row r="59" spans="2:13" x14ac:dyDescent="0.6">
      <c r="B59" s="219"/>
      <c r="C59" s="220"/>
      <c r="D59" s="220"/>
      <c r="E59" s="29"/>
      <c r="F59" s="220"/>
      <c r="G59" s="220"/>
      <c r="H59" s="220"/>
      <c r="J59" s="221"/>
      <c r="K59" s="218"/>
      <c r="L59" s="218"/>
      <c r="M59" s="218"/>
    </row>
    <row r="60" spans="2:13" x14ac:dyDescent="0.6">
      <c r="B60" s="219"/>
      <c r="C60" s="220"/>
      <c r="D60" s="220"/>
      <c r="E60" s="29"/>
      <c r="F60" s="220"/>
      <c r="G60" s="220"/>
      <c r="J60" s="221"/>
      <c r="K60" s="223"/>
      <c r="L60" s="218"/>
      <c r="M60" s="218"/>
    </row>
    <row r="61" spans="2:13" x14ac:dyDescent="0.6">
      <c r="C61" s="227"/>
      <c r="D61" s="227"/>
      <c r="E61" s="227"/>
      <c r="F61" s="227"/>
      <c r="G61" s="227"/>
      <c r="K61" s="218"/>
      <c r="L61" s="218"/>
      <c r="M61" s="218"/>
    </row>
    <row r="62" spans="2:13" x14ac:dyDescent="0.6">
      <c r="C62" s="228"/>
      <c r="D62" s="228"/>
      <c r="E62" s="228"/>
      <c r="F62" s="228"/>
      <c r="G62" s="228"/>
      <c r="H62" s="228"/>
      <c r="I62" s="228"/>
      <c r="J62" s="228"/>
      <c r="K62" s="218"/>
      <c r="L62" s="218"/>
      <c r="M62" s="218"/>
    </row>
    <row r="65" spans="2:11" x14ac:dyDescent="0.6">
      <c r="B65" s="180"/>
    </row>
    <row r="66" spans="2:11" x14ac:dyDescent="0.6">
      <c r="B66" s="192"/>
    </row>
    <row r="67" spans="2:11" x14ac:dyDescent="0.6">
      <c r="B67" s="183"/>
    </row>
    <row r="68" spans="2:11" x14ac:dyDescent="0.6">
      <c r="C68" s="215"/>
      <c r="D68" s="215"/>
      <c r="E68" s="215"/>
      <c r="F68" s="215"/>
      <c r="H68" s="180"/>
      <c r="I68" s="215"/>
      <c r="J68" s="215"/>
    </row>
    <row r="69" spans="2:11" x14ac:dyDescent="0.6">
      <c r="C69" s="215"/>
      <c r="D69" s="229"/>
      <c r="E69" s="215"/>
      <c r="F69" s="229"/>
    </row>
    <row r="70" spans="2:11" x14ac:dyDescent="0.6">
      <c r="B70" s="216"/>
      <c r="C70" s="29"/>
      <c r="D70" s="223"/>
      <c r="E70" s="222"/>
      <c r="F70" s="222"/>
      <c r="H70" s="230"/>
    </row>
    <row r="71" spans="2:11" x14ac:dyDescent="0.6">
      <c r="B71" s="219"/>
      <c r="C71" s="217"/>
      <c r="D71" s="223"/>
      <c r="E71" s="29"/>
      <c r="F71" s="223"/>
      <c r="H71" s="211"/>
      <c r="I71" s="231"/>
      <c r="J71" s="231"/>
      <c r="K71" s="208"/>
    </row>
    <row r="72" spans="2:11" x14ac:dyDescent="0.6">
      <c r="B72" s="219"/>
      <c r="C72" s="217"/>
      <c r="D72" s="223"/>
      <c r="E72" s="29"/>
      <c r="F72" s="223"/>
      <c r="H72" s="211"/>
      <c r="I72" s="231"/>
      <c r="J72" s="231"/>
      <c r="K72" s="208"/>
    </row>
    <row r="73" spans="2:11" x14ac:dyDescent="0.6">
      <c r="C73" s="217"/>
      <c r="D73" s="223"/>
      <c r="E73" s="217"/>
      <c r="F73" s="223"/>
      <c r="H73" s="211"/>
      <c r="I73" s="231"/>
      <c r="J73" s="231"/>
      <c r="K73" s="208"/>
    </row>
    <row r="74" spans="2:11" x14ac:dyDescent="0.6">
      <c r="B74" s="216"/>
      <c r="C74" s="29"/>
      <c r="D74" s="223"/>
      <c r="E74" s="29"/>
      <c r="F74" s="223"/>
      <c r="H74" s="230"/>
      <c r="I74" s="207"/>
      <c r="J74" s="207"/>
    </row>
    <row r="75" spans="2:11" x14ac:dyDescent="0.6">
      <c r="B75" s="219"/>
      <c r="C75" s="217"/>
      <c r="D75" s="222"/>
      <c r="E75" s="29"/>
      <c r="F75" s="223"/>
      <c r="H75" s="211"/>
      <c r="I75" s="231"/>
      <c r="J75" s="231"/>
      <c r="K75" s="208"/>
    </row>
    <row r="76" spans="2:11" x14ac:dyDescent="0.6">
      <c r="B76" s="219"/>
      <c r="C76" s="217"/>
      <c r="D76" s="222"/>
      <c r="E76" s="29"/>
      <c r="F76" s="223"/>
    </row>
    <row r="77" spans="2:11" x14ac:dyDescent="0.6">
      <c r="C77" s="228"/>
      <c r="D77" s="222"/>
      <c r="E77" s="228"/>
      <c r="F77" s="222"/>
    </row>
    <row r="78" spans="2:11" x14ac:dyDescent="0.6">
      <c r="C78" s="228"/>
      <c r="D78" s="222"/>
      <c r="E78" s="228"/>
      <c r="F78" s="222"/>
    </row>
    <row r="79" spans="2:11" x14ac:dyDescent="0.6">
      <c r="C79" s="228"/>
      <c r="D79" s="222"/>
      <c r="E79" s="228"/>
      <c r="F79" s="222"/>
    </row>
    <row r="80" spans="2:11" x14ac:dyDescent="0.6">
      <c r="C80" s="218"/>
      <c r="E80" s="218"/>
    </row>
    <row r="81" spans="1:13" x14ac:dyDescent="0.6">
      <c r="A81" s="232"/>
      <c r="B81" s="210"/>
      <c r="C81" s="218"/>
      <c r="E81" s="218"/>
    </row>
    <row r="82" spans="1:13" x14ac:dyDescent="0.6">
      <c r="A82" s="232"/>
      <c r="B82" s="192"/>
    </row>
    <row r="84" spans="1:13" x14ac:dyDescent="0.6">
      <c r="B84" s="180"/>
    </row>
    <row r="85" spans="1:13" x14ac:dyDescent="0.6">
      <c r="B85" s="192"/>
    </row>
    <row r="86" spans="1:13" x14ac:dyDescent="0.6">
      <c r="B86" s="180"/>
    </row>
    <row r="87" spans="1:13" x14ac:dyDescent="0.6">
      <c r="C87" s="215"/>
      <c r="D87" s="215"/>
      <c r="E87" s="215"/>
      <c r="F87" s="215"/>
      <c r="G87" s="215"/>
      <c r="H87" s="215"/>
      <c r="I87" s="215"/>
      <c r="J87" s="215"/>
    </row>
    <row r="88" spans="1:13" x14ac:dyDescent="0.6">
      <c r="C88" s="232"/>
      <c r="D88" s="232"/>
      <c r="E88" s="232"/>
      <c r="F88" s="233"/>
      <c r="G88" s="233"/>
      <c r="H88" s="233"/>
      <c r="I88" s="233"/>
      <c r="J88" s="233"/>
    </row>
    <row r="89" spans="1:13" x14ac:dyDescent="0.6">
      <c r="B89" s="216"/>
      <c r="C89" s="232"/>
      <c r="D89" s="232"/>
      <c r="E89" s="232"/>
      <c r="F89" s="233"/>
      <c r="G89" s="233"/>
      <c r="H89" s="233"/>
      <c r="I89" s="233"/>
      <c r="J89" s="233"/>
      <c r="L89" s="218"/>
      <c r="M89" s="218"/>
    </row>
    <row r="90" spans="1:13" x14ac:dyDescent="0.6">
      <c r="B90" s="219"/>
      <c r="C90" s="232"/>
      <c r="D90" s="232"/>
      <c r="E90" s="233"/>
      <c r="F90" s="232"/>
      <c r="G90" s="233"/>
      <c r="H90" s="233"/>
      <c r="I90" s="233"/>
      <c r="J90" s="232"/>
      <c r="L90" s="218"/>
      <c r="M90" s="218"/>
    </row>
    <row r="91" spans="1:13" x14ac:dyDescent="0.6">
      <c r="B91" s="219"/>
      <c r="C91" s="232"/>
      <c r="D91" s="232"/>
      <c r="E91" s="233"/>
      <c r="F91" s="232"/>
      <c r="G91" s="232"/>
      <c r="H91" s="232"/>
      <c r="I91" s="232"/>
      <c r="J91" s="232"/>
      <c r="L91" s="218"/>
      <c r="M91" s="218"/>
    </row>
    <row r="92" spans="1:13" x14ac:dyDescent="0.6">
      <c r="B92" s="224"/>
      <c r="C92" s="232"/>
      <c r="D92" s="232"/>
      <c r="E92" s="232"/>
      <c r="F92" s="232"/>
      <c r="G92" s="232"/>
      <c r="H92" s="232"/>
      <c r="I92" s="232"/>
      <c r="J92" s="232"/>
      <c r="L92" s="218"/>
      <c r="M92" s="218"/>
    </row>
    <row r="93" spans="1:13" x14ac:dyDescent="0.6">
      <c r="B93" s="226"/>
      <c r="C93" s="233"/>
      <c r="D93" s="233"/>
      <c r="E93" s="232"/>
      <c r="F93" s="232"/>
      <c r="G93" s="232"/>
      <c r="H93" s="232"/>
      <c r="I93" s="232"/>
      <c r="J93" s="232"/>
      <c r="L93" s="218"/>
      <c r="M93" s="218"/>
    </row>
    <row r="94" spans="1:13" x14ac:dyDescent="0.6">
      <c r="B94" s="226"/>
      <c r="C94" s="233"/>
      <c r="D94" s="233"/>
      <c r="E94" s="232"/>
      <c r="F94" s="232"/>
      <c r="G94" s="232"/>
      <c r="H94" s="232"/>
      <c r="I94" s="232"/>
      <c r="J94" s="232"/>
      <c r="L94" s="218"/>
      <c r="M94" s="218"/>
    </row>
    <row r="95" spans="1:13" x14ac:dyDescent="0.6">
      <c r="C95" s="233"/>
      <c r="D95" s="233"/>
      <c r="E95" s="232"/>
      <c r="F95" s="232"/>
      <c r="G95" s="232"/>
      <c r="H95" s="232"/>
      <c r="I95" s="232"/>
      <c r="J95" s="232"/>
      <c r="L95" s="218"/>
      <c r="M95" s="218"/>
    </row>
    <row r="96" spans="1:13" x14ac:dyDescent="0.6">
      <c r="B96" s="216"/>
      <c r="C96" s="233"/>
      <c r="D96" s="233"/>
      <c r="E96" s="232"/>
      <c r="F96" s="233"/>
      <c r="G96" s="233"/>
      <c r="H96" s="233"/>
      <c r="I96" s="233"/>
      <c r="J96" s="233"/>
      <c r="L96" s="218"/>
      <c r="M96" s="218"/>
    </row>
    <row r="97" spans="2:13" x14ac:dyDescent="0.6">
      <c r="B97" s="219"/>
      <c r="C97" s="232"/>
      <c r="D97" s="232"/>
      <c r="E97" s="233"/>
      <c r="F97" s="232"/>
      <c r="G97" s="232"/>
      <c r="H97" s="232"/>
      <c r="I97" s="232"/>
      <c r="J97" s="232"/>
      <c r="L97" s="218"/>
      <c r="M97" s="218"/>
    </row>
    <row r="98" spans="2:13" x14ac:dyDescent="0.6">
      <c r="B98" s="219"/>
      <c r="C98" s="232"/>
      <c r="D98" s="232"/>
      <c r="E98" s="233"/>
      <c r="F98" s="232"/>
      <c r="G98" s="232"/>
      <c r="H98" s="232"/>
      <c r="I98" s="232"/>
      <c r="J98" s="232"/>
      <c r="L98" s="218"/>
      <c r="M98" s="218"/>
    </row>
    <row r="99" spans="2:13" x14ac:dyDescent="0.6">
      <c r="C99" s="232"/>
      <c r="D99" s="232"/>
      <c r="E99" s="233"/>
      <c r="F99" s="232"/>
      <c r="G99" s="232"/>
      <c r="H99" s="232"/>
      <c r="I99" s="232"/>
      <c r="J99" s="232"/>
      <c r="L99" s="218"/>
      <c r="M99" s="218"/>
    </row>
    <row r="102" spans="2:13" x14ac:dyDescent="0.6">
      <c r="B102" s="180"/>
    </row>
    <row r="103" spans="2:13" x14ac:dyDescent="0.6">
      <c r="B103" s="192"/>
    </row>
    <row r="104" spans="2:13" x14ac:dyDescent="0.6">
      <c r="B104" s="183"/>
    </row>
    <row r="105" spans="2:13" x14ac:dyDescent="0.6">
      <c r="C105" s="215"/>
      <c r="D105" s="215"/>
      <c r="E105" s="215"/>
      <c r="F105" s="215"/>
      <c r="H105" s="180"/>
      <c r="I105" s="215"/>
      <c r="J105" s="215"/>
    </row>
    <row r="106" spans="2:13" x14ac:dyDescent="0.6">
      <c r="F106" s="229"/>
    </row>
    <row r="107" spans="2:13" x14ac:dyDescent="0.6">
      <c r="B107" s="216"/>
      <c r="C107" s="233"/>
      <c r="D107" s="233"/>
      <c r="E107" s="233"/>
      <c r="F107" s="222"/>
      <c r="H107" s="230"/>
    </row>
    <row r="108" spans="2:13" x14ac:dyDescent="0.6">
      <c r="B108" s="219"/>
      <c r="C108" s="233"/>
      <c r="D108" s="233"/>
      <c r="E108" s="233"/>
      <c r="F108" s="223"/>
      <c r="H108" s="211"/>
      <c r="I108" s="234"/>
      <c r="J108" s="234"/>
      <c r="K108" s="208"/>
    </row>
    <row r="109" spans="2:13" x14ac:dyDescent="0.6">
      <c r="B109" s="219"/>
      <c r="C109" s="233"/>
      <c r="D109" s="233"/>
      <c r="E109" s="233"/>
      <c r="F109" s="223"/>
      <c r="H109" s="211"/>
      <c r="I109" s="234"/>
      <c r="J109" s="234"/>
      <c r="K109" s="208"/>
    </row>
    <row r="110" spans="2:13" x14ac:dyDescent="0.6">
      <c r="C110" s="233"/>
      <c r="D110" s="233"/>
      <c r="E110" s="233"/>
      <c r="F110" s="223"/>
      <c r="H110" s="211"/>
      <c r="I110" s="231"/>
      <c r="J110" s="231"/>
      <c r="K110" s="208"/>
    </row>
    <row r="111" spans="2:13" x14ac:dyDescent="0.6">
      <c r="B111" s="216"/>
      <c r="C111" s="233"/>
      <c r="D111" s="233"/>
      <c r="E111" s="233"/>
      <c r="F111" s="223"/>
      <c r="H111" s="230"/>
      <c r="I111" s="207"/>
      <c r="J111" s="207"/>
    </row>
    <row r="112" spans="2:13" x14ac:dyDescent="0.6">
      <c r="B112" s="219"/>
      <c r="C112" s="233"/>
      <c r="D112" s="233"/>
      <c r="E112" s="233"/>
      <c r="F112" s="223"/>
      <c r="H112" s="211"/>
      <c r="I112" s="234"/>
      <c r="J112" s="234"/>
      <c r="K112" s="208"/>
    </row>
    <row r="113" spans="1:12" x14ac:dyDescent="0.6">
      <c r="B113" s="219"/>
      <c r="C113" s="233"/>
      <c r="D113" s="233"/>
      <c r="E113" s="233"/>
      <c r="F113" s="223"/>
    </row>
    <row r="114" spans="1:12" x14ac:dyDescent="0.6">
      <c r="C114" s="228"/>
      <c r="D114" s="222"/>
      <c r="E114" s="228"/>
      <c r="F114" s="222"/>
    </row>
    <row r="115" spans="1:12" x14ac:dyDescent="0.6">
      <c r="C115" s="228"/>
      <c r="D115" s="222"/>
      <c r="E115" s="228"/>
      <c r="F115" s="222"/>
    </row>
    <row r="117" spans="1:12" x14ac:dyDescent="0.6">
      <c r="A117" s="232"/>
      <c r="B117" s="180"/>
      <c r="C117" s="218"/>
      <c r="E117" s="218"/>
    </row>
    <row r="118" spans="1:12" x14ac:dyDescent="0.6">
      <c r="C118" s="218"/>
      <c r="E118" s="218"/>
    </row>
    <row r="119" spans="1:12" x14ac:dyDescent="0.6">
      <c r="C119" s="215"/>
      <c r="D119" s="215"/>
      <c r="E119" s="215"/>
      <c r="F119" s="215"/>
      <c r="G119" s="215"/>
      <c r="H119" s="215"/>
      <c r="I119" s="215"/>
      <c r="J119" s="215"/>
    </row>
    <row r="121" spans="1:12" x14ac:dyDescent="0.6">
      <c r="B121" s="194"/>
      <c r="C121" s="213"/>
      <c r="D121" s="213"/>
      <c r="E121" s="235"/>
      <c r="F121" s="213"/>
      <c r="G121" s="213"/>
      <c r="H121" s="213"/>
      <c r="I121" s="213"/>
      <c r="J121" s="213"/>
    </row>
    <row r="122" spans="1:12" ht="15.25" x14ac:dyDescent="1.05">
      <c r="B122" s="194"/>
      <c r="C122" s="236"/>
      <c r="D122" s="236"/>
      <c r="E122" s="236"/>
      <c r="F122" s="236"/>
      <c r="G122" s="236"/>
      <c r="H122" s="236"/>
      <c r="I122" s="236"/>
      <c r="J122" s="236"/>
    </row>
    <row r="123" spans="1:12" x14ac:dyDescent="0.6">
      <c r="B123" s="194"/>
      <c r="C123" s="205"/>
      <c r="D123" s="205"/>
      <c r="E123" s="205"/>
      <c r="F123" s="205"/>
      <c r="G123" s="205"/>
      <c r="H123" s="205"/>
      <c r="I123" s="205"/>
      <c r="J123" s="205"/>
    </row>
    <row r="124" spans="1:12" x14ac:dyDescent="0.6">
      <c r="B124" s="194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</row>
    <row r="125" spans="1:12" x14ac:dyDescent="0.6">
      <c r="B125" s="194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</row>
    <row r="126" spans="1:12" x14ac:dyDescent="0.6">
      <c r="B126" s="194"/>
      <c r="C126" s="215"/>
      <c r="D126" s="215"/>
      <c r="F126" s="215"/>
      <c r="G126" s="215"/>
      <c r="H126" s="205"/>
      <c r="I126" s="205"/>
      <c r="J126" s="205"/>
      <c r="K126" s="205"/>
      <c r="L126" s="205"/>
    </row>
    <row r="127" spans="1:12" x14ac:dyDescent="0.6">
      <c r="B127" s="194"/>
      <c r="C127" s="215"/>
      <c r="D127" s="215"/>
      <c r="F127" s="215"/>
      <c r="G127" s="215"/>
      <c r="H127" s="205"/>
      <c r="I127" s="205"/>
      <c r="J127" s="205"/>
      <c r="K127" s="205"/>
      <c r="L127" s="205"/>
    </row>
    <row r="128" spans="1:12" x14ac:dyDescent="0.6">
      <c r="B128" s="194"/>
      <c r="G128" s="205"/>
      <c r="H128" s="205"/>
      <c r="I128" s="205"/>
      <c r="J128" s="205"/>
      <c r="K128" s="205"/>
      <c r="L128" s="205"/>
    </row>
    <row r="129" spans="2:12" x14ac:dyDescent="0.6">
      <c r="B129" s="194"/>
      <c r="C129" s="235"/>
      <c r="D129" s="235"/>
      <c r="F129" s="235"/>
      <c r="G129" s="235"/>
      <c r="H129" s="205"/>
      <c r="I129" s="205"/>
      <c r="J129" s="205"/>
      <c r="K129" s="205"/>
      <c r="L129" s="205"/>
    </row>
    <row r="130" spans="2:12" ht="15.25" x14ac:dyDescent="1.05">
      <c r="B130" s="194"/>
      <c r="C130" s="237"/>
      <c r="D130" s="237"/>
      <c r="F130" s="237"/>
      <c r="G130" s="237"/>
      <c r="H130" s="205"/>
      <c r="I130" s="205"/>
      <c r="J130" s="205"/>
      <c r="K130" s="205"/>
      <c r="L130" s="205"/>
    </row>
    <row r="131" spans="2:12" x14ac:dyDescent="0.6">
      <c r="B131" s="194"/>
      <c r="C131" s="205"/>
      <c r="D131" s="205"/>
      <c r="F131" s="205"/>
      <c r="G131" s="205"/>
      <c r="H131" s="205"/>
      <c r="I131" s="205"/>
      <c r="J131" s="205"/>
      <c r="K131" s="205"/>
      <c r="L131" s="205"/>
    </row>
    <row r="132" spans="2:12" x14ac:dyDescent="0.6">
      <c r="B132" s="194"/>
      <c r="C132" s="205"/>
      <c r="F132" s="205"/>
      <c r="G132" s="205"/>
      <c r="H132" s="205"/>
      <c r="I132" s="205"/>
      <c r="J132" s="205"/>
      <c r="K132" s="205"/>
      <c r="L132" s="205"/>
    </row>
    <row r="133" spans="2:12" x14ac:dyDescent="0.6">
      <c r="B133" s="194"/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</row>
    <row r="134" spans="2:12" x14ac:dyDescent="0.6">
      <c r="B134" s="194"/>
      <c r="C134" s="215"/>
      <c r="D134" s="215"/>
      <c r="E134" s="215"/>
      <c r="F134" s="205"/>
      <c r="G134" s="205"/>
      <c r="H134" s="205"/>
      <c r="I134" s="205"/>
      <c r="J134" s="205"/>
      <c r="K134" s="205"/>
      <c r="L134" s="205"/>
    </row>
    <row r="135" spans="2:12" x14ac:dyDescent="0.6">
      <c r="B135" s="194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</row>
    <row r="136" spans="2:12" ht="15.25" x14ac:dyDescent="1.05">
      <c r="B136" s="194"/>
      <c r="C136" s="212"/>
      <c r="D136" s="212"/>
      <c r="E136" s="212"/>
    </row>
    <row r="137" spans="2:12" x14ac:dyDescent="0.6">
      <c r="B137" s="194"/>
      <c r="C137" s="205"/>
      <c r="D137" s="205"/>
      <c r="E137" s="238"/>
    </row>
    <row r="138" spans="2:12" x14ac:dyDescent="0.6">
      <c r="B138" s="194"/>
      <c r="C138" s="218"/>
      <c r="E138" s="218"/>
    </row>
    <row r="139" spans="2:12" x14ac:dyDescent="0.6"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</row>
    <row r="141" spans="2:12" x14ac:dyDescent="0.6">
      <c r="B141" s="194"/>
      <c r="C141" s="205"/>
    </row>
    <row r="142" spans="2:12" ht="15.25" x14ac:dyDescent="1.05">
      <c r="B142" s="194"/>
      <c r="C142" s="212"/>
    </row>
    <row r="143" spans="2:12" x14ac:dyDescent="0.6">
      <c r="B143" s="194"/>
      <c r="C143" s="205"/>
    </row>
    <row r="144" spans="2:12" x14ac:dyDescent="0.6">
      <c r="C144" s="218"/>
    </row>
    <row r="145" spans="1:10" x14ac:dyDescent="0.6">
      <c r="B145" s="239"/>
      <c r="C145" s="195"/>
    </row>
    <row r="146" spans="1:10" x14ac:dyDescent="0.6">
      <c r="B146" s="194"/>
      <c r="C146" s="205"/>
    </row>
    <row r="147" spans="1:10" ht="15.25" x14ac:dyDescent="1.05">
      <c r="B147" s="194"/>
      <c r="C147" s="212"/>
    </row>
    <row r="148" spans="1:10" x14ac:dyDescent="0.6">
      <c r="B148" s="194"/>
      <c r="C148" s="205"/>
    </row>
    <row r="151" spans="1:10" x14ac:dyDescent="0.6">
      <c r="D151" s="240"/>
      <c r="E151" s="240"/>
      <c r="F151" s="240"/>
      <c r="G151" s="240"/>
      <c r="H151" s="240"/>
      <c r="I151" s="240"/>
    </row>
    <row r="152" spans="1:10" x14ac:dyDescent="0.6">
      <c r="D152" s="240"/>
      <c r="E152" s="240"/>
      <c r="F152" s="240"/>
      <c r="G152" s="240"/>
      <c r="H152" s="240"/>
      <c r="I152" s="240"/>
    </row>
    <row r="153" spans="1:10" x14ac:dyDescent="0.6">
      <c r="A153" s="232"/>
      <c r="B153" s="210"/>
      <c r="C153" s="218"/>
      <c r="E153" s="218"/>
    </row>
    <row r="154" spans="1:10" x14ac:dyDescent="0.6">
      <c r="B154" s="192"/>
    </row>
    <row r="156" spans="1:10" x14ac:dyDescent="0.6">
      <c r="B156" s="180"/>
    </row>
    <row r="157" spans="1:10" x14ac:dyDescent="0.6">
      <c r="B157" s="192"/>
    </row>
    <row r="158" spans="1:10" x14ac:dyDescent="0.6">
      <c r="B158" s="180"/>
    </row>
    <row r="159" spans="1:10" x14ac:dyDescent="0.6">
      <c r="C159" s="215"/>
      <c r="D159" s="215"/>
      <c r="E159" s="215"/>
      <c r="F159" s="215"/>
      <c r="G159" s="215"/>
      <c r="H159" s="215"/>
      <c r="I159" s="215"/>
      <c r="J159" s="215"/>
    </row>
    <row r="160" spans="1:10" x14ac:dyDescent="0.6">
      <c r="C160" s="232"/>
      <c r="D160" s="232"/>
      <c r="E160" s="232"/>
      <c r="F160" s="233"/>
      <c r="G160" s="233"/>
      <c r="H160" s="233"/>
      <c r="I160" s="233"/>
      <c r="J160" s="233"/>
    </row>
    <row r="161" spans="2:10" x14ac:dyDescent="0.6">
      <c r="B161" s="216"/>
      <c r="C161" s="232"/>
      <c r="D161" s="232"/>
      <c r="E161" s="232"/>
      <c r="F161" s="233"/>
      <c r="G161" s="233"/>
      <c r="H161" s="233"/>
      <c r="I161" s="233"/>
      <c r="J161" s="233"/>
    </row>
    <row r="162" spans="2:10" x14ac:dyDescent="0.6">
      <c r="B162" s="219"/>
      <c r="C162" s="232"/>
      <c r="D162" s="232"/>
      <c r="E162" s="233"/>
      <c r="G162" s="233"/>
      <c r="H162" s="233"/>
      <c r="I162" s="233"/>
      <c r="J162" s="232"/>
    </row>
    <row r="163" spans="2:10" x14ac:dyDescent="0.6">
      <c r="B163" s="219"/>
      <c r="C163" s="232"/>
      <c r="D163" s="232"/>
      <c r="E163" s="233"/>
      <c r="F163" s="232"/>
      <c r="G163" s="232"/>
      <c r="H163" s="232"/>
      <c r="I163" s="232"/>
      <c r="J163" s="232"/>
    </row>
    <row r="164" spans="2:10" x14ac:dyDescent="0.6">
      <c r="B164" s="224"/>
      <c r="C164" s="232"/>
      <c r="D164" s="232"/>
      <c r="E164" s="232"/>
      <c r="F164" s="232"/>
      <c r="G164" s="232"/>
      <c r="H164" s="232"/>
      <c r="I164" s="232"/>
      <c r="J164" s="232"/>
    </row>
    <row r="165" spans="2:10" x14ac:dyDescent="0.6">
      <c r="B165" s="226"/>
      <c r="C165" s="233"/>
      <c r="D165" s="233"/>
      <c r="E165" s="232"/>
      <c r="F165" s="232"/>
      <c r="G165" s="232"/>
      <c r="H165" s="232"/>
      <c r="I165" s="232"/>
      <c r="J165" s="232"/>
    </row>
    <row r="166" spans="2:10" x14ac:dyDescent="0.6">
      <c r="B166" s="226"/>
      <c r="C166" s="233"/>
      <c r="D166" s="233"/>
      <c r="E166" s="232"/>
      <c r="F166" s="232"/>
      <c r="G166" s="232"/>
      <c r="H166" s="232"/>
      <c r="I166" s="232"/>
      <c r="J166" s="232"/>
    </row>
    <row r="167" spans="2:10" x14ac:dyDescent="0.6">
      <c r="C167" s="233"/>
      <c r="D167" s="233"/>
      <c r="E167" s="232"/>
      <c r="F167" s="232"/>
      <c r="G167" s="232"/>
      <c r="H167" s="232"/>
      <c r="I167" s="232"/>
      <c r="J167" s="232"/>
    </row>
    <row r="168" spans="2:10" x14ac:dyDescent="0.6">
      <c r="B168" s="216"/>
      <c r="C168" s="233"/>
      <c r="D168" s="233"/>
      <c r="E168" s="232"/>
      <c r="F168" s="233"/>
      <c r="G168" s="233"/>
      <c r="H168" s="233"/>
      <c r="I168" s="233"/>
      <c r="J168" s="233"/>
    </row>
    <row r="169" spans="2:10" x14ac:dyDescent="0.6">
      <c r="B169" s="219"/>
      <c r="C169" s="232"/>
      <c r="D169" s="232"/>
      <c r="E169" s="233"/>
      <c r="F169" s="232"/>
      <c r="G169" s="232"/>
      <c r="H169" s="232"/>
      <c r="I169" s="232"/>
      <c r="J169" s="232"/>
    </row>
    <row r="170" spans="2:10" x14ac:dyDescent="0.6">
      <c r="B170" s="219"/>
      <c r="C170" s="232"/>
      <c r="D170" s="232"/>
      <c r="E170" s="233"/>
      <c r="F170" s="232"/>
      <c r="G170" s="232"/>
      <c r="H170" s="232"/>
      <c r="I170" s="232"/>
      <c r="J170" s="232"/>
    </row>
    <row r="171" spans="2:10" x14ac:dyDescent="0.6">
      <c r="C171" s="232"/>
      <c r="D171" s="232"/>
      <c r="E171" s="233"/>
      <c r="F171" s="232"/>
      <c r="G171" s="232"/>
      <c r="H171" s="232"/>
      <c r="I171" s="232"/>
      <c r="J171" s="232"/>
    </row>
    <row r="174" spans="2:10" x14ac:dyDescent="0.6">
      <c r="B174" s="180"/>
    </row>
    <row r="175" spans="2:10" x14ac:dyDescent="0.6">
      <c r="B175" s="192"/>
    </row>
    <row r="176" spans="2:10" x14ac:dyDescent="0.6">
      <c r="B176" s="183"/>
    </row>
    <row r="177" spans="1:12" x14ac:dyDescent="0.6">
      <c r="C177" s="215"/>
      <c r="D177" s="215"/>
      <c r="E177" s="215"/>
      <c r="F177" s="215"/>
      <c r="H177" s="180"/>
      <c r="I177" s="215"/>
      <c r="J177" s="215"/>
    </row>
    <row r="178" spans="1:12" x14ac:dyDescent="0.6">
      <c r="F178" s="229"/>
    </row>
    <row r="179" spans="1:12" x14ac:dyDescent="0.6">
      <c r="B179" s="216"/>
      <c r="C179" s="233"/>
      <c r="D179" s="233"/>
      <c r="E179" s="233"/>
      <c r="F179" s="222"/>
      <c r="H179" s="230"/>
    </row>
    <row r="180" spans="1:12" x14ac:dyDescent="0.6">
      <c r="B180" s="219"/>
      <c r="C180" s="233"/>
      <c r="D180" s="233"/>
      <c r="E180" s="233"/>
      <c r="F180" s="223"/>
      <c r="H180" s="211"/>
      <c r="I180" s="241"/>
      <c r="J180" s="241"/>
    </row>
    <row r="181" spans="1:12" x14ac:dyDescent="0.6">
      <c r="B181" s="219"/>
      <c r="C181" s="233"/>
      <c r="D181" s="233"/>
      <c r="E181" s="233"/>
      <c r="F181" s="223"/>
      <c r="H181" s="211"/>
      <c r="I181" s="241"/>
      <c r="J181" s="241"/>
    </row>
    <row r="182" spans="1:12" x14ac:dyDescent="0.6">
      <c r="C182" s="233"/>
      <c r="D182" s="233"/>
      <c r="E182" s="233"/>
      <c r="F182" s="223"/>
      <c r="H182" s="211"/>
      <c r="I182" s="231"/>
      <c r="J182" s="231"/>
    </row>
    <row r="183" spans="1:12" x14ac:dyDescent="0.6">
      <c r="B183" s="216"/>
      <c r="C183" s="233"/>
      <c r="D183" s="233"/>
      <c r="E183" s="233"/>
      <c r="F183" s="223"/>
      <c r="H183" s="230"/>
      <c r="I183" s="207"/>
      <c r="J183" s="207"/>
    </row>
    <row r="184" spans="1:12" x14ac:dyDescent="0.6">
      <c r="B184" s="219"/>
      <c r="C184" s="233"/>
      <c r="D184" s="233"/>
      <c r="E184" s="233"/>
      <c r="F184" s="223"/>
      <c r="H184" s="211"/>
      <c r="I184" s="241"/>
      <c r="J184" s="241"/>
    </row>
    <row r="185" spans="1:12" x14ac:dyDescent="0.6">
      <c r="B185" s="219"/>
      <c r="C185" s="233"/>
      <c r="D185" s="233"/>
      <c r="E185" s="233"/>
      <c r="F185" s="223"/>
    </row>
    <row r="189" spans="1:12" x14ac:dyDescent="0.6">
      <c r="A189" s="232"/>
      <c r="B189" s="180"/>
      <c r="C189" s="218"/>
      <c r="E189" s="218"/>
    </row>
    <row r="190" spans="1:12" x14ac:dyDescent="0.6">
      <c r="C190" s="218"/>
      <c r="E190" s="218"/>
    </row>
    <row r="191" spans="1:12" x14ac:dyDescent="0.6"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</row>
    <row r="193" spans="2:12" x14ac:dyDescent="0.6">
      <c r="B193" s="194"/>
      <c r="C193" s="213"/>
      <c r="D193" s="213"/>
      <c r="E193" s="235"/>
      <c r="F193" s="213"/>
      <c r="G193" s="213"/>
      <c r="H193" s="213"/>
      <c r="I193" s="213"/>
      <c r="J193" s="213"/>
      <c r="K193" s="235"/>
      <c r="L193" s="235"/>
    </row>
    <row r="194" spans="2:12" ht="15.25" x14ac:dyDescent="1.05">
      <c r="B194" s="194"/>
      <c r="C194" s="236"/>
      <c r="D194" s="236"/>
      <c r="E194" s="236"/>
      <c r="F194" s="236"/>
      <c r="G194" s="236"/>
      <c r="H194" s="236"/>
      <c r="I194" s="236"/>
      <c r="J194" s="236"/>
      <c r="K194" s="237"/>
      <c r="L194" s="237"/>
    </row>
    <row r="195" spans="2:12" x14ac:dyDescent="0.6">
      <c r="B195" s="194"/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</row>
    <row r="196" spans="2:12" x14ac:dyDescent="0.6">
      <c r="B196" s="194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</row>
    <row r="197" spans="2:12" x14ac:dyDescent="0.6">
      <c r="B197" s="194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</row>
    <row r="198" spans="2:12" ht="15.25" x14ac:dyDescent="1.05">
      <c r="B198" s="194"/>
      <c r="C198" s="212"/>
      <c r="E198" s="218"/>
    </row>
    <row r="199" spans="2:12" x14ac:dyDescent="0.6">
      <c r="B199" s="194"/>
      <c r="C199" s="205"/>
      <c r="E199" s="218"/>
    </row>
    <row r="200" spans="2:12" x14ac:dyDescent="0.6">
      <c r="B200" s="194"/>
      <c r="C200" s="218"/>
      <c r="E200" s="218"/>
    </row>
    <row r="201" spans="2:12" x14ac:dyDescent="0.6"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</row>
    <row r="203" spans="2:12" x14ac:dyDescent="0.6">
      <c r="B203" s="194"/>
      <c r="C203" s="205"/>
    </row>
    <row r="204" spans="2:12" ht="15.25" x14ac:dyDescent="1.05">
      <c r="B204" s="194"/>
      <c r="C204" s="212"/>
    </row>
    <row r="205" spans="2:12" x14ac:dyDescent="0.6">
      <c r="B205" s="194"/>
      <c r="C205" s="205"/>
      <c r="D205" s="205"/>
      <c r="G205" s="194"/>
    </row>
    <row r="206" spans="2:12" x14ac:dyDescent="0.6">
      <c r="C206" s="218"/>
      <c r="E206" s="218"/>
      <c r="G206" s="194"/>
    </row>
    <row r="207" spans="2:12" x14ac:dyDescent="0.6">
      <c r="B207" s="239"/>
      <c r="C207" s="205"/>
      <c r="E207" s="242"/>
      <c r="G207" s="242"/>
    </row>
    <row r="208" spans="2:12" x14ac:dyDescent="0.6">
      <c r="B208" s="194"/>
      <c r="C208" s="205"/>
      <c r="E208" s="154"/>
    </row>
    <row r="209" spans="1:10" ht="15.25" x14ac:dyDescent="1.05">
      <c r="B209" s="194"/>
      <c r="C209" s="212"/>
      <c r="E209" s="243"/>
    </row>
    <row r="210" spans="1:10" x14ac:dyDescent="0.6">
      <c r="B210" s="194"/>
      <c r="C210" s="205"/>
      <c r="E210" s="154"/>
    </row>
    <row r="212" spans="1:10" x14ac:dyDescent="0.6">
      <c r="C212" s="244"/>
    </row>
    <row r="213" spans="1:10" outlineLevel="1" x14ac:dyDescent="0.6">
      <c r="A213" s="180"/>
    </row>
    <row r="214" spans="1:10" outlineLevel="1" x14ac:dyDescent="0.6">
      <c r="A214" s="232"/>
      <c r="B214" s="210"/>
      <c r="C214" s="218"/>
      <c r="E214" s="218"/>
    </row>
    <row r="215" spans="1:10" outlineLevel="1" x14ac:dyDescent="0.6">
      <c r="B215" s="192"/>
    </row>
    <row r="216" spans="1:10" outlineLevel="1" x14ac:dyDescent="0.6">
      <c r="A216" s="232"/>
    </row>
    <row r="217" spans="1:10" outlineLevel="1" x14ac:dyDescent="0.6">
      <c r="B217" s="180"/>
    </row>
    <row r="218" spans="1:10" outlineLevel="1" x14ac:dyDescent="0.6">
      <c r="B218" s="192"/>
    </row>
    <row r="219" spans="1:10" outlineLevel="1" x14ac:dyDescent="0.6">
      <c r="B219" s="180"/>
    </row>
    <row r="220" spans="1:10" outlineLevel="1" x14ac:dyDescent="0.6">
      <c r="C220" s="215"/>
      <c r="D220" s="215"/>
      <c r="E220" s="215"/>
      <c r="F220" s="215"/>
      <c r="G220" s="215"/>
      <c r="H220" s="215"/>
      <c r="I220" s="215"/>
      <c r="J220" s="215"/>
    </row>
    <row r="221" spans="1:10" outlineLevel="1" x14ac:dyDescent="0.6">
      <c r="C221" s="232"/>
      <c r="D221" s="232"/>
      <c r="E221" s="232"/>
      <c r="F221" s="233"/>
      <c r="G221" s="233"/>
      <c r="H221" s="233"/>
      <c r="I221" s="233"/>
      <c r="J221" s="233"/>
    </row>
    <row r="222" spans="1:10" outlineLevel="1" x14ac:dyDescent="0.6">
      <c r="B222" s="216"/>
      <c r="C222" s="232"/>
      <c r="D222" s="232"/>
      <c r="E222" s="232"/>
      <c r="F222" s="233"/>
      <c r="G222" s="233"/>
      <c r="H222" s="233"/>
      <c r="I222" s="233"/>
      <c r="J222" s="233"/>
    </row>
    <row r="223" spans="1:10" outlineLevel="1" x14ac:dyDescent="0.6">
      <c r="B223" s="219"/>
      <c r="C223" s="232"/>
      <c r="D223" s="232"/>
      <c r="E223" s="233"/>
    </row>
    <row r="224" spans="1:10" outlineLevel="1" x14ac:dyDescent="0.6">
      <c r="B224" s="219"/>
      <c r="C224" s="232"/>
      <c r="D224" s="232"/>
      <c r="E224" s="233"/>
      <c r="F224" s="232"/>
      <c r="G224" s="232"/>
      <c r="H224" s="232"/>
      <c r="I224" s="232"/>
      <c r="J224" s="232"/>
    </row>
    <row r="225" spans="2:10" outlineLevel="1" x14ac:dyDescent="0.6">
      <c r="B225" s="224"/>
      <c r="C225" s="232"/>
      <c r="D225" s="232"/>
      <c r="E225" s="232"/>
      <c r="F225" s="232"/>
      <c r="G225" s="232"/>
      <c r="H225" s="232"/>
      <c r="I225" s="232"/>
      <c r="J225" s="232"/>
    </row>
    <row r="226" spans="2:10" outlineLevel="1" x14ac:dyDescent="0.6">
      <c r="B226" s="226"/>
      <c r="C226" s="233"/>
      <c r="D226" s="233"/>
      <c r="E226" s="232"/>
      <c r="F226" s="232"/>
      <c r="G226" s="232"/>
      <c r="H226" s="232"/>
      <c r="I226" s="232"/>
      <c r="J226" s="232"/>
    </row>
    <row r="227" spans="2:10" outlineLevel="1" x14ac:dyDescent="0.6">
      <c r="B227" s="226"/>
      <c r="C227" s="233"/>
      <c r="D227" s="233"/>
      <c r="E227" s="232"/>
      <c r="F227" s="232"/>
      <c r="G227" s="232"/>
      <c r="H227" s="232"/>
      <c r="I227" s="232"/>
      <c r="J227" s="232"/>
    </row>
    <row r="228" spans="2:10" outlineLevel="1" x14ac:dyDescent="0.6">
      <c r="C228" s="233"/>
      <c r="D228" s="233"/>
      <c r="E228" s="232"/>
      <c r="F228" s="232"/>
      <c r="G228" s="232"/>
      <c r="H228" s="232"/>
      <c r="I228" s="232"/>
      <c r="J228" s="232"/>
    </row>
    <row r="229" spans="2:10" outlineLevel="1" x14ac:dyDescent="0.6">
      <c r="B229" s="216"/>
      <c r="C229" s="233"/>
      <c r="D229" s="233"/>
      <c r="E229" s="232"/>
      <c r="F229" s="233"/>
      <c r="G229" s="233"/>
      <c r="H229" s="233"/>
      <c r="I229" s="233"/>
      <c r="J229" s="233"/>
    </row>
    <row r="230" spans="2:10" outlineLevel="1" x14ac:dyDescent="0.6">
      <c r="B230" s="219"/>
      <c r="C230" s="232"/>
      <c r="D230" s="232"/>
      <c r="E230" s="233"/>
      <c r="F230" s="232"/>
      <c r="G230" s="232"/>
      <c r="H230" s="232"/>
      <c r="I230" s="232"/>
      <c r="J230" s="232"/>
    </row>
    <row r="231" spans="2:10" outlineLevel="1" x14ac:dyDescent="0.6">
      <c r="B231" s="219"/>
      <c r="C231" s="232"/>
      <c r="D231" s="232"/>
      <c r="E231" s="233"/>
      <c r="F231" s="232"/>
      <c r="G231" s="232"/>
      <c r="H231" s="232"/>
      <c r="I231" s="232"/>
      <c r="J231" s="232"/>
    </row>
    <row r="232" spans="2:10" outlineLevel="1" x14ac:dyDescent="0.6">
      <c r="C232" s="232"/>
      <c r="D232" s="232"/>
      <c r="E232" s="233"/>
      <c r="F232" s="232"/>
      <c r="G232" s="232"/>
      <c r="H232" s="232"/>
      <c r="I232" s="232"/>
      <c r="J232" s="232"/>
    </row>
    <row r="233" spans="2:10" outlineLevel="1" x14ac:dyDescent="0.6"/>
    <row r="234" spans="2:10" outlineLevel="1" x14ac:dyDescent="0.6"/>
    <row r="235" spans="2:10" outlineLevel="1" x14ac:dyDescent="0.6">
      <c r="B235" s="180"/>
    </row>
    <row r="236" spans="2:10" outlineLevel="1" x14ac:dyDescent="0.6">
      <c r="B236" s="192"/>
    </row>
    <row r="237" spans="2:10" outlineLevel="1" x14ac:dyDescent="0.6">
      <c r="B237" s="183"/>
    </row>
    <row r="238" spans="2:10" outlineLevel="1" x14ac:dyDescent="0.6">
      <c r="C238" s="215"/>
      <c r="D238" s="215"/>
      <c r="E238" s="215"/>
      <c r="F238" s="215"/>
      <c r="H238" s="180"/>
      <c r="I238" s="215"/>
      <c r="J238" s="215"/>
    </row>
    <row r="239" spans="2:10" outlineLevel="1" x14ac:dyDescent="0.6">
      <c r="F239" s="229"/>
    </row>
    <row r="240" spans="2:10" outlineLevel="1" x14ac:dyDescent="0.6">
      <c r="B240" s="216"/>
      <c r="C240" s="233"/>
      <c r="D240" s="233"/>
      <c r="E240" s="233"/>
      <c r="F240" s="222"/>
      <c r="H240" s="230"/>
    </row>
    <row r="241" spans="1:12" outlineLevel="1" x14ac:dyDescent="0.6">
      <c r="B241" s="219"/>
      <c r="C241" s="233"/>
      <c r="D241" s="233"/>
      <c r="E241" s="233"/>
      <c r="F241" s="223"/>
      <c r="H241" s="211"/>
      <c r="I241" s="241"/>
      <c r="J241" s="241"/>
    </row>
    <row r="242" spans="1:12" outlineLevel="1" x14ac:dyDescent="0.6">
      <c r="B242" s="219"/>
      <c r="C242" s="233"/>
      <c r="D242" s="233"/>
      <c r="E242" s="233"/>
      <c r="F242" s="223"/>
      <c r="H242" s="211"/>
      <c r="I242" s="241"/>
      <c r="J242" s="241"/>
    </row>
    <row r="243" spans="1:12" outlineLevel="1" x14ac:dyDescent="0.6">
      <c r="C243" s="233"/>
      <c r="D243" s="233"/>
      <c r="E243" s="233"/>
      <c r="F243" s="223"/>
      <c r="H243" s="211"/>
      <c r="I243" s="231"/>
      <c r="J243" s="231"/>
    </row>
    <row r="244" spans="1:12" outlineLevel="1" x14ac:dyDescent="0.6">
      <c r="B244" s="216"/>
      <c r="C244" s="233"/>
      <c r="D244" s="233"/>
      <c r="E244" s="233"/>
      <c r="F244" s="223"/>
      <c r="H244" s="230"/>
      <c r="I244" s="207"/>
      <c r="J244" s="207"/>
    </row>
    <row r="245" spans="1:12" outlineLevel="1" x14ac:dyDescent="0.6">
      <c r="B245" s="219"/>
      <c r="C245" s="233"/>
      <c r="D245" s="233"/>
      <c r="E245" s="233"/>
      <c r="F245" s="223"/>
      <c r="H245" s="211"/>
      <c r="I245" s="241"/>
      <c r="J245" s="241"/>
    </row>
    <row r="246" spans="1:12" outlineLevel="1" x14ac:dyDescent="0.6">
      <c r="B246" s="219"/>
      <c r="C246" s="233"/>
      <c r="D246" s="233"/>
      <c r="E246" s="233"/>
      <c r="F246" s="223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232"/>
      <c r="B251" s="180"/>
      <c r="C251" s="218"/>
      <c r="E251" s="218"/>
    </row>
    <row r="252" spans="1:12" outlineLevel="1" x14ac:dyDescent="0.6">
      <c r="C252" s="218"/>
      <c r="E252" s="218"/>
    </row>
    <row r="253" spans="1:12" outlineLevel="1" x14ac:dyDescent="0.6"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</row>
    <row r="254" spans="1:12" outlineLevel="1" x14ac:dyDescent="0.6"/>
    <row r="255" spans="1:12" outlineLevel="1" x14ac:dyDescent="0.6">
      <c r="B255" s="194"/>
      <c r="C255" s="213"/>
      <c r="D255" s="213"/>
      <c r="E255" s="235"/>
      <c r="F255" s="213"/>
      <c r="G255" s="213"/>
      <c r="H255" s="213"/>
      <c r="I255" s="213"/>
      <c r="J255" s="213"/>
      <c r="K255" s="235"/>
      <c r="L255" s="235"/>
    </row>
    <row r="256" spans="1:12" ht="15.25" outlineLevel="1" x14ac:dyDescent="1.05">
      <c r="B256" s="194"/>
      <c r="C256" s="236"/>
      <c r="D256" s="236"/>
      <c r="E256" s="236"/>
      <c r="F256" s="245"/>
      <c r="G256" s="245"/>
      <c r="H256" s="245"/>
      <c r="I256" s="245"/>
      <c r="J256" s="245"/>
      <c r="K256" s="237"/>
      <c r="L256" s="237"/>
    </row>
    <row r="257" spans="2:12" outlineLevel="1" x14ac:dyDescent="0.6">
      <c r="B257" s="194"/>
      <c r="C257" s="205"/>
      <c r="D257" s="205"/>
      <c r="E257" s="205"/>
      <c r="F257" s="205"/>
      <c r="G257" s="205"/>
      <c r="H257" s="205"/>
      <c r="I257" s="205"/>
      <c r="J257" s="205"/>
      <c r="K257" s="205"/>
      <c r="L257" s="205"/>
    </row>
    <row r="258" spans="2:12" outlineLevel="1" x14ac:dyDescent="0.6">
      <c r="B258" s="194"/>
      <c r="C258" s="205"/>
      <c r="D258" s="205"/>
      <c r="E258" s="205"/>
      <c r="F258" s="205"/>
      <c r="G258" s="205"/>
      <c r="H258" s="205"/>
      <c r="I258" s="205"/>
      <c r="J258" s="205"/>
      <c r="K258" s="205"/>
      <c r="L258" s="205"/>
    </row>
    <row r="259" spans="2:12" outlineLevel="1" x14ac:dyDescent="0.6">
      <c r="B259" s="194"/>
      <c r="C259" s="205"/>
      <c r="D259" s="205"/>
      <c r="E259" s="205"/>
      <c r="F259" s="205"/>
      <c r="G259" s="205"/>
      <c r="H259" s="205"/>
      <c r="I259" s="205"/>
      <c r="J259" s="205"/>
      <c r="K259" s="205"/>
      <c r="L259" s="205"/>
    </row>
    <row r="260" spans="2:12" ht="15.25" outlineLevel="1" x14ac:dyDescent="1.05">
      <c r="B260" s="194"/>
      <c r="C260" s="212"/>
      <c r="E260" s="218"/>
    </row>
    <row r="261" spans="2:12" outlineLevel="1" x14ac:dyDescent="0.6">
      <c r="B261" s="194"/>
      <c r="C261" s="205"/>
      <c r="E261" s="218"/>
    </row>
    <row r="262" spans="2:12" outlineLevel="1" x14ac:dyDescent="0.6">
      <c r="B262" s="194"/>
      <c r="C262" s="218"/>
      <c r="E262" s="218"/>
    </row>
    <row r="263" spans="2:12" outlineLevel="1" x14ac:dyDescent="0.6">
      <c r="C263" s="215"/>
      <c r="D263" s="215"/>
      <c r="E263" s="215"/>
      <c r="F263" s="215"/>
      <c r="G263" s="215"/>
      <c r="H263" s="215"/>
      <c r="I263" s="215"/>
      <c r="J263" s="215"/>
      <c r="K263" s="215"/>
      <c r="L263" s="215"/>
    </row>
    <row r="264" spans="2:12" outlineLevel="1" x14ac:dyDescent="0.6"/>
    <row r="265" spans="2:12" outlineLevel="1" x14ac:dyDescent="0.6">
      <c r="C265" s="246"/>
      <c r="D265" s="246"/>
      <c r="E265" s="246"/>
    </row>
    <row r="266" spans="2:12" outlineLevel="1" x14ac:dyDescent="0.6">
      <c r="B266" s="194"/>
      <c r="C266" s="205"/>
      <c r="D266" s="244"/>
      <c r="E266" s="205"/>
    </row>
    <row r="267" spans="2:12" outlineLevel="1" x14ac:dyDescent="0.6">
      <c r="B267" s="194"/>
      <c r="C267" s="247"/>
      <c r="D267" s="248"/>
      <c r="E267" s="247"/>
    </row>
    <row r="268" spans="2:12" outlineLevel="1" x14ac:dyDescent="0.6">
      <c r="B268" s="194"/>
      <c r="C268" s="205"/>
      <c r="D268" s="205"/>
      <c r="E268" s="205"/>
      <c r="G268" s="194"/>
    </row>
    <row r="269" spans="2:12" outlineLevel="1" x14ac:dyDescent="0.6">
      <c r="C269" s="218"/>
      <c r="E269" s="218"/>
      <c r="G269" s="194"/>
    </row>
    <row r="270" spans="2:12" outlineLevel="1" x14ac:dyDescent="0.6">
      <c r="B270" s="239"/>
      <c r="C270" s="205"/>
      <c r="E270" s="242"/>
      <c r="G270" s="242"/>
    </row>
    <row r="271" spans="2:12" outlineLevel="1" x14ac:dyDescent="0.6">
      <c r="B271" s="194"/>
      <c r="C271" s="205"/>
      <c r="E271" s="154"/>
    </row>
    <row r="272" spans="2:12" outlineLevel="1" x14ac:dyDescent="0.6">
      <c r="B272" s="194"/>
      <c r="C272" s="247"/>
      <c r="E272" s="243"/>
    </row>
    <row r="273" spans="2:5" outlineLevel="1" x14ac:dyDescent="0.6">
      <c r="B273" s="194"/>
      <c r="C273" s="205"/>
      <c r="E273" s="154"/>
    </row>
    <row r="274" spans="2:5" outlineLevel="1" x14ac:dyDescent="0.6"/>
  </sheetData>
  <pageMargins left="0.75" right="0.75" top="1" bottom="1" header="0.5" footer="0.5"/>
  <pageSetup scale="56" orientation="landscape" r:id="rId1"/>
  <headerFooter alignWithMargins="0">
    <oddHeader>&amp;L&amp;"Arial,Bold"Atlantic City Electric
&amp;"Arial,Regular"Development of BGS Rates
June 2024 - May 2025
&amp;"Arial,Bold"
&amp;RAttachment 4
Page 5 of 5</oddHeader>
  </headerFooter>
  <rowBreaks count="7" manualBreakCount="7">
    <brk id="33" max="9" man="1"/>
    <brk id="79" max="9" man="1"/>
    <brk id="115" max="9" man="1"/>
    <brk id="151" max="9" man="1"/>
    <brk id="187" max="9" man="1"/>
    <brk id="212" max="11" man="1"/>
    <brk id="2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Attachment 2</vt:lpstr>
      <vt:lpstr>Attachment 3</vt:lpstr>
      <vt:lpstr>Attachment 4 Pg1</vt:lpstr>
      <vt:lpstr>Attachment 4 Pg2</vt:lpstr>
      <vt:lpstr>Attachment 4 Pg3</vt:lpstr>
      <vt:lpstr>Attachment 4 Pg4</vt:lpstr>
      <vt:lpstr>Attachment 4 Pg5</vt:lpstr>
      <vt:lpstr>'Attachment 2'!Print_Area</vt:lpstr>
      <vt:lpstr>'Attachment 3'!Print_Area</vt:lpstr>
      <vt:lpstr>'Attachment 4 Pg1'!Print_Area</vt:lpstr>
      <vt:lpstr>'Attachment 4 Pg2'!Print_Area</vt:lpstr>
      <vt:lpstr>'Attachment 4 Pg3'!Print_Area</vt:lpstr>
      <vt:lpstr>'Attachment 4 Pg4'!Print_Area</vt:lpstr>
      <vt:lpstr>'Attachment 4 Pg5'!Print_Area</vt:lpstr>
      <vt:lpstr>'Attachment 3'!Print_Titles</vt:lpstr>
      <vt:lpstr>'Attachment 4 Pg4'!Print_Titles</vt:lpstr>
      <vt:lpstr>'Attachment 4 Pg5'!Print_Titles</vt:lpstr>
    </vt:vector>
  </TitlesOfParts>
  <Company>Conectiv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JJanocha</dc:creator>
  <cp:lastModifiedBy>Morrison, Kate</cp:lastModifiedBy>
  <cp:lastPrinted>2023-06-20T14:33:48Z</cp:lastPrinted>
  <dcterms:created xsi:type="dcterms:W3CDTF">2003-06-13T18:49:24Z</dcterms:created>
  <dcterms:modified xsi:type="dcterms:W3CDTF">2023-06-29T15:06:20Z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968b3d1-e05f-4796-9c23-acaf26d588cb_Enabled">
    <vt:lpwstr>true</vt:lpwstr>
  </property>
  <property fmtid="{D5CDD505-2E9C-101B-9397-08002B2CF9AE}" pid="4" name="MSIP_Label_c968b3d1-e05f-4796-9c23-acaf26d588cb_SetDate">
    <vt:lpwstr>2022-02-01T20:15:16Z</vt:lpwstr>
  </property>
  <property fmtid="{D5CDD505-2E9C-101B-9397-08002B2CF9AE}" pid="5" name="MSIP_Label_c968b3d1-e05f-4796-9c23-acaf26d588cb_Method">
    <vt:lpwstr>Standard</vt:lpwstr>
  </property>
  <property fmtid="{D5CDD505-2E9C-101B-9397-08002B2CF9AE}" pid="6" name="MSIP_Label_c968b3d1-e05f-4796-9c23-acaf26d588cb_Name">
    <vt:lpwstr>Company Confidential Information</vt:lpwstr>
  </property>
  <property fmtid="{D5CDD505-2E9C-101B-9397-08002B2CF9AE}" pid="7" name="MSIP_Label_c968b3d1-e05f-4796-9c23-acaf26d588cb_SiteId">
    <vt:lpwstr>600d01fc-055f-49c6-868f-3ecfcc791773</vt:lpwstr>
  </property>
  <property fmtid="{D5CDD505-2E9C-101B-9397-08002B2CF9AE}" pid="8" name="MSIP_Label_c968b3d1-e05f-4796-9c23-acaf26d588cb_ActionId">
    <vt:lpwstr>97ca61ff-67c1-4d5b-bb5a-2178d7ba5392</vt:lpwstr>
  </property>
  <property fmtid="{D5CDD505-2E9C-101B-9397-08002B2CF9AE}" pid="9" name="MSIP_Label_c968b3d1-e05f-4796-9c23-acaf26d588cb_ContentBits">
    <vt:lpwstr>0</vt:lpwstr>
  </property>
</Properties>
</file>