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nera-dcfs\WORK\Projects\Energy\BGS 22-23(A) (118035)\2023 Auction\3 RSCP Rates\1 July Filing\2 Received from EDCs\1 to post\"/>
    </mc:Choice>
  </mc:AlternateContent>
  <xr:revisionPtr revIDLastSave="0" documentId="8_{C62943D8-6F59-4FFC-8D1C-EBA2718EF411}" xr6:coauthVersionLast="46" xr6:coauthVersionMax="46" xr10:uidLastSave="{00000000-0000-0000-0000-000000000000}"/>
  <bookViews>
    <workbookView xWindow="30735" yWindow="-14640" windowWidth="24060" windowHeight="13830" tabRatio="891" xr2:uid="{00000000-000D-0000-FFFF-FFFF00000000}"/>
  </bookViews>
  <sheets>
    <sheet name="Input" sheetId="5" r:id="rId1"/>
    <sheet name="Att 2" sheetId="6" r:id="rId2"/>
    <sheet name="Att 3" sheetId="7" r:id="rId3"/>
    <sheet name="Att 4-1" sheetId="39" r:id="rId4"/>
    <sheet name="Att 4-2" sheetId="36" r:id="rId5"/>
    <sheet name="Att 4-3" sheetId="40" r:id="rId6"/>
    <sheet name="Att 4-4" sheetId="38" r:id="rId7"/>
    <sheet name="Att 4-5" sheetId="41" r:id="rId8"/>
  </sheets>
  <definedNames>
    <definedName name="\a" localSheetId="3">#REF!</definedName>
    <definedName name="\a" localSheetId="4">#REF!</definedName>
    <definedName name="\a" localSheetId="5">#REF!</definedName>
    <definedName name="\a" localSheetId="6">#REF!</definedName>
    <definedName name="\a" localSheetId="7">#REF!</definedName>
    <definedName name="\a">#REF!</definedName>
    <definedName name="_xlnm._FilterDatabase" localSheetId="0" hidden="1">Input!$N$13:$W$141</definedName>
    <definedName name="Co_letter" localSheetId="3">#REF!</definedName>
    <definedName name="Co_letter" localSheetId="4">#REF!</definedName>
    <definedName name="Co_letter" localSheetId="5">#REF!</definedName>
    <definedName name="Co_letter" localSheetId="6">#REF!</definedName>
    <definedName name="Co_letter" localSheetId="7">#REF!</definedName>
    <definedName name="Co_letter">#REF!</definedName>
    <definedName name="Co_List" localSheetId="3">#REF!</definedName>
    <definedName name="Co_List" localSheetId="4">#REF!</definedName>
    <definedName name="Co_List" localSheetId="5">#REF!</definedName>
    <definedName name="Co_List" localSheetId="6">#REF!</definedName>
    <definedName name="Co_List" localSheetId="7">#REF!</definedName>
    <definedName name="Co_List">#REF!</definedName>
    <definedName name="Co_Listc" localSheetId="3">#REF!</definedName>
    <definedName name="Co_Listc" localSheetId="4">#REF!</definedName>
    <definedName name="Co_Listc" localSheetId="5">#REF!</definedName>
    <definedName name="Co_Listc">#REF!</definedName>
    <definedName name="Co_Name" localSheetId="3">#REF!</definedName>
    <definedName name="Co_Name" localSheetId="4">#REF!</definedName>
    <definedName name="Co_Name" localSheetId="5">#REF!</definedName>
    <definedName name="Co_Name" localSheetId="6">#REF!</definedName>
    <definedName name="Co_Name" localSheetId="7">#REF!</definedName>
    <definedName name="Co_Name">#REF!</definedName>
    <definedName name="Co_Picked" localSheetId="3">#REF!</definedName>
    <definedName name="Co_Picked" localSheetId="4">#REF!</definedName>
    <definedName name="Co_Picked" localSheetId="5">#REF!</definedName>
    <definedName name="Co_Picked" localSheetId="6">#REF!</definedName>
    <definedName name="Co_Picked" localSheetId="7">#REF!</definedName>
    <definedName name="Co_Picked">#REF!</definedName>
    <definedName name="Get_Co" localSheetId="3">#REF!</definedName>
    <definedName name="Get_Co" localSheetId="4">#REF!</definedName>
    <definedName name="Get_Co" localSheetId="5">#REF!</definedName>
    <definedName name="Get_Co" localSheetId="6">#REF!</definedName>
    <definedName name="Get_Co" localSheetId="7">#REF!</definedName>
    <definedName name="Get_Co">#REF!</definedName>
    <definedName name="Get_Mo" localSheetId="3">#REF!</definedName>
    <definedName name="Get_Mo" localSheetId="4">#REF!</definedName>
    <definedName name="Get_Mo" localSheetId="5">#REF!</definedName>
    <definedName name="Get_Mo" localSheetId="6">#REF!</definedName>
    <definedName name="Get_Mo" localSheetId="7">#REF!</definedName>
    <definedName name="Get_Mo">#REF!</definedName>
    <definedName name="Get_moc" localSheetId="3">#REF!</definedName>
    <definedName name="Get_moc" localSheetId="4">#REF!</definedName>
    <definedName name="Get_moc" localSheetId="5">#REF!</definedName>
    <definedName name="Get_moc">#REF!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o_List" localSheetId="3">#REF!</definedName>
    <definedName name="Mo_List" localSheetId="4">#REF!</definedName>
    <definedName name="Mo_List" localSheetId="5">#REF!</definedName>
    <definedName name="Mo_List" localSheetId="6">#REF!</definedName>
    <definedName name="Mo_List" localSheetId="7">#REF!</definedName>
    <definedName name="Mo_List">#REF!</definedName>
    <definedName name="Mo_Picked" localSheetId="3">#REF!</definedName>
    <definedName name="Mo_Picked" localSheetId="4">#REF!</definedName>
    <definedName name="Mo_Picked" localSheetId="5">#REF!</definedName>
    <definedName name="Mo_Picked" localSheetId="6">#REF!</definedName>
    <definedName name="Mo_Picked" localSheetId="7">#REF!</definedName>
    <definedName name="Mo_Picked">#REF!</definedName>
    <definedName name="_xlnm.Print_Area" localSheetId="1">'Att 2'!$A$1:$L$354</definedName>
    <definedName name="_xlnm.Print_Area" localSheetId="2">'Att 3'!$A$1:$M$212</definedName>
    <definedName name="_xlnm.Print_Area" localSheetId="3">'Att 4-1'!$A$1:$H$21</definedName>
    <definedName name="_xlnm.Print_Area" localSheetId="4">'Att 4-2'!$A$1:$G$21</definedName>
    <definedName name="_xlnm.Print_Area" localSheetId="5">'Att 4-3'!$A$1:$E$21</definedName>
    <definedName name="_xlnm.Print_Area" localSheetId="6">'Att 4-4'!$A$1:$H$33</definedName>
    <definedName name="_xlnm.Print_Area" localSheetId="7">'Att 4-5'!$A$1:$H$33</definedName>
    <definedName name="_xlnm.Print_Area" localSheetId="0">Input!$A$1:$L$143</definedName>
    <definedName name="_xlnm.Print_Area">#REF!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2">'Att 3'!$1:$4</definedName>
    <definedName name="_xlnm.Print_Titles" localSheetId="6">'Att 4-4'!$2:$4</definedName>
    <definedName name="_xlnm.Print_Titles" localSheetId="7">'Att 4-5'!$2:$4</definedName>
    <definedName name="_xlnm.Print_Titles">#N/A</definedName>
    <definedName name="Rpt_Mo" localSheetId="3">#REF!</definedName>
    <definedName name="Rpt_Mo" localSheetId="4">#REF!</definedName>
    <definedName name="Rpt_Mo" localSheetId="5">#REF!</definedName>
    <definedName name="Rpt_Mo" localSheetId="6">#REF!</definedName>
    <definedName name="Rpt_Mo" localSheetId="7">#REF!</definedName>
    <definedName name="Rpt_Mo">#REF!</definedName>
    <definedName name="SUM">#REF!</definedName>
    <definedName name="Year1" localSheetId="3">#REF!</definedName>
    <definedName name="Year1" localSheetId="4">#REF!</definedName>
    <definedName name="Year1" localSheetId="5">#REF!</definedName>
    <definedName name="Year1" localSheetId="6">#REF!</definedName>
    <definedName name="Year1" localSheetId="7">#REF!</definedName>
    <definedName name="Year1">#REF!</definedName>
    <definedName name="Z_279F1FAD_C428_4166_9FD0_7026629BA599_.wvu.PrintArea" localSheetId="5" hidden="1">'Att 4-3'!$A$1:$E$21</definedName>
    <definedName name="Z_279F1FAD_C428_4166_9FD0_7026629BA599_.wvu.PrintArea" localSheetId="7" hidden="1">'Att 4-5'!$A$1:$H$33</definedName>
    <definedName name="Z_279F1FAD_C428_4166_9FD0_7026629BA599_.wvu.PrintTitles" localSheetId="7" hidden="1">'Att 4-5'!$2:$4</definedName>
    <definedName name="Z_782F5CFE_DE26_4D5A_B82E_30A424B0A39B_.wvu.PrintArea" localSheetId="1" hidden="1">'Att 2'!$A$1:$L$354</definedName>
    <definedName name="Z_782F5CFE_DE26_4D5A_B82E_30A424B0A39B_.wvu.PrintArea" localSheetId="2" hidden="1">'Att 3'!$A$1:$L$212</definedName>
    <definedName name="Z_782F5CFE_DE26_4D5A_B82E_30A424B0A39B_.wvu.PrintTitles" localSheetId="2" hidden="1">'Att 3'!$1:$4</definedName>
    <definedName name="Z_782F5CFE_DE26_4D5A_B82E_30A424B0A39B_.wvu.Rows" localSheetId="2" hidden="1">'Att 3'!$213:$274</definedName>
    <definedName name="Z_782F5CFE_DE26_4D5A_B82E_30A424B0A39B_.wvu.Rows" localSheetId="0" hidden="1">Input!$310:$386</definedName>
    <definedName name="Z_88B031DE_0423_45A5_B384_E560A52FDD07_.wvu.PrintArea" localSheetId="1" hidden="1">'Att 2'!$A$1:$L$354</definedName>
    <definedName name="Z_88B031DE_0423_45A5_B384_E560A52FDD07_.wvu.PrintArea" localSheetId="2" hidden="1">'Att 3'!$A$1:$L$212</definedName>
    <definedName name="Z_88B031DE_0423_45A5_B384_E560A52FDD07_.wvu.PrintTitles" localSheetId="2" hidden="1">'Att 3'!$1:$4</definedName>
    <definedName name="Z_88B031DE_0423_45A5_B384_E560A52FDD07_.wvu.Rows" localSheetId="2" hidden="1">'Att 3'!$213:$274</definedName>
    <definedName name="Z_88B031DE_0423_45A5_B384_E560A52FDD07_.wvu.Rows" localSheetId="0" hidden="1">Input!$310:$386</definedName>
    <definedName name="Z_9BF7FAF1_D686_4A6B_A2BE_0DAD43841920_.wvu.PrintArea" localSheetId="1" hidden="1">'Att 2'!$A$1:$L$354</definedName>
    <definedName name="Z_9BF7FAF1_D686_4A6B_A2BE_0DAD43841920_.wvu.PrintArea" localSheetId="2" hidden="1">'Att 3'!$A$1:$L$212</definedName>
    <definedName name="Z_9BF7FAF1_D686_4A6B_A2BE_0DAD43841920_.wvu.PrintTitles" localSheetId="2" hidden="1">'Att 3'!$1:$4</definedName>
    <definedName name="Z_9BF7FAF1_D686_4A6B_A2BE_0DAD43841920_.wvu.Rows" localSheetId="2" hidden="1">'Att 3'!$213:$274</definedName>
    <definedName name="Z_9BF7FAF1_D686_4A6B_A2BE_0DAD43841920_.wvu.Rows" localSheetId="0" hidden="1">Input!$310:$386</definedName>
    <definedName name="Z_D5524E47_947F_4D9F_AE8B_3F0380261994_.wvu.PrintArea" localSheetId="1" hidden="1">'Att 2'!$A$1:$L$354</definedName>
    <definedName name="Z_D5524E47_947F_4D9F_AE8B_3F0380261994_.wvu.PrintArea" localSheetId="2" hidden="1">'Att 3'!$A$1:$L$212</definedName>
    <definedName name="Z_D5524E47_947F_4D9F_AE8B_3F0380261994_.wvu.PrintTitles" localSheetId="2" hidden="1">'Att 3'!$1:$4</definedName>
    <definedName name="Z_D5524E47_947F_4D9F_AE8B_3F0380261994_.wvu.Rows" localSheetId="2" hidden="1">'Att 3'!$213:$274</definedName>
    <definedName name="Z_D5524E47_947F_4D9F_AE8B_3F0380261994_.wvu.Rows" localSheetId="0" hidden="1">Input!$310:$386</definedName>
  </definedNames>
  <calcPr calcId="191029"/>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7" l="1"/>
  <c r="D7" i="36"/>
  <c r="C7" i="40"/>
  <c r="C7" i="39"/>
  <c r="D7" i="39"/>
  <c r="C136" i="5"/>
  <c r="C8" i="7" s="1"/>
  <c r="E9" i="5"/>
  <c r="E45" i="6"/>
  <c r="E46" i="6"/>
  <c r="E47" i="6"/>
  <c r="E48" i="6"/>
  <c r="E49" i="6"/>
  <c r="E50" i="6"/>
  <c r="E51" i="6"/>
  <c r="E52" i="6"/>
  <c r="E178" i="6" s="1"/>
  <c r="E53" i="6"/>
  <c r="E54" i="6"/>
  <c r="E55" i="6"/>
  <c r="E56" i="6"/>
  <c r="D62" i="5"/>
  <c r="E62" i="5"/>
  <c r="F62" i="5"/>
  <c r="G62" i="5"/>
  <c r="H62" i="5"/>
  <c r="I62" i="5"/>
  <c r="J62" i="5"/>
  <c r="K62" i="5"/>
  <c r="L62" i="5"/>
  <c r="C62" i="5"/>
  <c r="E28" i="5"/>
  <c r="E23" i="6"/>
  <c r="C7" i="36"/>
  <c r="D8" i="7"/>
  <c r="C8" i="38" s="1"/>
  <c r="B1" i="7"/>
  <c r="C288" i="6"/>
  <c r="B105" i="5"/>
  <c r="X149" i="6" s="1"/>
  <c r="B7" i="5"/>
  <c r="B2" i="6" s="1"/>
  <c r="E6" i="7"/>
  <c r="C6" i="7"/>
  <c r="D6" i="7"/>
  <c r="C7" i="7"/>
  <c r="D7" i="7"/>
  <c r="E7" i="7"/>
  <c r="B42" i="6"/>
  <c r="B143" i="6"/>
  <c r="D170" i="6"/>
  <c r="D169" i="6"/>
  <c r="D171" i="6"/>
  <c r="Q80" i="6"/>
  <c r="C9" i="6"/>
  <c r="D9" i="6"/>
  <c r="E9" i="6"/>
  <c r="F9" i="6"/>
  <c r="G9" i="6"/>
  <c r="H9" i="6"/>
  <c r="I9" i="6"/>
  <c r="J9" i="6"/>
  <c r="K9" i="6"/>
  <c r="L9" i="6"/>
  <c r="C10" i="6"/>
  <c r="D10" i="6"/>
  <c r="E10" i="6"/>
  <c r="F10" i="6"/>
  <c r="G10" i="6"/>
  <c r="H10" i="6"/>
  <c r="I10" i="6"/>
  <c r="J10" i="6"/>
  <c r="K10" i="6"/>
  <c r="L10" i="6"/>
  <c r="C11" i="6"/>
  <c r="D11" i="6"/>
  <c r="E11" i="6"/>
  <c r="F11" i="6"/>
  <c r="G11" i="6"/>
  <c r="H11" i="6"/>
  <c r="I11" i="6"/>
  <c r="J11" i="6"/>
  <c r="K11" i="6"/>
  <c r="L11" i="6"/>
  <c r="C12" i="6"/>
  <c r="D12" i="6"/>
  <c r="E12" i="6"/>
  <c r="F12" i="6"/>
  <c r="G12" i="6"/>
  <c r="H12" i="6"/>
  <c r="I12" i="6"/>
  <c r="J12" i="6"/>
  <c r="K12" i="6"/>
  <c r="L12" i="6"/>
  <c r="X12" i="6" s="1"/>
  <c r="C13" i="6"/>
  <c r="D13" i="6"/>
  <c r="E13" i="6"/>
  <c r="F13" i="6"/>
  <c r="G13" i="6"/>
  <c r="H13" i="6"/>
  <c r="I13" i="6"/>
  <c r="J13" i="6"/>
  <c r="V13" i="6" s="1"/>
  <c r="K13" i="6"/>
  <c r="L13" i="6"/>
  <c r="C14" i="6"/>
  <c r="D14" i="6"/>
  <c r="E14" i="6"/>
  <c r="F14" i="6"/>
  <c r="G14" i="6"/>
  <c r="H14" i="6"/>
  <c r="I14" i="6"/>
  <c r="J14" i="6"/>
  <c r="K14" i="6"/>
  <c r="L14" i="6"/>
  <c r="C15" i="6"/>
  <c r="D15" i="6"/>
  <c r="E15" i="6"/>
  <c r="F15" i="6"/>
  <c r="G15" i="6"/>
  <c r="H15" i="6"/>
  <c r="I15" i="6"/>
  <c r="J15" i="6"/>
  <c r="K15" i="6"/>
  <c r="L15" i="6"/>
  <c r="C16" i="6"/>
  <c r="D16" i="6"/>
  <c r="E16" i="6"/>
  <c r="F16" i="6"/>
  <c r="G16" i="6"/>
  <c r="H16" i="6"/>
  <c r="I16" i="6"/>
  <c r="J16" i="6"/>
  <c r="K16" i="6"/>
  <c r="L16" i="6"/>
  <c r="X16" i="6" s="1"/>
  <c r="C17" i="6"/>
  <c r="D17" i="6"/>
  <c r="E17" i="6"/>
  <c r="F17" i="6"/>
  <c r="G17" i="6"/>
  <c r="H17" i="6"/>
  <c r="I17" i="6"/>
  <c r="J17" i="6"/>
  <c r="K17" i="6"/>
  <c r="L17" i="6"/>
  <c r="C18" i="6"/>
  <c r="D18" i="6"/>
  <c r="E18" i="6"/>
  <c r="F18" i="6"/>
  <c r="G18" i="6"/>
  <c r="H18" i="6"/>
  <c r="T18" i="6" s="1"/>
  <c r="I18" i="6"/>
  <c r="J18" i="6"/>
  <c r="K18" i="6"/>
  <c r="L18" i="6"/>
  <c r="C19" i="6"/>
  <c r="D19" i="6"/>
  <c r="E19" i="6"/>
  <c r="F19" i="6"/>
  <c r="R19" i="6" s="1"/>
  <c r="G19" i="6"/>
  <c r="H19" i="6"/>
  <c r="I19" i="6"/>
  <c r="J19" i="6"/>
  <c r="K19" i="6"/>
  <c r="L19" i="6"/>
  <c r="C20" i="6"/>
  <c r="D20" i="6"/>
  <c r="P20" i="6" s="1"/>
  <c r="E20" i="6"/>
  <c r="F20" i="6"/>
  <c r="G20" i="6"/>
  <c r="H20" i="6"/>
  <c r="I20" i="6"/>
  <c r="J20" i="6"/>
  <c r="K20" i="6"/>
  <c r="L20" i="6"/>
  <c r="D16" i="7"/>
  <c r="D17" i="7"/>
  <c r="C17" i="7"/>
  <c r="C16" i="7"/>
  <c r="D13" i="7"/>
  <c r="D12" i="39" s="1"/>
  <c r="C13" i="7"/>
  <c r="C12" i="36"/>
  <c r="AD149" i="6"/>
  <c r="AD148" i="6"/>
  <c r="AE145" i="6"/>
  <c r="AF145" i="6"/>
  <c r="AG145" i="6"/>
  <c r="AH145" i="6"/>
  <c r="AI145" i="6"/>
  <c r="AJ145" i="6"/>
  <c r="AK145" i="6"/>
  <c r="J147" i="6" s="1"/>
  <c r="AL145" i="6"/>
  <c r="AM145" i="6"/>
  <c r="AE146" i="6"/>
  <c r="AF146" i="6"/>
  <c r="AG146" i="6"/>
  <c r="AH146" i="6"/>
  <c r="AI146" i="6"/>
  <c r="AJ146" i="6"/>
  <c r="I149" i="6" s="1"/>
  <c r="AK146" i="6"/>
  <c r="AL146" i="6"/>
  <c r="AM146" i="6"/>
  <c r="AD146" i="6"/>
  <c r="AD145" i="6"/>
  <c r="D166" i="6"/>
  <c r="C166" i="6"/>
  <c r="D159" i="6"/>
  <c r="F159" i="6" s="1"/>
  <c r="D158" i="6"/>
  <c r="F158" i="6"/>
  <c r="Q79" i="6"/>
  <c r="Q78" i="6"/>
  <c r="I68" i="6"/>
  <c r="H68" i="6"/>
  <c r="I63" i="6"/>
  <c r="H63" i="6"/>
  <c r="H66" i="6" s="1"/>
  <c r="D68" i="6"/>
  <c r="D63" i="6"/>
  <c r="C64" i="6"/>
  <c r="C65" i="6"/>
  <c r="C66" i="6"/>
  <c r="C67" i="6"/>
  <c r="C68" i="6"/>
  <c r="C69" i="6"/>
  <c r="E69" i="6" s="1"/>
  <c r="C70" i="6"/>
  <c r="C71" i="6"/>
  <c r="C72" i="6"/>
  <c r="C73" i="6"/>
  <c r="C74" i="6"/>
  <c r="C63" i="6"/>
  <c r="AE45" i="6"/>
  <c r="AD45" i="6"/>
  <c r="M45" i="6" s="1"/>
  <c r="AB46" i="6"/>
  <c r="AB47" i="6"/>
  <c r="AB48" i="6"/>
  <c r="AB49" i="6"/>
  <c r="AB50" i="6"/>
  <c r="AB51" i="6"/>
  <c r="AB57" i="6" s="1"/>
  <c r="AB52" i="6"/>
  <c r="AB53" i="6"/>
  <c r="L53" i="6" s="1"/>
  <c r="AB54" i="6"/>
  <c r="AB55" i="6"/>
  <c r="AB56" i="6"/>
  <c r="AB45" i="6"/>
  <c r="D45" i="6"/>
  <c r="D57" i="6" s="1"/>
  <c r="D178" i="6" s="1"/>
  <c r="F45" i="6"/>
  <c r="G45" i="6"/>
  <c r="H45" i="6"/>
  <c r="T45" i="6" s="1"/>
  <c r="I45" i="6"/>
  <c r="J45" i="6"/>
  <c r="K45" i="6"/>
  <c r="D46" i="6"/>
  <c r="F46" i="6"/>
  <c r="G46" i="6"/>
  <c r="H46" i="6"/>
  <c r="I46" i="6"/>
  <c r="J46" i="6"/>
  <c r="K46" i="6"/>
  <c r="D47" i="6"/>
  <c r="F47" i="6"/>
  <c r="G47" i="6"/>
  <c r="H47" i="6"/>
  <c r="I47" i="6"/>
  <c r="J47" i="6"/>
  <c r="K47" i="6"/>
  <c r="D48" i="6"/>
  <c r="F48" i="6"/>
  <c r="G48" i="6"/>
  <c r="H48" i="6"/>
  <c r="I48" i="6"/>
  <c r="J48" i="6"/>
  <c r="K48" i="6"/>
  <c r="D49" i="6"/>
  <c r="F49" i="6"/>
  <c r="G49" i="6"/>
  <c r="H49" i="6"/>
  <c r="I49" i="6"/>
  <c r="J49" i="6"/>
  <c r="K49" i="6"/>
  <c r="D50" i="6"/>
  <c r="P49" i="6" s="1"/>
  <c r="F50" i="6"/>
  <c r="G50" i="6"/>
  <c r="H50" i="6"/>
  <c r="I50" i="6"/>
  <c r="J50" i="6"/>
  <c r="K50" i="6"/>
  <c r="D51" i="6"/>
  <c r="F51" i="6"/>
  <c r="G51" i="6"/>
  <c r="H51" i="6"/>
  <c r="I51" i="6"/>
  <c r="J51" i="6"/>
  <c r="K51" i="6"/>
  <c r="D52" i="6"/>
  <c r="F52" i="6"/>
  <c r="G52" i="6"/>
  <c r="S49" i="6" s="1"/>
  <c r="H52" i="6"/>
  <c r="I52" i="6"/>
  <c r="J52" i="6"/>
  <c r="K52" i="6"/>
  <c r="D53" i="6"/>
  <c r="F53" i="6"/>
  <c r="G53" i="6"/>
  <c r="H53" i="6"/>
  <c r="T49" i="6" s="1"/>
  <c r="I53" i="6"/>
  <c r="J53" i="6"/>
  <c r="K53" i="6"/>
  <c r="D54" i="6"/>
  <c r="F54" i="6"/>
  <c r="G54" i="6"/>
  <c r="H54" i="6"/>
  <c r="I54" i="6"/>
  <c r="J54" i="6"/>
  <c r="K54" i="6"/>
  <c r="D55" i="6"/>
  <c r="F55" i="6"/>
  <c r="G55" i="6"/>
  <c r="H55" i="6"/>
  <c r="I55" i="6"/>
  <c r="J55" i="6"/>
  <c r="K55" i="6"/>
  <c r="D56" i="6"/>
  <c r="F56" i="6"/>
  <c r="G56" i="6"/>
  <c r="H56" i="6"/>
  <c r="I56" i="6"/>
  <c r="J56" i="6"/>
  <c r="K56" i="6"/>
  <c r="C46" i="6"/>
  <c r="C47" i="6"/>
  <c r="C48" i="6"/>
  <c r="C49" i="6"/>
  <c r="C50" i="6"/>
  <c r="C51" i="6"/>
  <c r="C52" i="6"/>
  <c r="C53" i="6"/>
  <c r="C54" i="6"/>
  <c r="C55" i="6"/>
  <c r="C56" i="6"/>
  <c r="C45" i="6"/>
  <c r="E27" i="6"/>
  <c r="L27" i="6"/>
  <c r="E28" i="6"/>
  <c r="L28" i="6"/>
  <c r="E29" i="6"/>
  <c r="L29" i="6"/>
  <c r="E30" i="6"/>
  <c r="L30" i="6"/>
  <c r="E31" i="6"/>
  <c r="L31" i="6"/>
  <c r="E32" i="6"/>
  <c r="L32" i="6"/>
  <c r="X32" i="6" s="1"/>
  <c r="E33" i="6"/>
  <c r="L33" i="6"/>
  <c r="E34" i="6"/>
  <c r="L34" i="6"/>
  <c r="E35" i="6"/>
  <c r="L35" i="6"/>
  <c r="E36" i="6"/>
  <c r="L36" i="6"/>
  <c r="X36" i="6" s="1"/>
  <c r="E37" i="6"/>
  <c r="L37" i="6"/>
  <c r="E38" i="6"/>
  <c r="L38" i="6"/>
  <c r="I212" i="6"/>
  <c r="I268" i="6" s="1"/>
  <c r="O45" i="6"/>
  <c r="C79" i="6"/>
  <c r="C280" i="6"/>
  <c r="J212" i="6"/>
  <c r="C80" i="6"/>
  <c r="AF45" i="6"/>
  <c r="G79" i="6"/>
  <c r="G80" i="6" s="1"/>
  <c r="E79" i="6"/>
  <c r="E80" i="6" s="1"/>
  <c r="C149" i="6"/>
  <c r="D149" i="6"/>
  <c r="E149" i="6"/>
  <c r="T135" i="6"/>
  <c r="Q135" i="6"/>
  <c r="F149" i="6"/>
  <c r="G149" i="6"/>
  <c r="H57" i="6"/>
  <c r="H178" i="6" s="1"/>
  <c r="H149" i="6"/>
  <c r="J149" i="6"/>
  <c r="H69" i="6"/>
  <c r="H70" i="6"/>
  <c r="H71" i="6"/>
  <c r="P45" i="6"/>
  <c r="Q45" i="6"/>
  <c r="R45" i="6"/>
  <c r="R47" i="6" s="1"/>
  <c r="S45" i="6"/>
  <c r="U49" i="6"/>
  <c r="V49" i="6"/>
  <c r="W49" i="6"/>
  <c r="K149" i="6"/>
  <c r="D74" i="6"/>
  <c r="D73" i="6"/>
  <c r="D72" i="6"/>
  <c r="D71" i="6"/>
  <c r="E71" i="6" s="1"/>
  <c r="D70" i="6"/>
  <c r="D69" i="6"/>
  <c r="D67" i="6"/>
  <c r="D66" i="6"/>
  <c r="D65" i="6"/>
  <c r="D64" i="6"/>
  <c r="D79" i="6"/>
  <c r="D80" i="6"/>
  <c r="H79" i="6"/>
  <c r="H80" i="6" s="1"/>
  <c r="E265" i="6"/>
  <c r="F265" i="6" s="1"/>
  <c r="F68" i="7"/>
  <c r="C265" i="6"/>
  <c r="C68" i="7"/>
  <c r="C105" i="7" s="1"/>
  <c r="H154" i="6"/>
  <c r="J79" i="6"/>
  <c r="J80" i="6" s="1"/>
  <c r="J81" i="6"/>
  <c r="R167" i="6"/>
  <c r="Q167" i="6"/>
  <c r="C25" i="6"/>
  <c r="D25" i="6"/>
  <c r="E25" i="6"/>
  <c r="F25" i="6"/>
  <c r="G25" i="6"/>
  <c r="H25" i="6"/>
  <c r="I25" i="6"/>
  <c r="J25" i="6"/>
  <c r="K25" i="6"/>
  <c r="L25" i="6"/>
  <c r="D159" i="7"/>
  <c r="E159" i="7"/>
  <c r="F159" i="7"/>
  <c r="G159" i="7"/>
  <c r="H159" i="7"/>
  <c r="I159" i="7"/>
  <c r="J159" i="7"/>
  <c r="C159" i="7"/>
  <c r="E243" i="6"/>
  <c r="E46" i="7" s="1"/>
  <c r="E87" i="7" s="1"/>
  <c r="D243" i="6"/>
  <c r="D46" i="7" s="1"/>
  <c r="D87" i="7"/>
  <c r="F243" i="6"/>
  <c r="F46" i="7"/>
  <c r="F87" i="7" s="1"/>
  <c r="G243" i="6"/>
  <c r="G46" i="7"/>
  <c r="G87" i="7" s="1"/>
  <c r="H243" i="6"/>
  <c r="H46" i="7"/>
  <c r="H87" i="7" s="1"/>
  <c r="I243" i="6"/>
  <c r="I46" i="7" s="1"/>
  <c r="I87" i="7" s="1"/>
  <c r="J243" i="6"/>
  <c r="J46" i="7" s="1"/>
  <c r="J87" i="7" s="1"/>
  <c r="C243" i="6"/>
  <c r="C46" i="7" s="1"/>
  <c r="C87" i="7" s="1"/>
  <c r="O9" i="6"/>
  <c r="O10" i="6"/>
  <c r="O11" i="6"/>
  <c r="O12" i="6"/>
  <c r="O13" i="6"/>
  <c r="O61" i="6"/>
  <c r="Q61" i="6"/>
  <c r="S61" i="6"/>
  <c r="U65" i="6"/>
  <c r="W61" i="6"/>
  <c r="W68" i="6" s="1"/>
  <c r="W65" i="6"/>
  <c r="D161" i="6"/>
  <c r="C161" i="6"/>
  <c r="E68" i="6"/>
  <c r="E63" i="6"/>
  <c r="I70" i="6"/>
  <c r="I71" i="6"/>
  <c r="I69" i="6"/>
  <c r="I74" i="6"/>
  <c r="I73" i="6"/>
  <c r="I72" i="6"/>
  <c r="I65" i="6"/>
  <c r="I66" i="6"/>
  <c r="I67" i="6"/>
  <c r="I64" i="6"/>
  <c r="X9" i="6"/>
  <c r="X10" i="6"/>
  <c r="X11" i="6"/>
  <c r="X13" i="6"/>
  <c r="L144" i="6"/>
  <c r="K144" i="6"/>
  <c r="D209" i="6"/>
  <c r="J209" i="6" s="1"/>
  <c r="C209" i="6"/>
  <c r="I209" i="6" s="1"/>
  <c r="L128" i="6"/>
  <c r="AD128" i="6" s="1"/>
  <c r="E128" i="6"/>
  <c r="C286" i="6"/>
  <c r="D176" i="6"/>
  <c r="E176" i="6"/>
  <c r="F176" i="6"/>
  <c r="G176" i="6"/>
  <c r="H176" i="6"/>
  <c r="I176" i="6"/>
  <c r="J176" i="6"/>
  <c r="C176" i="6"/>
  <c r="X38" i="6"/>
  <c r="X30" i="6"/>
  <c r="Q46" i="6"/>
  <c r="C285" i="6"/>
  <c r="C284" i="6"/>
  <c r="P43" i="6"/>
  <c r="Q43" i="6"/>
  <c r="R43" i="6"/>
  <c r="S43" i="6"/>
  <c r="T43" i="6"/>
  <c r="U43" i="6"/>
  <c r="V43" i="6"/>
  <c r="W43" i="6"/>
  <c r="X43" i="6"/>
  <c r="O43" i="6"/>
  <c r="D192" i="6"/>
  <c r="E192" i="6"/>
  <c r="F192" i="6"/>
  <c r="G192" i="6"/>
  <c r="H192" i="6"/>
  <c r="I192" i="6"/>
  <c r="J192" i="6"/>
  <c r="C192" i="6"/>
  <c r="D144" i="6"/>
  <c r="E144" i="6"/>
  <c r="F144" i="6"/>
  <c r="G144" i="6"/>
  <c r="H144" i="6"/>
  <c r="I144" i="6"/>
  <c r="J144" i="6"/>
  <c r="C144" i="6"/>
  <c r="D128" i="6"/>
  <c r="F128" i="6"/>
  <c r="G128" i="6"/>
  <c r="H128" i="6"/>
  <c r="I128" i="6"/>
  <c r="J128" i="6"/>
  <c r="K128" i="6"/>
  <c r="C128" i="6"/>
  <c r="D110" i="6"/>
  <c r="E110" i="6"/>
  <c r="F110" i="6"/>
  <c r="G110" i="6"/>
  <c r="H110" i="6"/>
  <c r="I110" i="6"/>
  <c r="J110" i="6"/>
  <c r="K110" i="6"/>
  <c r="L110" i="6"/>
  <c r="C110" i="6"/>
  <c r="D92" i="6"/>
  <c r="E92" i="6"/>
  <c r="F92" i="6"/>
  <c r="G92" i="6"/>
  <c r="H92" i="6"/>
  <c r="I92" i="6"/>
  <c r="J92" i="6"/>
  <c r="K92" i="6"/>
  <c r="L92" i="6"/>
  <c r="D77" i="6"/>
  <c r="E77" i="6"/>
  <c r="F77" i="6"/>
  <c r="G77" i="6"/>
  <c r="H77" i="6"/>
  <c r="I77" i="6"/>
  <c r="J77" i="6"/>
  <c r="K77" i="6"/>
  <c r="L77" i="6"/>
  <c r="P25" i="6"/>
  <c r="Q25" i="6"/>
  <c r="R25" i="6"/>
  <c r="S25" i="6"/>
  <c r="T25" i="6"/>
  <c r="U25" i="6"/>
  <c r="V25" i="6"/>
  <c r="W25" i="6"/>
  <c r="X25" i="6"/>
  <c r="O25" i="6"/>
  <c r="D43" i="6"/>
  <c r="E43" i="6"/>
  <c r="F43" i="6"/>
  <c r="G43" i="6"/>
  <c r="H43" i="6"/>
  <c r="I43" i="6"/>
  <c r="J43" i="6"/>
  <c r="K43" i="6"/>
  <c r="L43" i="6"/>
  <c r="C92" i="6"/>
  <c r="C77" i="6"/>
  <c r="C43" i="6"/>
  <c r="P7" i="6"/>
  <c r="Q7" i="6"/>
  <c r="R7" i="6"/>
  <c r="S7" i="6"/>
  <c r="T7" i="6"/>
  <c r="U7" i="6"/>
  <c r="V7" i="6"/>
  <c r="W7" i="6"/>
  <c r="X7" i="6"/>
  <c r="O7" i="6"/>
  <c r="Q38" i="6"/>
  <c r="X37" i="6"/>
  <c r="Q37" i="6"/>
  <c r="Q136" i="6" s="1"/>
  <c r="Q36" i="6"/>
  <c r="X35" i="6"/>
  <c r="Q35" i="6"/>
  <c r="X34" i="6"/>
  <c r="Q34" i="6"/>
  <c r="X33" i="6"/>
  <c r="Q33" i="6"/>
  <c r="Q32" i="6"/>
  <c r="X31" i="6"/>
  <c r="Q31" i="6"/>
  <c r="Q30" i="6"/>
  <c r="X29" i="6"/>
  <c r="Q29" i="6"/>
  <c r="X28" i="6"/>
  <c r="Q28" i="6"/>
  <c r="X27" i="6"/>
  <c r="Q27" i="6"/>
  <c r="P9" i="6"/>
  <c r="Q9" i="6"/>
  <c r="R9" i="6"/>
  <c r="S9" i="6"/>
  <c r="W9" i="6"/>
  <c r="T9" i="6"/>
  <c r="U9" i="6"/>
  <c r="P10" i="6"/>
  <c r="Q10" i="6"/>
  <c r="R10" i="6"/>
  <c r="S10" i="6"/>
  <c r="W10" i="6"/>
  <c r="U10" i="6"/>
  <c r="V10" i="6"/>
  <c r="P11" i="6"/>
  <c r="Q11" i="6"/>
  <c r="S11" i="6"/>
  <c r="W11" i="6"/>
  <c r="T11" i="6"/>
  <c r="U11" i="6"/>
  <c r="V11" i="6"/>
  <c r="Q12" i="6"/>
  <c r="R12" i="6"/>
  <c r="S12" i="6"/>
  <c r="W12" i="6"/>
  <c r="T12" i="6"/>
  <c r="U12" i="6"/>
  <c r="V12" i="6"/>
  <c r="P13" i="6"/>
  <c r="Q13" i="6"/>
  <c r="R13" i="6"/>
  <c r="S13" i="6"/>
  <c r="W13" i="6"/>
  <c r="T13" i="6"/>
  <c r="U13" i="6"/>
  <c r="P14" i="6"/>
  <c r="Q14" i="6"/>
  <c r="R14" i="6"/>
  <c r="S14" i="6"/>
  <c r="W14" i="6"/>
  <c r="X14" i="6"/>
  <c r="U14" i="6"/>
  <c r="V14" i="6"/>
  <c r="P15" i="6"/>
  <c r="Q15" i="6"/>
  <c r="S15" i="6"/>
  <c r="W15" i="6"/>
  <c r="T15" i="6"/>
  <c r="X15" i="6"/>
  <c r="U15" i="6"/>
  <c r="V15" i="6"/>
  <c r="Q16" i="6"/>
  <c r="R16" i="6"/>
  <c r="S16" i="6"/>
  <c r="W16" i="6"/>
  <c r="T16" i="6"/>
  <c r="U16" i="6"/>
  <c r="V16" i="6"/>
  <c r="P17" i="6"/>
  <c r="Q17" i="6"/>
  <c r="R17" i="6"/>
  <c r="S17" i="6"/>
  <c r="W17" i="6"/>
  <c r="T17" i="6"/>
  <c r="X17" i="6"/>
  <c r="U17" i="6"/>
  <c r="P18" i="6"/>
  <c r="Q18" i="6"/>
  <c r="R18" i="6"/>
  <c r="S18" i="6"/>
  <c r="W18" i="6"/>
  <c r="X18" i="6"/>
  <c r="U18" i="6"/>
  <c r="V18" i="6"/>
  <c r="P19" i="6"/>
  <c r="Q19" i="6"/>
  <c r="S19" i="6"/>
  <c r="W19" i="6"/>
  <c r="T19" i="6"/>
  <c r="X19" i="6"/>
  <c r="U19" i="6"/>
  <c r="V19" i="6"/>
  <c r="Q20" i="6"/>
  <c r="R20" i="6"/>
  <c r="S20" i="6"/>
  <c r="W20" i="6"/>
  <c r="T20" i="6"/>
  <c r="X20" i="6"/>
  <c r="U20" i="6"/>
  <c r="V20" i="6"/>
  <c r="O14" i="6"/>
  <c r="O15" i="6"/>
  <c r="O16" i="6"/>
  <c r="O17" i="6"/>
  <c r="O18" i="6"/>
  <c r="O19" i="6"/>
  <c r="C100" i="6" s="1"/>
  <c r="C118" i="6" s="1"/>
  <c r="O20" i="6"/>
  <c r="K79" i="6"/>
  <c r="K80" i="6" s="1"/>
  <c r="F79" i="6"/>
  <c r="F80" i="6"/>
  <c r="I79" i="6"/>
  <c r="I80" i="6" s="1"/>
  <c r="L79" i="6"/>
  <c r="L80" i="6" s="1"/>
  <c r="L81" i="6" s="1"/>
  <c r="C81" i="6"/>
  <c r="J182" i="6"/>
  <c r="E65" i="6"/>
  <c r="AA128" i="6"/>
  <c r="R128" i="6"/>
  <c r="E68" i="7"/>
  <c r="J68" i="7"/>
  <c r="D265" i="6"/>
  <c r="D68" i="7" s="1"/>
  <c r="C163" i="6"/>
  <c r="C164" i="6" s="1"/>
  <c r="X128" i="6"/>
  <c r="D163" i="6"/>
  <c r="D81" i="6"/>
  <c r="U66" i="6"/>
  <c r="Q62" i="6"/>
  <c r="L149" i="6"/>
  <c r="E73" i="6"/>
  <c r="P47" i="6"/>
  <c r="O47" i="6"/>
  <c r="J268" i="6"/>
  <c r="E67" i="6"/>
  <c r="I68" i="7"/>
  <c r="E70" i="6"/>
  <c r="E72" i="6"/>
  <c r="E66" i="6"/>
  <c r="E74" i="6"/>
  <c r="W66" i="6"/>
  <c r="Q47" i="6"/>
  <c r="W135" i="6"/>
  <c r="E64" i="6"/>
  <c r="T136" i="6"/>
  <c r="F81" i="6"/>
  <c r="U128" i="6"/>
  <c r="L49" i="6"/>
  <c r="E105" i="7"/>
  <c r="J105" i="7" s="1"/>
  <c r="D164" i="6"/>
  <c r="E177" i="7"/>
  <c r="J177" i="7" s="1"/>
  <c r="I217" i="6"/>
  <c r="J217" i="6"/>
  <c r="C283" i="6"/>
  <c r="J273" i="6"/>
  <c r="J75" i="7" s="1"/>
  <c r="J112" i="7" s="1"/>
  <c r="J184" i="7" s="1"/>
  <c r="I273" i="6"/>
  <c r="I75" i="7"/>
  <c r="I112" i="7" s="1"/>
  <c r="I184" i="7" s="1"/>
  <c r="I100" i="6" l="1"/>
  <c r="I118" i="6" s="1"/>
  <c r="I95" i="6"/>
  <c r="I113" i="6" s="1"/>
  <c r="I81" i="6"/>
  <c r="I94" i="6"/>
  <c r="E27" i="5"/>
  <c r="E22" i="6"/>
  <c r="E4" i="6"/>
  <c r="E94" i="6"/>
  <c r="E100" i="6"/>
  <c r="E118" i="6" s="1"/>
  <c r="E96" i="6"/>
  <c r="E114" i="6" s="1"/>
  <c r="E81" i="6"/>
  <c r="E95" i="6"/>
  <c r="E113" i="6" s="1"/>
  <c r="S62" i="6"/>
  <c r="C13" i="39"/>
  <c r="C13" i="36"/>
  <c r="D13" i="36"/>
  <c r="C14" i="7"/>
  <c r="D14" i="7" s="1"/>
  <c r="C12" i="39"/>
  <c r="T131" i="6"/>
  <c r="Q131" i="6"/>
  <c r="Q50" i="6"/>
  <c r="Q132" i="6"/>
  <c r="Q65" i="6"/>
  <c r="Q68" i="6" s="1"/>
  <c r="T132" i="6"/>
  <c r="Q49" i="6"/>
  <c r="E57" i="6"/>
  <c r="G81" i="6"/>
  <c r="G95" i="6"/>
  <c r="G113" i="6" s="1"/>
  <c r="G96" i="6"/>
  <c r="G114" i="6" s="1"/>
  <c r="G94" i="6"/>
  <c r="G100" i="6"/>
  <c r="G118" i="6" s="1"/>
  <c r="K100" i="6"/>
  <c r="K118" i="6"/>
  <c r="S66" i="6"/>
  <c r="I96" i="6"/>
  <c r="I114" i="6" s="1"/>
  <c r="H95" i="6"/>
  <c r="H113" i="6" s="1"/>
  <c r="H81" i="6"/>
  <c r="O62" i="6"/>
  <c r="J95" i="6"/>
  <c r="J113" i="6" s="1"/>
  <c r="W136" i="6"/>
  <c r="K94" i="6"/>
  <c r="K96" i="6"/>
  <c r="K114" i="6" s="1"/>
  <c r="K81" i="6"/>
  <c r="K95" i="6"/>
  <c r="K113" i="6" s="1"/>
  <c r="C177" i="7"/>
  <c r="I177" i="7" s="1"/>
  <c r="I105" i="7"/>
  <c r="AC128" i="6"/>
  <c r="Q128" i="6"/>
  <c r="W128" i="6"/>
  <c r="T128" i="6"/>
  <c r="Z128" i="6"/>
  <c r="O65" i="6"/>
  <c r="O68" i="6" s="1"/>
  <c r="O49" i="6"/>
  <c r="C96" i="6"/>
  <c r="C114" i="6" s="1"/>
  <c r="C95" i="6"/>
  <c r="C113" i="6" s="1"/>
  <c r="C94" i="6"/>
  <c r="S65" i="6"/>
  <c r="S68" i="6" s="1"/>
  <c r="G57" i="6"/>
  <c r="G178" i="6" s="1"/>
  <c r="F57" i="6"/>
  <c r="F178" i="6" s="1"/>
  <c r="R49" i="6"/>
  <c r="P53" i="6"/>
  <c r="P54" i="6"/>
  <c r="K57" i="6"/>
  <c r="W45" i="6"/>
  <c r="W62" i="6" s="1"/>
  <c r="W69" i="6" s="1"/>
  <c r="V45" i="6"/>
  <c r="J57" i="6"/>
  <c r="J178" i="6" s="1"/>
  <c r="U45" i="6"/>
  <c r="I57" i="6"/>
  <c r="U61" i="6"/>
  <c r="U68" i="6" s="1"/>
  <c r="L45" i="6"/>
  <c r="L46" i="6"/>
  <c r="L51" i="6"/>
  <c r="L55" i="6"/>
  <c r="L47" i="6"/>
  <c r="L52" i="6"/>
  <c r="L54" i="6"/>
  <c r="L48" i="6"/>
  <c r="L50" i="6"/>
  <c r="L56" i="6"/>
  <c r="H67" i="6"/>
  <c r="H72" i="6"/>
  <c r="C98" i="6" s="1"/>
  <c r="C116" i="6" s="1"/>
  <c r="C134" i="6" s="1"/>
  <c r="H64" i="6"/>
  <c r="H73" i="6"/>
  <c r="H98" i="6"/>
  <c r="H116" i="6" s="1"/>
  <c r="H134" i="6" s="1"/>
  <c r="H65" i="6"/>
  <c r="K99" i="6" s="1"/>
  <c r="K117" i="6" s="1"/>
  <c r="H74" i="6"/>
  <c r="I213" i="6"/>
  <c r="I269" i="6" s="1"/>
  <c r="J213" i="6"/>
  <c r="J269" i="6" s="1"/>
  <c r="C281" i="6"/>
  <c r="J214" i="6"/>
  <c r="J270" i="6" s="1"/>
  <c r="Q160" i="6"/>
  <c r="I214" i="6"/>
  <c r="I270" i="6" s="1"/>
  <c r="I178" i="6"/>
  <c r="J183" i="6"/>
  <c r="I147" i="6"/>
  <c r="C147" i="6"/>
  <c r="K147" i="6"/>
  <c r="L147" i="6"/>
  <c r="E147" i="6"/>
  <c r="D147" i="6"/>
  <c r="F147" i="6"/>
  <c r="G147" i="6"/>
  <c r="V65" i="6"/>
  <c r="V66" i="6" s="1"/>
  <c r="V17" i="6"/>
  <c r="J96" i="6" s="1"/>
  <c r="J114" i="6" s="1"/>
  <c r="D95" i="6"/>
  <c r="D113" i="6" s="1"/>
  <c r="P65" i="6"/>
  <c r="P66" i="6" s="1"/>
  <c r="P16" i="6"/>
  <c r="D96" i="6" s="1"/>
  <c r="D114" i="6" s="1"/>
  <c r="F95" i="6"/>
  <c r="F113" i="6" s="1"/>
  <c r="R65" i="6"/>
  <c r="R15" i="6"/>
  <c r="F96" i="6" s="1"/>
  <c r="F114" i="6" s="1"/>
  <c r="T14" i="6"/>
  <c r="H96" i="6" s="1"/>
  <c r="H114" i="6" s="1"/>
  <c r="T65" i="6"/>
  <c r="T66" i="6" s="1"/>
  <c r="P61" i="6"/>
  <c r="P12" i="6"/>
  <c r="D100" i="6" s="1"/>
  <c r="D118" i="6" s="1"/>
  <c r="R61" i="6"/>
  <c r="R11" i="6"/>
  <c r="F100" i="6" s="1"/>
  <c r="F118" i="6" s="1"/>
  <c r="T10" i="6"/>
  <c r="H100" i="6" s="1"/>
  <c r="H118" i="6" s="1"/>
  <c r="T61" i="6"/>
  <c r="T68" i="6" s="1"/>
  <c r="V9" i="6"/>
  <c r="J100" i="6" s="1"/>
  <c r="J118" i="6" s="1"/>
  <c r="V61" i="6"/>
  <c r="V68" i="6" s="1"/>
  <c r="C84" i="6"/>
  <c r="Q81" i="6"/>
  <c r="C12" i="41"/>
  <c r="D12" i="36"/>
  <c r="D14" i="36" s="1"/>
  <c r="H147" i="6"/>
  <c r="C57" i="6"/>
  <c r="C178" i="6" s="1"/>
  <c r="C14" i="36"/>
  <c r="S69" i="6" l="1"/>
  <c r="D8" i="36"/>
  <c r="D10" i="36" s="1"/>
  <c r="D16" i="36" s="1"/>
  <c r="C8" i="36"/>
  <c r="C10" i="36" s="1"/>
  <c r="C16" i="36" s="1"/>
  <c r="D8" i="39"/>
  <c r="C8" i="39"/>
  <c r="C10" i="39" s="1"/>
  <c r="C16" i="39" s="1"/>
  <c r="C182" i="6"/>
  <c r="C183" i="6"/>
  <c r="R136" i="6"/>
  <c r="L98" i="6"/>
  <c r="L116" i="6" s="1"/>
  <c r="U136" i="6"/>
  <c r="X136" i="6" s="1"/>
  <c r="R135" i="6"/>
  <c r="U135" i="6"/>
  <c r="X135" i="6" s="1"/>
  <c r="L99" i="6"/>
  <c r="L117" i="6" s="1"/>
  <c r="L135" i="6" s="1"/>
  <c r="X46" i="6"/>
  <c r="X61" i="6"/>
  <c r="X45" i="6"/>
  <c r="L57" i="6"/>
  <c r="D94" i="6"/>
  <c r="J71" i="7"/>
  <c r="J108" i="7" s="1"/>
  <c r="J72" i="7"/>
  <c r="J109" i="7" s="1"/>
  <c r="D98" i="6"/>
  <c r="D116" i="6" s="1"/>
  <c r="D134" i="6" s="1"/>
  <c r="C99" i="6"/>
  <c r="C117" i="6" s="1"/>
  <c r="K112" i="6"/>
  <c r="E112" i="6"/>
  <c r="E102" i="6"/>
  <c r="H200" i="6"/>
  <c r="U131" i="6"/>
  <c r="R131" i="6"/>
  <c r="R132" i="6"/>
  <c r="X65" i="6"/>
  <c r="L94" i="6"/>
  <c r="L114" i="6"/>
  <c r="X49" i="6"/>
  <c r="L113" i="6"/>
  <c r="U132" i="6"/>
  <c r="L95" i="6"/>
  <c r="X50" i="6"/>
  <c r="L96" i="6"/>
  <c r="W131" i="6"/>
  <c r="H94" i="6"/>
  <c r="H183" i="6"/>
  <c r="H182" i="6"/>
  <c r="I182" i="6"/>
  <c r="I183" i="6"/>
  <c r="F99" i="6"/>
  <c r="F117" i="6" s="1"/>
  <c r="J94" i="6"/>
  <c r="C14" i="39"/>
  <c r="G182" i="6"/>
  <c r="G183" i="6"/>
  <c r="K98" i="6"/>
  <c r="K116" i="6" s="1"/>
  <c r="K134" i="6" s="1"/>
  <c r="C215" i="6" s="1"/>
  <c r="I98" i="6"/>
  <c r="I116" i="6" s="1"/>
  <c r="I134" i="6" s="1"/>
  <c r="J98" i="6"/>
  <c r="J116" i="6" s="1"/>
  <c r="J134" i="6" s="1"/>
  <c r="L100" i="6"/>
  <c r="L118" i="6" s="1"/>
  <c r="L136" i="6" s="1"/>
  <c r="R66" i="6"/>
  <c r="O66" i="6"/>
  <c r="O53" i="6"/>
  <c r="O54" i="6" s="1"/>
  <c r="G99" i="6"/>
  <c r="G117" i="6" s="1"/>
  <c r="Q51" i="6"/>
  <c r="Q66" i="6"/>
  <c r="Q69" i="6" s="1"/>
  <c r="D13" i="39"/>
  <c r="D14" i="39" s="1"/>
  <c r="E14" i="7"/>
  <c r="C13" i="40" s="1"/>
  <c r="C14" i="40" s="1"/>
  <c r="E131" i="6"/>
  <c r="I112" i="6"/>
  <c r="C112" i="6"/>
  <c r="C102" i="6"/>
  <c r="R62" i="6"/>
  <c r="R69" i="6" s="1"/>
  <c r="R68" i="6"/>
  <c r="F94" i="6"/>
  <c r="F182" i="6"/>
  <c r="F183" i="6"/>
  <c r="H99" i="6"/>
  <c r="H117" i="6" s="1"/>
  <c r="F98" i="6"/>
  <c r="F116" i="6" s="1"/>
  <c r="F134" i="6" s="1"/>
  <c r="E99" i="6"/>
  <c r="E117" i="6" s="1"/>
  <c r="E135" i="6" s="1"/>
  <c r="U62" i="6"/>
  <c r="U69" i="6" s="1"/>
  <c r="Y65" i="6"/>
  <c r="G98" i="6"/>
  <c r="G116" i="6" s="1"/>
  <c r="G134" i="6" s="1"/>
  <c r="G200" i="6" s="1"/>
  <c r="W132" i="6"/>
  <c r="D182" i="6"/>
  <c r="D183" i="6"/>
  <c r="I72" i="7"/>
  <c r="I109" i="7" s="1"/>
  <c r="I71" i="7"/>
  <c r="I108" i="7" s="1"/>
  <c r="I99" i="6"/>
  <c r="I117" i="6" s="1"/>
  <c r="J99" i="6"/>
  <c r="J117" i="6" s="1"/>
  <c r="E132" i="6"/>
  <c r="E98" i="6"/>
  <c r="E116" i="6" s="1"/>
  <c r="H84" i="6"/>
  <c r="D84" i="6"/>
  <c r="F84" i="6"/>
  <c r="C85" i="6"/>
  <c r="G84" i="6"/>
  <c r="I84" i="6"/>
  <c r="J84" i="6"/>
  <c r="E84" i="6"/>
  <c r="L84" i="6"/>
  <c r="K84" i="6"/>
  <c r="P62" i="6"/>
  <c r="P69" i="6" s="1"/>
  <c r="P68" i="6"/>
  <c r="E182" i="6"/>
  <c r="E183" i="6"/>
  <c r="C181" i="6"/>
  <c r="C200" i="6" s="1"/>
  <c r="G181" i="6"/>
  <c r="H181" i="6"/>
  <c r="J181" i="6"/>
  <c r="E181" i="6"/>
  <c r="D181" i="6"/>
  <c r="I181" i="6"/>
  <c r="F181" i="6"/>
  <c r="D99" i="6"/>
  <c r="D117" i="6" s="1"/>
  <c r="V62" i="6"/>
  <c r="V69" i="6" s="1"/>
  <c r="T62" i="6"/>
  <c r="T69" i="6" s="1"/>
  <c r="G112" i="6"/>
  <c r="E136" i="6"/>
  <c r="AA135" i="6" l="1"/>
  <c r="D216" i="6"/>
  <c r="C303" i="6"/>
  <c r="AA136" i="6"/>
  <c r="AA137" i="6" s="1"/>
  <c r="D217" i="6"/>
  <c r="Y68" i="6"/>
  <c r="D112" i="6"/>
  <c r="D102" i="6"/>
  <c r="H102" i="6"/>
  <c r="H112" i="6"/>
  <c r="E130" i="6"/>
  <c r="E138" i="6" s="1"/>
  <c r="AC133" i="6"/>
  <c r="E120" i="6"/>
  <c r="G102" i="6"/>
  <c r="K85" i="6"/>
  <c r="K86" i="6" s="1"/>
  <c r="G85" i="6"/>
  <c r="G86" i="6" s="1"/>
  <c r="E85" i="6"/>
  <c r="E86" i="6" s="1"/>
  <c r="I85" i="6"/>
  <c r="I86" i="6" s="1"/>
  <c r="J85" i="6"/>
  <c r="J86" i="6" s="1"/>
  <c r="F85" i="6"/>
  <c r="F86" i="6" s="1"/>
  <c r="D85" i="6"/>
  <c r="D86" i="6" s="1"/>
  <c r="L85" i="6"/>
  <c r="L86" i="6" s="1"/>
  <c r="H85" i="6"/>
  <c r="H86" i="6" s="1"/>
  <c r="C86" i="6"/>
  <c r="I180" i="7"/>
  <c r="D129" i="7"/>
  <c r="Z135" i="6"/>
  <c r="E201" i="6"/>
  <c r="L102" i="6"/>
  <c r="L112" i="6"/>
  <c r="K102" i="6"/>
  <c r="X62" i="6"/>
  <c r="X47" i="6"/>
  <c r="Z131" i="6"/>
  <c r="E195" i="6"/>
  <c r="H303" i="6"/>
  <c r="F200" i="6"/>
  <c r="C130" i="6"/>
  <c r="C120" i="6"/>
  <c r="J200" i="6"/>
  <c r="J102" i="6"/>
  <c r="J112" i="6"/>
  <c r="K120" i="6"/>
  <c r="K130" i="6"/>
  <c r="X68" i="6"/>
  <c r="L134" i="6"/>
  <c r="D215" i="6" s="1"/>
  <c r="AD137" i="6"/>
  <c r="G303" i="6"/>
  <c r="Y62" i="6"/>
  <c r="I200" i="6"/>
  <c r="Y61" i="6"/>
  <c r="Z61" i="6" s="1"/>
  <c r="Z62" i="6" s="1"/>
  <c r="Z132" i="6"/>
  <c r="E196" i="6"/>
  <c r="G129" i="7"/>
  <c r="J180" i="7"/>
  <c r="E202" i="6"/>
  <c r="Z136" i="6"/>
  <c r="Z137" i="6" s="1"/>
  <c r="I181" i="7"/>
  <c r="D130" i="7"/>
  <c r="O69" i="6"/>
  <c r="I102" i="6"/>
  <c r="D200" i="6"/>
  <c r="Y45" i="6"/>
  <c r="F112" i="6"/>
  <c r="F102" i="6"/>
  <c r="C104" i="6" s="1"/>
  <c r="X51" i="6"/>
  <c r="X66" i="6"/>
  <c r="Y66" i="6" s="1"/>
  <c r="Z65" i="6" s="1"/>
  <c r="Z66" i="6" s="1"/>
  <c r="C8" i="40"/>
  <c r="C10" i="40" s="1"/>
  <c r="C16" i="40" s="1"/>
  <c r="D10" i="39"/>
  <c r="D16" i="39" s="1"/>
  <c r="G120" i="6"/>
  <c r="G130" i="6"/>
  <c r="C226" i="6"/>
  <c r="D271" i="6" s="1"/>
  <c r="D74" i="7" s="1"/>
  <c r="K303" i="6"/>
  <c r="E134" i="6"/>
  <c r="AC137" i="6"/>
  <c r="I120" i="6"/>
  <c r="I130" i="6"/>
  <c r="Y49" i="6"/>
  <c r="X132" i="6"/>
  <c r="L132" i="6" s="1"/>
  <c r="X131" i="6"/>
  <c r="L131" i="6" s="1"/>
  <c r="G130" i="7"/>
  <c r="J181" i="7"/>
  <c r="D213" i="6" l="1"/>
  <c r="AA132" i="6"/>
  <c r="AA133" i="6" s="1"/>
  <c r="AA131" i="6"/>
  <c r="D212" i="6"/>
  <c r="C211" i="6"/>
  <c r="K138" i="6"/>
  <c r="C219" i="6" s="1"/>
  <c r="C230" i="6" s="1"/>
  <c r="C352" i="6"/>
  <c r="H130" i="6"/>
  <c r="H120" i="6"/>
  <c r="I303" i="6"/>
  <c r="F130" i="6"/>
  <c r="F120" i="6"/>
  <c r="C122" i="6" s="1"/>
  <c r="C139" i="6" s="1"/>
  <c r="J120" i="6"/>
  <c r="J130" i="6"/>
  <c r="C353" i="6"/>
  <c r="D228" i="6"/>
  <c r="I138" i="6"/>
  <c r="I204" i="6" s="1"/>
  <c r="I194" i="6"/>
  <c r="Z45" i="6"/>
  <c r="Z49" i="6" s="1"/>
  <c r="E302" i="6"/>
  <c r="E204" i="6"/>
  <c r="D120" i="6"/>
  <c r="D130" i="6"/>
  <c r="D303" i="6"/>
  <c r="C312" i="6" s="1"/>
  <c r="J303" i="6"/>
  <c r="G194" i="6"/>
  <c r="G138" i="6"/>
  <c r="G204" i="6" s="1"/>
  <c r="AD133" i="6"/>
  <c r="L120" i="6"/>
  <c r="L130" i="6"/>
  <c r="E303" i="6"/>
  <c r="G131" i="7"/>
  <c r="Y69" i="6"/>
  <c r="Z68" i="6" s="1"/>
  <c r="Z69" i="6" s="1"/>
  <c r="D226" i="6"/>
  <c r="L303" i="6"/>
  <c r="C138" i="6"/>
  <c r="C204" i="6" s="1"/>
  <c r="C194" i="6"/>
  <c r="D227" i="6"/>
  <c r="F272" i="6"/>
  <c r="F75" i="7" s="1"/>
  <c r="D136" i="7"/>
  <c r="D131" i="7"/>
  <c r="Z133" i="6"/>
  <c r="F303" i="6"/>
  <c r="X69" i="6"/>
  <c r="D135" i="7"/>
  <c r="E317" i="6" l="1"/>
  <c r="C20" i="41"/>
  <c r="C20" i="7"/>
  <c r="C197" i="6"/>
  <c r="I302" i="6"/>
  <c r="I304" i="6" s="1"/>
  <c r="I308" i="6" s="1"/>
  <c r="D194" i="6"/>
  <c r="D138" i="6"/>
  <c r="D204" i="6" s="1"/>
  <c r="F138" i="6"/>
  <c r="F204" i="6" s="1"/>
  <c r="F194" i="6"/>
  <c r="C222" i="6"/>
  <c r="D267" i="6" s="1"/>
  <c r="D70" i="7" s="1"/>
  <c r="K302" i="6"/>
  <c r="H194" i="6"/>
  <c r="H138" i="6"/>
  <c r="H204" i="6" s="1"/>
  <c r="D223" i="6"/>
  <c r="F268" i="6" s="1"/>
  <c r="F71" i="7" s="1"/>
  <c r="D211" i="6"/>
  <c r="L138" i="6"/>
  <c r="D219" i="6" s="1"/>
  <c r="D230" i="6" s="1"/>
  <c r="D137" i="7"/>
  <c r="G302" i="6"/>
  <c r="F273" i="6"/>
  <c r="F76" i="7" s="1"/>
  <c r="C21" i="7"/>
  <c r="C21" i="41"/>
  <c r="C354" i="6"/>
  <c r="E304" i="6"/>
  <c r="E308" i="6" s="1"/>
  <c r="E307" i="6"/>
  <c r="J138" i="6"/>
  <c r="J204" i="6" s="1"/>
  <c r="J194" i="6"/>
  <c r="D224" i="6"/>
  <c r="F269" i="6"/>
  <c r="F72" i="7" s="1"/>
  <c r="L302" i="6" l="1"/>
  <c r="D222" i="6"/>
  <c r="C20" i="38"/>
  <c r="G304" i="6"/>
  <c r="G308" i="6" s="1"/>
  <c r="H302" i="6"/>
  <c r="D197" i="6"/>
  <c r="C233" i="6"/>
  <c r="K304" i="6"/>
  <c r="K308" i="6" s="1"/>
  <c r="J302" i="6"/>
  <c r="D18" i="36"/>
  <c r="D19" i="36" s="1"/>
  <c r="D21" i="36" s="1"/>
  <c r="D9" i="38" s="1"/>
  <c r="D18" i="39"/>
  <c r="D19" i="39" s="1"/>
  <c r="D21" i="39" s="1"/>
  <c r="D9" i="7" s="1"/>
  <c r="D10" i="7" s="1"/>
  <c r="C18" i="40"/>
  <c r="C19" i="40" s="1"/>
  <c r="C21" i="40" s="1"/>
  <c r="C9" i="41" s="1"/>
  <c r="C18" i="39"/>
  <c r="C19" i="39" s="1"/>
  <c r="C21" i="39" s="1"/>
  <c r="C9" i="7" s="1"/>
  <c r="C10" i="7" s="1"/>
  <c r="C18" i="36"/>
  <c r="C19" i="36" s="1"/>
  <c r="C21" i="36" s="1"/>
  <c r="C9" i="38" s="1"/>
  <c r="C10" i="38" s="1"/>
  <c r="I307" i="6"/>
  <c r="C21" i="38"/>
  <c r="F302" i="6"/>
  <c r="C198" i="6"/>
  <c r="C251" i="6" s="1"/>
  <c r="C54" i="7" s="1"/>
  <c r="C250" i="6"/>
  <c r="C53" i="7" s="1"/>
  <c r="C302" i="6"/>
  <c r="C24" i="38" l="1"/>
  <c r="C24" i="7"/>
  <c r="C25" i="7"/>
  <c r="H304" i="6"/>
  <c r="H308" i="6" s="1"/>
  <c r="C304" i="6"/>
  <c r="C308" i="6" s="1"/>
  <c r="D198" i="6"/>
  <c r="D251" i="6" s="1"/>
  <c r="D54" i="7" s="1"/>
  <c r="D250" i="6"/>
  <c r="D53" i="7" s="1"/>
  <c r="K307" i="6"/>
  <c r="J304" i="6"/>
  <c r="J308" i="6" s="1"/>
  <c r="F304" i="6"/>
  <c r="F308" i="6" s="1"/>
  <c r="D25" i="7"/>
  <c r="D26" i="7" s="1"/>
  <c r="E8" i="7"/>
  <c r="D24" i="7"/>
  <c r="D234" i="6"/>
  <c r="D235" i="6"/>
  <c r="G307" i="6"/>
  <c r="C25" i="38"/>
  <c r="L304" i="6"/>
  <c r="L308" i="6" s="1"/>
  <c r="J307" i="6" l="1"/>
  <c r="H307" i="6"/>
  <c r="C322" i="6"/>
  <c r="C255" i="6"/>
  <c r="C58" i="7" s="1"/>
  <c r="G255" i="6"/>
  <c r="G58" i="7" s="1"/>
  <c r="H255" i="6"/>
  <c r="H58" i="7" s="1"/>
  <c r="C271" i="6"/>
  <c r="C74" i="7" s="1"/>
  <c r="I255" i="6"/>
  <c r="E246" i="6"/>
  <c r="E49" i="7" s="1"/>
  <c r="J255" i="6"/>
  <c r="J58" i="7" s="1"/>
  <c r="E256" i="6"/>
  <c r="E59" i="7" s="1"/>
  <c r="F255" i="6"/>
  <c r="F58" i="7" s="1"/>
  <c r="E247" i="6"/>
  <c r="E50" i="7" s="1"/>
  <c r="E257" i="6"/>
  <c r="E60" i="7" s="1"/>
  <c r="D255" i="6"/>
  <c r="D58" i="7" s="1"/>
  <c r="C275" i="6"/>
  <c r="C78" i="7" s="1"/>
  <c r="I245" i="6"/>
  <c r="E273" i="6"/>
  <c r="E76" i="7" s="1"/>
  <c r="C259" i="6"/>
  <c r="C62" i="7" s="1"/>
  <c r="E272" i="6"/>
  <c r="E75" i="7" s="1"/>
  <c r="G259" i="6"/>
  <c r="G62" i="7" s="1"/>
  <c r="G245" i="6"/>
  <c r="G48" i="7" s="1"/>
  <c r="I259" i="6"/>
  <c r="I62" i="7" s="1"/>
  <c r="C249" i="6"/>
  <c r="C52" i="7" s="1"/>
  <c r="E259" i="6"/>
  <c r="E62" i="7" s="1"/>
  <c r="E269" i="6"/>
  <c r="E72" i="7" s="1"/>
  <c r="F259" i="6"/>
  <c r="F62" i="7" s="1"/>
  <c r="E275" i="6"/>
  <c r="E78" i="7" s="1"/>
  <c r="F245" i="6"/>
  <c r="F48" i="7" s="1"/>
  <c r="H259" i="6"/>
  <c r="H62" i="7" s="1"/>
  <c r="C267" i="6"/>
  <c r="C70" i="7" s="1"/>
  <c r="J259" i="6"/>
  <c r="J62" i="7" s="1"/>
  <c r="D259" i="6"/>
  <c r="D62" i="7" s="1"/>
  <c r="H245" i="6"/>
  <c r="H48" i="7" s="1"/>
  <c r="E268" i="6"/>
  <c r="E71" i="7" s="1"/>
  <c r="D249" i="6"/>
  <c r="D52" i="7" s="1"/>
  <c r="J245" i="6"/>
  <c r="J48" i="7" s="1"/>
  <c r="D302" i="6"/>
  <c r="C26" i="7"/>
  <c r="D8" i="38"/>
  <c r="E10" i="7"/>
  <c r="L307" i="6"/>
  <c r="C26" i="38"/>
  <c r="F307" i="6"/>
  <c r="C307" i="6"/>
  <c r="D304" i="6" l="1"/>
  <c r="D308" i="6" s="1"/>
  <c r="C311" i="6"/>
  <c r="C8" i="41"/>
  <c r="C10" i="41" s="1"/>
  <c r="D24" i="38"/>
  <c r="D10" i="38"/>
  <c r="E8" i="38" s="1"/>
  <c r="D25" i="38"/>
  <c r="H329" i="6"/>
  <c r="C328" i="6"/>
  <c r="G328" i="6"/>
  <c r="F328" i="6"/>
  <c r="G329" i="6"/>
  <c r="G330" i="6" s="1"/>
  <c r="L329" i="6"/>
  <c r="K329" i="6"/>
  <c r="E329" i="6"/>
  <c r="H328" i="6"/>
  <c r="E328" i="6"/>
  <c r="F329" i="6"/>
  <c r="F330" i="6" s="1"/>
  <c r="C329" i="6"/>
  <c r="D329" i="6"/>
  <c r="L328" i="6"/>
  <c r="K328" i="6"/>
  <c r="D328" i="6"/>
  <c r="K247" i="6"/>
  <c r="K50" i="7" s="1"/>
  <c r="I48" i="7"/>
  <c r="I58" i="7"/>
  <c r="K257" i="6"/>
  <c r="K60" i="7" s="1"/>
  <c r="C24" i="41" l="1"/>
  <c r="C25" i="41"/>
  <c r="C330" i="6"/>
  <c r="J329" i="6"/>
  <c r="J330" i="6" s="1"/>
  <c r="J328" i="6"/>
  <c r="C316" i="6"/>
  <c r="E316" i="6"/>
  <c r="C313" i="6"/>
  <c r="C317" i="6" s="1"/>
  <c r="I329" i="6"/>
  <c r="C333" i="6" s="1"/>
  <c r="H330" i="6"/>
  <c r="D330" i="6"/>
  <c r="E330" i="6"/>
  <c r="D26" i="38"/>
  <c r="D307" i="6"/>
  <c r="K330" i="6"/>
  <c r="D8" i="41"/>
  <c r="D10" i="41" s="1"/>
  <c r="E10" i="38"/>
  <c r="E25" i="38"/>
  <c r="E26" i="38" s="1"/>
  <c r="E24" i="38"/>
  <c r="I328" i="6"/>
  <c r="C332" i="6" s="1"/>
  <c r="L330" i="6"/>
  <c r="C29" i="38"/>
  <c r="C334" i="6" l="1"/>
  <c r="C32" i="38"/>
  <c r="C30" i="38"/>
  <c r="E8" i="41"/>
  <c r="E10" i="41" s="1"/>
  <c r="D25" i="41"/>
  <c r="D26" i="41" s="1"/>
  <c r="D24" i="41"/>
  <c r="I330" i="6"/>
  <c r="C26" i="41"/>
  <c r="L317" i="6"/>
  <c r="L316" i="6"/>
  <c r="E25" i="41" l="1"/>
  <c r="E26" i="41" s="1"/>
  <c r="C32" i="41" s="1"/>
  <c r="E24" i="41"/>
  <c r="C29" i="41" s="1"/>
  <c r="C323" i="6"/>
  <c r="E16" i="7"/>
  <c r="E24" i="7" s="1"/>
  <c r="C324" i="6"/>
  <c r="E17" i="7"/>
  <c r="E25" i="7" s="1"/>
  <c r="C30" i="41"/>
  <c r="C203" i="7" l="1"/>
  <c r="C141" i="7"/>
  <c r="C29" i="7"/>
  <c r="C339" i="6"/>
  <c r="K339" i="6"/>
  <c r="E339" i="6"/>
  <c r="L339" i="6"/>
  <c r="L340" i="6" s="1"/>
  <c r="F339" i="6"/>
  <c r="F340" i="6" s="1"/>
  <c r="G339" i="6"/>
  <c r="I339" i="6"/>
  <c r="H339" i="6"/>
  <c r="J339" i="6"/>
  <c r="J340" i="6" s="1"/>
  <c r="D339" i="6"/>
  <c r="E26" i="7"/>
  <c r="C142" i="7"/>
  <c r="C204" i="7"/>
  <c r="C205" i="7" s="1"/>
  <c r="C30" i="7"/>
  <c r="L338" i="6"/>
  <c r="K338" i="6"/>
  <c r="F338" i="6"/>
  <c r="C338" i="6"/>
  <c r="D338" i="6"/>
  <c r="E338" i="6"/>
  <c r="I338" i="6"/>
  <c r="G338" i="6"/>
  <c r="J338" i="6"/>
  <c r="H338" i="6"/>
  <c r="D340" i="6" l="1"/>
  <c r="K340" i="6"/>
  <c r="C342" i="6"/>
  <c r="C340" i="6"/>
  <c r="C343" i="6"/>
  <c r="C344" i="6" s="1"/>
  <c r="C346" i="6" s="1"/>
  <c r="E340" i="6"/>
  <c r="H340" i="6"/>
  <c r="I340" i="6"/>
  <c r="C143" i="7"/>
  <c r="C37" i="7"/>
  <c r="C32" i="7"/>
  <c r="G340" i="6"/>
  <c r="D93" i="7" l="1"/>
  <c r="E112" i="7"/>
  <c r="E90" i="7"/>
  <c r="C94" i="7"/>
  <c r="F89" i="7"/>
  <c r="E109" i="7"/>
  <c r="I96" i="7"/>
  <c r="H89" i="7"/>
  <c r="F96" i="7"/>
  <c r="O65" i="7"/>
  <c r="E98" i="7"/>
  <c r="E113" i="7"/>
  <c r="C111" i="7"/>
  <c r="C96" i="7"/>
  <c r="E108" i="7"/>
  <c r="G89" i="7"/>
  <c r="G96" i="7"/>
  <c r="D96" i="7"/>
  <c r="D94" i="7"/>
  <c r="E97" i="7"/>
  <c r="C107" i="7"/>
  <c r="I89" i="7"/>
  <c r="C36" i="7"/>
  <c r="C38" i="7" s="1"/>
  <c r="C93" i="7"/>
  <c r="H96" i="7"/>
  <c r="E91" i="7"/>
  <c r="C121" i="7" l="1"/>
  <c r="G121" i="7"/>
  <c r="H121" i="7"/>
  <c r="J89" i="7"/>
  <c r="I121" i="7"/>
  <c r="C122" i="7"/>
  <c r="C123" i="7" s="1"/>
  <c r="C129" i="7"/>
  <c r="C130" i="7"/>
  <c r="F121" i="7"/>
  <c r="E122" i="7"/>
  <c r="E121" i="7"/>
  <c r="J96" i="7"/>
  <c r="I122" i="7"/>
  <c r="I123" i="7" s="1"/>
  <c r="D122" i="7"/>
  <c r="D123" i="7" s="1"/>
  <c r="F130" i="7"/>
  <c r="F129" i="7"/>
  <c r="H122" i="7"/>
  <c r="H123" i="7" s="1"/>
  <c r="G122" i="7"/>
  <c r="G123" i="7" s="1"/>
  <c r="F122" i="7"/>
  <c r="F123" i="7" s="1"/>
  <c r="D121" i="7"/>
  <c r="C131" i="7" l="1"/>
  <c r="J121" i="7"/>
  <c r="C135" i="7" s="1"/>
  <c r="E135" i="7" s="1"/>
  <c r="C146" i="7" s="1"/>
  <c r="E146" i="7" s="1"/>
  <c r="J122" i="7"/>
  <c r="J123" i="7" s="1"/>
  <c r="E123" i="7"/>
  <c r="F131" i="7"/>
  <c r="I161" i="7" l="1"/>
  <c r="I193" i="7" s="1"/>
  <c r="F161" i="7"/>
  <c r="F193" i="7" s="1"/>
  <c r="E162" i="7"/>
  <c r="E193" i="7" s="1"/>
  <c r="C165" i="7"/>
  <c r="E163" i="7"/>
  <c r="D166" i="7"/>
  <c r="G161" i="7"/>
  <c r="G193" i="7" s="1"/>
  <c r="E180" i="7"/>
  <c r="L193" i="7" s="1"/>
  <c r="D165" i="7"/>
  <c r="E181" i="7"/>
  <c r="H161" i="7"/>
  <c r="H193" i="7" s="1"/>
  <c r="C179" i="7"/>
  <c r="K193" i="7" s="1"/>
  <c r="C166" i="7"/>
  <c r="J161" i="7"/>
  <c r="J193" i="7" s="1"/>
  <c r="C136" i="7"/>
  <c r="C137" i="7" l="1"/>
  <c r="E137" i="7" s="1"/>
  <c r="C148" i="7" s="1"/>
  <c r="E136" i="7"/>
  <c r="C147" i="7" s="1"/>
  <c r="E147" i="7" s="1"/>
  <c r="C193" i="7"/>
  <c r="C197" i="7" s="1"/>
  <c r="C208" i="7" s="1"/>
  <c r="E208" i="7" s="1"/>
  <c r="D193" i="7"/>
  <c r="G168" i="7" l="1"/>
  <c r="G194" i="7" s="1"/>
  <c r="G195" i="7" s="1"/>
  <c r="E184" i="7"/>
  <c r="F168" i="7"/>
  <c r="F194" i="7" s="1"/>
  <c r="F195" i="7" s="1"/>
  <c r="C168" i="7"/>
  <c r="C194" i="7" s="1"/>
  <c r="H168" i="7"/>
  <c r="H194" i="7" s="1"/>
  <c r="H195" i="7" s="1"/>
  <c r="E169" i="7"/>
  <c r="E194" i="7" s="1"/>
  <c r="E195" i="7" s="1"/>
  <c r="I168" i="7"/>
  <c r="I194" i="7" s="1"/>
  <c r="I195" i="7" s="1"/>
  <c r="E185" i="7"/>
  <c r="C183" i="7"/>
  <c r="K194" i="7" s="1"/>
  <c r="K195" i="7" s="1"/>
  <c r="E170" i="7"/>
  <c r="D168" i="7"/>
  <c r="D194" i="7" s="1"/>
  <c r="D195" i="7" s="1"/>
  <c r="J168" i="7"/>
  <c r="J194" i="7" s="1"/>
  <c r="J195" i="7" s="1"/>
  <c r="C195" i="7" l="1"/>
  <c r="L194" i="7"/>
  <c r="L195" i="7" s="1"/>
  <c r="C198" i="7" l="1"/>
  <c r="C199" i="7" l="1"/>
  <c r="C210" i="7" s="1"/>
  <c r="E210" i="7" s="1"/>
  <c r="C209" i="7"/>
  <c r="E20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Vogdes, Thomas C.</author>
  </authors>
  <commentList>
    <comment ref="L102" authorId="0" shapeId="0" xr:uid="{00000000-0006-0000-0000-000001000000}">
      <text>
        <r>
          <rPr>
            <b/>
            <sz val="9"/>
            <color indexed="81"/>
            <rFont val="Tahoma"/>
            <family val="2"/>
          </rPr>
          <t>Vogdes, Thomas C.:</t>
        </r>
        <r>
          <rPr>
            <sz val="9"/>
            <color indexed="81"/>
            <rFont val="Tahoma"/>
            <family val="2"/>
          </rPr>
          <t xml:space="preserve">
updated for completeness but transmission not used.</t>
        </r>
      </text>
    </comment>
  </commentList>
</comments>
</file>

<file path=xl/sharedStrings.xml><?xml version="1.0" encoding="utf-8"?>
<sst xmlns="http://schemas.openxmlformats.org/spreadsheetml/2006/main" count="1078" uniqueCount="413">
  <si>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</si>
  <si>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</si>
  <si>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</si>
  <si>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</si>
  <si>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</si>
  <si>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</si>
  <si>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</si>
  <si>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</si>
  <si>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</si>
  <si>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</si>
  <si>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</si>
  <si>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</si>
  <si>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</si>
  <si>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</si>
  <si>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</si>
  <si>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</si>
  <si>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</si>
  <si>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</si>
  <si>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</si>
  <si>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</si>
  <si>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</si>
  <si>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</si>
  <si>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</si>
  <si>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</si>
  <si>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</si>
  <si>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</si>
  <si>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</si>
  <si>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</si>
  <si>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</si>
  <si>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</si>
  <si>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</si>
  <si>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</si>
  <si>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</si>
  <si>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</si>
  <si>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</si>
  <si>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</si>
  <si>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</si>
  <si>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</si>
  <si>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</si>
  <si>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</si>
  <si>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</si>
  <si>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</si>
  <si>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</si>
  <si>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</si>
  <si>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</si>
  <si>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</si>
  <si>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</si>
  <si>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</si>
  <si>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</si>
  <si>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</si>
  <si>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</si>
  <si>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</si>
  <si>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</si>
  <si>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</si>
  <si>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</si>
  <si>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</si>
  <si>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</si>
  <si>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</si>
  <si>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</si>
  <si>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</si>
  <si>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</si>
  <si>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</si>
  <si>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</si>
  <si>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</si>
  <si>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</si>
  <si>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</si>
  <si>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</si>
  <si>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</si>
  <si>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</si>
  <si>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</si>
  <si>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</si>
  <si>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</si>
  <si>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</si>
  <si>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</si>
  <si>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</si>
  <si>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</si>
  <si>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</si>
  <si>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</si>
  <si>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</si>
  <si>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</si>
  <si>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</si>
  <si>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</si>
  <si>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</si>
  <si>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</si>
  <si>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</si>
  <si>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</si>
  <si>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</si>
  <si>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</si>
  <si>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</si>
  <si>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</si>
  <si>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</si>
  <si>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</si>
  <si>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</si>
  <si>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</si>
  <si>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</si>
  <si>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</si>
  <si>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</si>
  <si>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</si>
  <si>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</si>
  <si>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</si>
  <si>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</si>
  <si>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</si>
  <si>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</si>
  <si>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</si>
  <si>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</si>
  <si>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</si>
  <si>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</si>
  <si>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</si>
  <si>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</si>
  <si>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</si>
  <si>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</si>
  <si>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</si>
  <si>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</si>
  <si>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</si>
  <si>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</si>
  <si>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</si>
  <si>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</si>
  <si>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</si>
  <si>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</si>
  <si>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</si>
  <si>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</si>
  <si>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</si>
  <si>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</si>
  <si>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</si>
  <si>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</si>
  <si>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</si>
  <si>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</si>
  <si>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</si>
  <si>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</si>
  <si>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</si>
  <si>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</si>
  <si>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</si>
  <si>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</si>
  <si>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</si>
  <si>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</si>
  <si>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</si>
  <si>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</si>
  <si>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</si>
  <si>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</si>
  <si>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</si>
  <si>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</si>
  <si>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</si>
  <si>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</si>
  <si>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</si>
  <si>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</si>
  <si>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</si>
  <si>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</si>
  <si>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</si>
  <si>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</si>
  <si>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</si>
  <si>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</si>
  <si>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</si>
  <si>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</si>
  <si>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</si>
  <si>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</si>
  <si>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</si>
  <si>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</si>
  <si>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</si>
  <si>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</si>
  <si>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</si>
  <si>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</si>
  <si>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</si>
  <si>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</si>
  <si>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</si>
  <si>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</si>
  <si>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</si>
  <si>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</si>
  <si>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</si>
  <si>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</si>
  <si>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</si>
  <si>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</si>
  <si>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</si>
  <si>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</si>
  <si>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</si>
  <si>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</si>
  <si>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</si>
  <si>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</si>
  <si>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</si>
  <si>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</si>
  <si>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</si>
  <si>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</si>
  <si>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</si>
  <si>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</si>
  <si>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</si>
  <si>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</si>
  <si>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</si>
  <si>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</si>
  <si>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</si>
  <si>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</si>
  <si>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</si>
  <si>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</si>
  <si>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</si>
  <si>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</si>
  <si>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</si>
  <si>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</si>
  <si>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</si>
  <si>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</si>
  <si>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</si>
  <si>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</si>
  <si>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</si>
  <si>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</si>
  <si>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</si>
  <si>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</si>
  <si>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</si>
  <si>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</si>
  <si>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</si>
  <si>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</si>
  <si>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</si>
  <si>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</si>
  <si>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</si>
  <si>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</si>
  <si>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</si>
  <si>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</si>
  <si>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</si>
  <si>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</si>
  <si>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</si>
  <si>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</si>
  <si>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</si>
  <si>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</si>
  <si>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</si>
  <si>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</si>
  <si>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</si>
  <si>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</si>
  <si>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</si>
  <si>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</si>
  <si>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</si>
  <si>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</si>
  <si>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</si>
  <si>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</si>
  <si>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</si>
  <si>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</si>
  <si>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</si>
  <si>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</si>
  <si>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</si>
  <si>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</si>
  <si>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</si>
  <si>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</si>
  <si>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</si>
  <si>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</si>
  <si>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</si>
  <si>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</si>
  <si>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</si>
  <si>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</si>
  <si>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</si>
  <si>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</si>
  <si>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</si>
  <si>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</si>
  <si>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</si>
  <si>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</si>
  <si>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</si>
  <si>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</si>
  <si>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</si>
  <si>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</si>
  <si>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</si>
  <si>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</si>
  <si>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</si>
  <si>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</si>
  <si>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</si>
  <si>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</si>
  <si>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</si>
  <si>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</si>
  <si>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</si>
  <si>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</si>
  <si>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</si>
  <si>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</si>
  <si>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</si>
  <si>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</si>
  <si>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</si>
  <si>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</si>
  <si>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</si>
  <si>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</si>
  <si>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</si>
  <si>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</si>
  <si>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</si>
  <si>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</si>
  <si>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</si>
  <si>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</si>
  <si>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</si>
  <si>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</si>
  <si>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</si>
  <si>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</si>
  <si>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</si>
  <si>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</si>
  <si>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</si>
  <si>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</si>
  <si>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</si>
  <si>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</si>
  <si>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</si>
  <si>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</si>
  <si>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</si>
  <si>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</si>
  <si>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</si>
  <si>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</si>
  <si>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</si>
  <si>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</si>
  <si>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</si>
  <si>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</si>
  <si>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</si>
  <si>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</si>
  <si>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</si>
  <si>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</si>
  <si>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</si>
  <si>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</si>
  <si>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</si>
  <si>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</si>
  <si>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Total - in $/MWh</t>
  </si>
  <si>
    <t>Base
Capacity</t>
  </si>
  <si>
    <t>Total Capacity</t>
  </si>
  <si>
    <t>BGS - CIEP BRA Clearing Price ($ per MW/Day)</t>
  </si>
  <si>
    <t>Annual Obligation Clearing Price</t>
  </si>
  <si>
    <t>Bill Impacts</t>
  </si>
  <si>
    <t>auction results and rates</t>
  </si>
  <si>
    <t xml:space="preserve">Congestion Factors &amp; On/Off Peak Ratios </t>
  </si>
  <si>
    <t>Total Tranches</t>
  </si>
  <si>
    <t>Ancillary Services &amp; Renewable Power Cost</t>
  </si>
  <si>
    <t xml:space="preserve">Ancillary Services </t>
  </si>
  <si>
    <t>Renewable Power Cost</t>
  </si>
  <si>
    <t>Total AncillaryServices &amp; Renewable Power Costs</t>
  </si>
  <si>
    <t>Basis</t>
  </si>
  <si>
    <t>Ancillary Services &amp; RPS =</t>
  </si>
  <si>
    <t>NJ SUT (Sales &amp; Use Tax) =</t>
  </si>
  <si>
    <t>SUT excluded from all rates</t>
  </si>
  <si>
    <t>NJ Sales &amp; Use Tax (SUT) excluded</t>
  </si>
  <si>
    <t>Use Estimated amount in cell e136</t>
  </si>
  <si>
    <t>Tariff (Result of 2018 Rate Case Loss Study)</t>
  </si>
  <si>
    <t>Tariff (Result of 2018 Loss Study)</t>
  </si>
  <si>
    <t>(based on W/N actuals used in settlement and final rate design of 2018 Rate Case, rounded to .1%)</t>
  </si>
  <si>
    <t>Base Capacity</t>
  </si>
  <si>
    <t>Blocking Percentages based on Annualized W/N Usage Used in 2018 Electric Rate Case Settlement</t>
  </si>
  <si>
    <t>1A</t>
  </si>
  <si>
    <t>Capacity Proxy Price True-Up - in $/MWh</t>
  </si>
  <si>
    <t>1B</t>
  </si>
  <si>
    <t>Eligible Tranches</t>
  </si>
  <si>
    <t>includes energy, Generation obligations, Ancillary Services and Renewable Power Costs- adjusted to billing time periods</t>
  </si>
  <si>
    <t>Including Generation Obligation $</t>
  </si>
  <si>
    <t>Annual - including Gen Obl $</t>
  </si>
  <si>
    <t>Development of  Capacity Proxy Price True-Up - $/MWh</t>
  </si>
  <si>
    <t>Capacity Proxy Price ($/MW-day)</t>
  </si>
  <si>
    <t>Capacity Proxy Price True-Up - $/MW-day</t>
  </si>
  <si>
    <t xml:space="preserve">= line 1 - line 2 </t>
  </si>
  <si>
    <t>BGS-RSCP Gen Obl - MW</t>
  </si>
  <si>
    <t>Days in Year</t>
  </si>
  <si>
    <t xml:space="preserve">Capacity Proxy Price True-Up Annual Cost </t>
  </si>
  <si>
    <t>= line 3 * line 4 * line 5</t>
  </si>
  <si>
    <t>from Table A</t>
  </si>
  <si>
    <t>% of tranches eligible for payment</t>
  </si>
  <si>
    <t>= line 7 / line 8</t>
  </si>
  <si>
    <t xml:space="preserve">Capacity Proxy Price True-Up Cost </t>
  </si>
  <si>
    <t>= line 6 * line 9</t>
  </si>
  <si>
    <t>Total Applicable Customer Usage @ bulk system - in MWh</t>
  </si>
  <si>
    <r>
      <t xml:space="preserve">Eligible Customer Usage @ bulk system </t>
    </r>
    <r>
      <rPr>
        <b/>
        <i/>
        <sz val="10"/>
        <rFont val="Arial"/>
        <family val="2"/>
      </rPr>
      <t>- in MWh</t>
    </r>
  </si>
  <si>
    <t>= line 9 * line 11</t>
  </si>
  <si>
    <t>Capacity Proxy Price True-Up - $/MWh</t>
  </si>
  <si>
    <t>= line 10/ line 12 - rounded to 2 decimal places</t>
  </si>
  <si>
    <t>Table A With Additional Line Item</t>
  </si>
  <si>
    <t>Specific BGS-RSCP Auction &gt;&gt;</t>
  </si>
  <si>
    <t>remaining portion of 36 month bid - 2021 auction</t>
  </si>
  <si>
    <t>winning Bids</t>
  </si>
  <si>
    <t>from then current Bid Factor Spreadsheet</t>
  </si>
  <si>
    <t>Applicable Customer Usage @ bulk system - in MWh</t>
  </si>
  <si>
    <t>from current Bid Factor Spreadsheet</t>
  </si>
  <si>
    <t>= sum(line 8) / (6) - rounded to 2 decimal places</t>
  </si>
  <si>
    <t>= sum(line 9) / (7) - rounded to 2 decimal places</t>
  </si>
  <si>
    <t xml:space="preserve">   rounded to 2 decimal places</t>
  </si>
  <si>
    <t>remaining portion of 36 month bid - 2022 auction</t>
  </si>
  <si>
    <t>36 month bid - 2023 auction</t>
  </si>
  <si>
    <t>Illustrative Purposes Only for PSE&amp;G</t>
  </si>
  <si>
    <t>Capacity Proxy True Up</t>
  </si>
  <si>
    <t>as may be determined by the RPM or its successor or otherwise</t>
  </si>
  <si>
    <t>Zonal Capacity Price ($/MW-day)</t>
  </si>
  <si>
    <t>Yes</t>
  </si>
  <si>
    <t>PJM - No update for 2022</t>
  </si>
  <si>
    <t>entered after 2023 Auction</t>
  </si>
  <si>
    <t>Illustrative Only</t>
  </si>
  <si>
    <t>2023 Illustrative</t>
  </si>
  <si>
    <t>= line 1 + line 1A</t>
  </si>
  <si>
    <t>2023/2024 Delivery Year - Illustrative Data</t>
  </si>
  <si>
    <t>Capacity Proxy Price True-Up Development for Winning Suppliers from 2021 BGS-RSCP Auction</t>
  </si>
  <si>
    <t>Capacity Proxy Price True-Up Development for Winning Suppliers from 2022 BGS-RSCP Auction</t>
  </si>
  <si>
    <t>per Board Orders dated 11/18/2020 and 11/17/2021</t>
  </si>
  <si>
    <t>2024/2025 Delivery Year - Illustrative Data</t>
  </si>
  <si>
    <t>Capacity Proxy Price True-Up Development for Winning Suppliers from 2023 BGS-RSCP Auction (if needed)</t>
  </si>
  <si>
    <t>2024/25
Delivery Year</t>
  </si>
  <si>
    <t>Calculation of June 2024 to May 2025 BGS-RSCP Rates</t>
  </si>
  <si>
    <t>remaining portion of 36 month bid - 2023 auction</t>
  </si>
  <si>
    <t>36 month bid - 2024 auction</t>
  </si>
  <si>
    <t>true-up will only be needed for 2023 BGS Auction winners if 2024/2025 BRA results not known at least 5 days prior to 2023 BGS-RSCP Auction.</t>
  </si>
  <si>
    <t>24/25 Capacity Proxy Price True-up - in $/MWh</t>
  </si>
  <si>
    <t>entered after 2024 BGS Auction</t>
  </si>
  <si>
    <t>= (1B * (2)/(3) * (4) * (6)) / 1000</t>
  </si>
  <si>
    <t>= (1B * (2)/(3) * (5) * (7)) / 1000</t>
  </si>
  <si>
    <t>Development of Capacity Proxy Price True-Up - $/MWh</t>
  </si>
  <si>
    <t>2025/2026 Delivery Year - Illustrative Data</t>
  </si>
  <si>
    <t>Capacity Proxy Price True-Up Development for Winning Suppliers from 2023 BGS-RSCP Auction</t>
  </si>
  <si>
    <t>Cell C5 is highlighted and will need to be updated with Capacity Proxy Price for 2025/2026.</t>
  </si>
  <si>
    <t>2025/26
Delivery Year</t>
  </si>
  <si>
    <t>per Board Order dated XX/XX/2022</t>
  </si>
  <si>
    <t>Calculation of June 2025 to May 2026 BGS-RSCP Rates</t>
  </si>
  <si>
    <t>Illustrative Purposes Only</t>
  </si>
  <si>
    <t>remaining portion of 36 month bid - 2024 auction</t>
  </si>
  <si>
    <t>36 month bid - 2025 auction</t>
  </si>
  <si>
    <t>25/26 Capacity Proxy Price True-up - in $/MWh</t>
  </si>
  <si>
    <t>entered after 2025 BGS Auction</t>
  </si>
  <si>
    <t>Capacity Proxy Price True-Up</t>
  </si>
  <si>
    <r>
      <t xml:space="preserve">Obligations - Peak Load shares eff 6/1/22, </t>
    </r>
    <r>
      <rPr>
        <i/>
        <sz val="10"/>
        <color rgb="FF143AF8"/>
        <rFont val="Arial"/>
        <family val="2"/>
      </rPr>
      <t>scaling factors eff 6/1/22</t>
    </r>
    <r>
      <rPr>
        <i/>
        <sz val="10"/>
        <color rgb="FF161BF6"/>
        <rFont val="Arial"/>
        <family val="2"/>
      </rPr>
      <t>, Transmission Loads eff 1/1/22; costs are market estimates</t>
    </r>
  </si>
  <si>
    <t>NYMEX Forwards June 1, 2022) from NERA</t>
  </si>
  <si>
    <t xml:space="preserve">  Summer Averages for Jun 2019 - Sep 2021</t>
  </si>
  <si>
    <t xml:space="preserve">  Winter Averages for Mar 2019 - Feb 2022</t>
  </si>
  <si>
    <t>for csa document paragraph 14</t>
  </si>
  <si>
    <t>per Board Orders dated 11/17/2021 and XX/XX/2022</t>
  </si>
  <si>
    <t xml:space="preserve">= ((1B * (2)/(3) * (4) * (6)) /1000 </t>
  </si>
  <si>
    <t>= ((1B * (2)/(3) * (5) * (7)) /1000</t>
  </si>
  <si>
    <t>Calendar month sales forecasted for 2022, less % for LPL-Sec &gt; 500 kW Peak Load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</si>
</sst>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_);[Red]\(#,##0.0\)"/>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u/>
      <sz val="12"/>
      <color indexed="12"/>
      <name val="Arial"/>
      <family val="2"/>
    </font>
    <font>
      <b/>
      <sz val="9"/>
      <name val="Arial"/>
      <family val="2"/>
    </font>
    <font>
      <b/>
      <sz val="12"/>
      <color indexed="8"/>
      <name val="Arial"/>
      <family val="2"/>
    </font>
    <font>
      <b/>
      <sz val="10"/>
      <color rgb="FFFF0000"/>
      <name val="Arial"/>
      <family val="2"/>
    </font>
    <font>
      <sz val="10"/>
      <name val="Times New Roman"/>
      <family val="1"/>
    </font>
    <font>
      <b/>
      <sz val="9"/>
      <color indexed="81"/>
      <name val="Tahoma"/>
      <family val="2"/>
    </font>
    <font>
      <sz val="9"/>
      <color indexed="81"/>
      <name val="Tahoma"/>
      <family val="2"/>
    </font>
    <font>
      <u val="singleAccounting"/>
      <sz val="10"/>
      <color theme="1"/>
      <name val="Arial"/>
      <family val="2"/>
    </font>
    <font>
      <sz val="10"/>
      <color indexed="39"/>
      <name val="Arial"/>
      <family val="2"/>
    </font>
    <font>
      <b/>
      <sz val="16"/>
      <color indexed="23"/>
      <name val="Arial"/>
      <family val="2"/>
    </font>
    <font>
      <i/>
      <sz val="10"/>
      <color rgb="FF161BF6"/>
      <name val="Arial"/>
      <family val="2"/>
    </font>
    <font>
      <b/>
      <sz val="16"/>
      <name val="Arial"/>
      <family val="2"/>
    </font>
    <font>
      <sz val="10"/>
      <color rgb="FFFF0000"/>
      <name val="Arial"/>
      <family val="2"/>
    </font>
    <font>
      <b/>
      <sz val="10"/>
      <color rgb="FF143AF8"/>
      <name val="Arial"/>
      <family val="2"/>
    </font>
    <font>
      <sz val="10"/>
      <color theme="0"/>
      <name val="Arial"/>
      <family val="2"/>
    </font>
    <font>
      <i/>
      <sz val="10"/>
      <color rgb="FF143AF8"/>
      <name val="Arial"/>
      <family val="2"/>
    </font>
    <font>
      <b/>
      <i/>
      <sz val="8"/>
      <name val="Arial"/>
      <family val="2"/>
    </font>
    <font>
      <b/>
      <sz val="8"/>
      <color theme="0"/>
      <name val="Arial"/>
      <family val="2"/>
    </font>
    <font>
      <sz val="8"/>
      <color theme="0"/>
      <name val="Arial"/>
      <family val="2"/>
    </font>
    <font>
      <b/>
      <sz val="10"/>
      <color theme="0"/>
      <name val="Arial"/>
      <family val="2"/>
    </font>
    <font>
      <b/>
      <sz val="9"/>
      <color theme="0"/>
      <name val="Arial"/>
      <family val="2"/>
    </font>
    <font>
      <sz val="10"/>
      <color rgb="FF161BF6"/>
      <name val="Arial"/>
      <family val="2"/>
    </font>
    <font>
      <i/>
      <sz val="8"/>
      <name val="Arial"/>
      <family val="2"/>
    </font>
    <font>
      <b/>
      <i/>
      <sz val="8"/>
      <color theme="0"/>
      <name val="Arial"/>
      <family val="2"/>
    </font>
    <font>
      <b/>
      <i/>
      <sz val="7.5"/>
      <color theme="0"/>
      <name val="Arial"/>
      <family val="2"/>
    </font>
    <font>
      <b/>
      <sz val="12"/>
      <color rgb="FFFF0000"/>
      <name val="Arial"/>
      <family val="2"/>
    </font>
    <font>
      <b/>
      <i/>
      <sz val="10"/>
      <color rgb="FFFF0000"/>
      <name val="Arial"/>
      <family val="2"/>
    </font>
    <font>
      <b/>
      <i/>
      <sz val="12"/>
      <color rgb="FFFF0000"/>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theme="9" tint="0.5999938962981048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3"/>
      </left>
      <right style="thin">
        <color indexed="63"/>
      </right>
      <top style="thin">
        <color indexed="64"/>
      </top>
      <bottom style="thin">
        <color indexed="63"/>
      </bottom>
      <diagonal/>
    </border>
    <border>
      <left/>
      <right/>
      <top style="thin">
        <color auto="1"/>
      </top>
      <bottom/>
      <diagonal/>
    </border>
  </borders>
  <cellStyleXfs count="164">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3" fontId="1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41"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30" fillId="0" borderId="0" applyNumberFormat="0" applyFill="0" applyBorder="0" applyAlignment="0" applyProtection="0"/>
    <xf numFmtId="2" fontId="18" fillId="0" borderId="0" applyFont="0" applyFill="0" applyBorder="0" applyAlignment="0" applyProtection="0"/>
    <xf numFmtId="0" fontId="31" fillId="4" borderId="0" applyNumberFormat="0" applyBorder="0" applyAlignment="0" applyProtection="0"/>
    <xf numFmtId="0" fontId="20" fillId="0" borderId="0" applyNumberFormat="0" applyFill="0" applyBorder="0" applyAlignment="0" applyProtection="0"/>
    <xf numFmtId="0" fontId="32" fillId="0" borderId="3" applyNumberFormat="0" applyFill="0" applyAlignment="0" applyProtection="0"/>
    <xf numFmtId="0" fontId="21"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5" fillId="0" borderId="0" applyNumberFormat="0" applyFill="0" applyBorder="0" applyAlignment="0" applyProtection="0">
      <alignment vertical="top"/>
      <protection locked="0"/>
    </xf>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42" fillId="0" borderId="0"/>
    <xf numFmtId="0" fontId="17" fillId="0" borderId="0"/>
    <xf numFmtId="0" fontId="6" fillId="23" borderId="7" applyNumberFormat="0" applyFont="0" applyAlignment="0" applyProtection="0"/>
    <xf numFmtId="0" fontId="38" fillId="20" borderId="8" applyNumberFormat="0" applyAlignment="0" applyProtection="0"/>
    <xf numFmtId="9" fontId="5"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24" fillId="0" borderId="0" applyNumberFormat="0" applyFill="0" applyBorder="0" applyAlignment="0" applyProtection="0"/>
    <xf numFmtId="0" fontId="18" fillId="0" borderId="9" applyNumberFormat="0" applyFont="0" applyFill="0" applyAlignment="0" applyProtection="0"/>
    <xf numFmtId="0" fontId="39" fillId="0" borderId="10" applyNumberFormat="0" applyFill="0" applyAlignment="0" applyProtection="0"/>
    <xf numFmtId="0" fontId="19"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6" fillId="0" borderId="0"/>
    <xf numFmtId="43" fontId="46" fillId="0" borderId="0" applyFont="0" applyFill="0" applyBorder="0" applyAlignment="0" applyProtection="0"/>
    <xf numFmtId="9" fontId="46" fillId="0" borderId="0" applyFont="0" applyFill="0" applyBorder="0" applyAlignment="0" applyProtection="0"/>
    <xf numFmtId="0" fontId="5" fillId="0" borderId="0"/>
    <xf numFmtId="0" fontId="5" fillId="0" borderId="0"/>
    <xf numFmtId="0" fontId="20" fillId="0" borderId="0" applyNumberFormat="0" applyFill="0" applyBorder="0" applyAlignment="0" applyProtection="0"/>
    <xf numFmtId="0" fontId="21"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5" fillId="27" borderId="8" applyNumberFormat="0" applyProtection="0">
      <alignment vertical="center"/>
    </xf>
    <xf numFmtId="0" fontId="18" fillId="0" borderId="9" applyNumberFormat="0" applyFont="0" applyFill="0" applyAlignment="0" applyProtection="0"/>
    <xf numFmtId="0" fontId="47" fillId="0" borderId="0" applyNumberFormat="0" applyFill="0" applyBorder="0" applyAlignment="0" applyProtection="0">
      <alignment vertical="top"/>
      <protection locked="0"/>
    </xf>
    <xf numFmtId="0" fontId="46"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6" fillId="0" borderId="0"/>
    <xf numFmtId="0" fontId="46" fillId="0" borderId="0"/>
    <xf numFmtId="0" fontId="3" fillId="0" borderId="0"/>
    <xf numFmtId="0" fontId="2" fillId="0" borderId="0"/>
    <xf numFmtId="4" fontId="55" fillId="27" borderId="8" applyNumberFormat="0" applyProtection="0">
      <alignment vertical="center"/>
    </xf>
    <xf numFmtId="4" fontId="25" fillId="27" borderId="8" applyNumberFormat="0" applyProtection="0">
      <alignment horizontal="left" vertical="center" indent="1"/>
    </xf>
    <xf numFmtId="4" fontId="25" fillId="27" borderId="8" applyNumberFormat="0" applyProtection="0">
      <alignment horizontal="left" vertical="center" indent="1"/>
    </xf>
    <xf numFmtId="0" fontId="5" fillId="28" borderId="8" applyNumberFormat="0" applyProtection="0">
      <alignment horizontal="left" vertical="center" indent="1"/>
    </xf>
    <xf numFmtId="4" fontId="25" fillId="29" borderId="8" applyNumberFormat="0" applyProtection="0">
      <alignment horizontal="right" vertical="center"/>
    </xf>
    <xf numFmtId="4" fontId="25" fillId="30" borderId="8" applyNumberFormat="0" applyProtection="0">
      <alignment horizontal="right" vertical="center"/>
    </xf>
    <xf numFmtId="4" fontId="25" fillId="31" borderId="8" applyNumberFormat="0" applyProtection="0">
      <alignment horizontal="right" vertical="center"/>
    </xf>
    <xf numFmtId="4" fontId="25" fillId="32" borderId="8" applyNumberFormat="0" applyProtection="0">
      <alignment horizontal="right" vertical="center"/>
    </xf>
    <xf numFmtId="4" fontId="25" fillId="33" borderId="8" applyNumberFormat="0" applyProtection="0">
      <alignment horizontal="right" vertical="center"/>
    </xf>
    <xf numFmtId="4" fontId="25" fillId="34" borderId="8" applyNumberFormat="0" applyProtection="0">
      <alignment horizontal="right" vertical="center"/>
    </xf>
    <xf numFmtId="4" fontId="25" fillId="35" borderId="8" applyNumberFormat="0" applyProtection="0">
      <alignment horizontal="right" vertical="center"/>
    </xf>
    <xf numFmtId="4" fontId="25" fillId="36" borderId="8" applyNumberFormat="0" applyProtection="0">
      <alignment horizontal="right" vertical="center"/>
    </xf>
    <xf numFmtId="4" fontId="25" fillId="37" borderId="8" applyNumberFormat="0" applyProtection="0">
      <alignment horizontal="right" vertical="center"/>
    </xf>
    <xf numFmtId="4" fontId="39" fillId="38" borderId="8" applyNumberFormat="0" applyProtection="0">
      <alignment horizontal="left" vertical="center" indent="1"/>
    </xf>
    <xf numFmtId="4" fontId="25" fillId="39" borderId="27" applyNumberFormat="0" applyProtection="0">
      <alignment horizontal="left" vertical="center" indent="1"/>
    </xf>
    <xf numFmtId="4" fontId="49" fillId="40" borderId="0" applyNumberFormat="0" applyProtection="0">
      <alignment horizontal="left" vertical="center" indent="1"/>
    </xf>
    <xf numFmtId="0" fontId="5" fillId="28" borderId="8" applyNumberFormat="0" applyProtection="0">
      <alignment horizontal="left" vertical="center" indent="1"/>
    </xf>
    <xf numFmtId="4" fontId="25" fillId="39" borderId="8" applyNumberFormat="0" applyProtection="0">
      <alignment horizontal="left" vertical="center" indent="1"/>
    </xf>
    <xf numFmtId="4" fontId="2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41" borderId="8" applyNumberFormat="0" applyProtection="0">
      <alignment horizontal="left" vertical="center" indent="1"/>
    </xf>
    <xf numFmtId="0" fontId="5" fillId="41" borderId="8" applyNumberFormat="0" applyProtection="0">
      <alignment horizontal="left" vertical="center" indent="1"/>
    </xf>
    <xf numFmtId="0" fontId="5" fillId="25" borderId="8" applyNumberFormat="0" applyProtection="0">
      <alignment horizontal="left" vertical="center" indent="1"/>
    </xf>
    <xf numFmtId="0" fontId="5" fillId="25" borderId="8" applyNumberFormat="0" applyProtection="0">
      <alignment horizontal="left" vertical="center" indent="1"/>
    </xf>
    <xf numFmtId="0" fontId="5" fillId="28" borderId="8" applyNumberFormat="0" applyProtection="0">
      <alignment horizontal="left" vertical="center" indent="1"/>
    </xf>
    <xf numFmtId="0" fontId="5" fillId="28" borderId="8" applyNumberFormat="0" applyProtection="0">
      <alignment horizontal="left" vertical="center" indent="1"/>
    </xf>
    <xf numFmtId="4" fontId="25" fillId="42" borderId="8" applyNumberFormat="0" applyProtection="0">
      <alignment vertical="center"/>
    </xf>
    <xf numFmtId="4" fontId="55" fillId="42" borderId="8" applyNumberFormat="0" applyProtection="0">
      <alignment vertical="center"/>
    </xf>
    <xf numFmtId="4" fontId="25" fillId="42" borderId="8" applyNumberFormat="0" applyProtection="0">
      <alignment horizontal="left" vertical="center" indent="1"/>
    </xf>
    <xf numFmtId="4" fontId="25" fillId="42" borderId="8" applyNumberFormat="0" applyProtection="0">
      <alignment horizontal="left" vertical="center" indent="1"/>
    </xf>
    <xf numFmtId="4" fontId="25" fillId="39" borderId="8" applyNumberFormat="0" applyProtection="0">
      <alignment horizontal="right" vertical="center"/>
    </xf>
    <xf numFmtId="4" fontId="55" fillId="39" borderId="8" applyNumberFormat="0" applyProtection="0">
      <alignment horizontal="right" vertical="center"/>
    </xf>
    <xf numFmtId="0" fontId="5" fillId="28" borderId="8" applyNumberFormat="0" applyProtection="0">
      <alignment horizontal="left" vertical="center" indent="1"/>
    </xf>
    <xf numFmtId="0" fontId="5" fillId="28" borderId="8" applyNumberFormat="0" applyProtection="0">
      <alignment horizontal="left" vertical="center" indent="1"/>
    </xf>
    <xf numFmtId="0" fontId="56" fillId="0" borderId="0"/>
    <xf numFmtId="4" fontId="19" fillId="39"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6" fillId="0" borderId="0" applyFont="0" applyFill="0" applyBorder="0" applyAlignment="0" applyProtection="0"/>
    <xf numFmtId="43" fontId="5" fillId="0" borderId="0" applyFont="0" applyFill="0" applyBorder="0" applyAlignment="0" applyProtection="0"/>
    <xf numFmtId="4" fontId="25" fillId="39" borderId="8" applyNumberFormat="0" applyProtection="0">
      <alignment horizontal="left" vertical="center" indent="1"/>
    </xf>
    <xf numFmtId="4" fontId="25" fillId="26" borderId="8" applyNumberFormat="0" applyProtection="0">
      <alignment horizontal="left" vertical="center" indent="1"/>
    </xf>
    <xf numFmtId="0" fontId="5" fillId="0" borderId="0"/>
    <xf numFmtId="0" fontId="5" fillId="0" borderId="0"/>
    <xf numFmtId="0" fontId="5" fillId="0" borderId="0"/>
    <xf numFmtId="0" fontId="5" fillId="0" borderId="0"/>
  </cellStyleXfs>
  <cellXfs count="500">
    <xf numFmtId="0" fontId="0" fillId="0" borderId="0" xfId="0"/>
    <xf numFmtId="175" fontId="7" fillId="0" borderId="0" xfId="28" quotePrefix="1" applyNumberFormat="1" applyFont="1" applyFill="1" applyBorder="1"/>
    <xf numFmtId="167" fontId="0" fillId="0" borderId="0" xfId="57" applyNumberFormat="1" applyFont="1" applyFill="1"/>
    <xf numFmtId="167" fontId="13" fillId="0" borderId="0" xfId="57" applyNumberFormat="1" applyFont="1" applyFill="1"/>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Border="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3"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168" fontId="7" fillId="24" borderId="0" xfId="0" applyNumberFormat="1" applyFont="1" applyFill="1" applyBorder="1"/>
    <xf numFmtId="168"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17" fontId="13" fillId="24" borderId="0" xfId="0" applyNumberFormat="1" applyFont="1" applyFill="1" applyBorder="1" applyAlignment="1">
      <alignment horizontal="left"/>
    </xf>
    <xf numFmtId="175" fontId="7" fillId="24" borderId="0" xfId="28" quotePrefix="1" applyNumberFormat="1" applyFont="1" applyFill="1" applyBorder="1"/>
    <xf numFmtId="43" fontId="7" fillId="24" borderId="0" xfId="28" quotePrefix="1" applyNumberFormat="1" applyFon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0" fontId="5" fillId="24" borderId="0" xfId="0" applyFont="1" applyFill="1" applyBorder="1" applyAlignment="1">
      <alignment horizontal="left"/>
    </xf>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3" fontId="13" fillId="24" borderId="0" xfId="0" applyNumberFormat="1" applyFont="1" applyFill="1" applyBorder="1"/>
    <xf numFmtId="0" fontId="7" fillId="24" borderId="0" xfId="0" applyFont="1" applyFill="1" applyBorder="1" applyAlignment="1">
      <alignment horizontal="left"/>
    </xf>
    <xf numFmtId="44" fontId="5" fillId="24" borderId="0" xfId="0" applyNumberFormat="1" applyFont="1" applyFill="1" applyBorder="1"/>
    <xf numFmtId="0" fontId="22" fillId="24" borderId="0" xfId="0" applyFont="1" applyFill="1" applyBorder="1"/>
    <xf numFmtId="0" fontId="0" fillId="24" borderId="23" xfId="0" quotePrefix="1" applyFill="1" applyBorder="1"/>
    <xf numFmtId="0" fontId="5" fillId="0" borderId="0" xfId="85" applyFill="1"/>
    <xf numFmtId="0" fontId="5" fillId="0" borderId="0" xfId="85" applyFont="1" applyFill="1"/>
    <xf numFmtId="0" fontId="12" fillId="24" borderId="0" xfId="0" applyFont="1" applyFill="1" applyBorder="1" applyAlignment="1">
      <alignment horizontal="left" wrapText="1"/>
    </xf>
    <xf numFmtId="39" fontId="5" fillId="24" borderId="0" xfId="0" quotePrefix="1" applyNumberFormat="1" applyFont="1" applyFill="1" applyBorder="1"/>
    <xf numFmtId="0" fontId="5" fillId="24" borderId="23" xfId="0" applyFont="1" applyFill="1" applyBorder="1"/>
    <xf numFmtId="0" fontId="5" fillId="24" borderId="23"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168"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0" fontId="5" fillId="0" borderId="0" xfId="85"/>
    <xf numFmtId="0" fontId="7" fillId="0" borderId="0" xfId="85" applyFont="1" applyFill="1"/>
    <xf numFmtId="0" fontId="5" fillId="0" borderId="0" xfId="85" quotePrefix="1" applyFill="1"/>
    <xf numFmtId="44" fontId="5" fillId="0" borderId="0" xfId="85" applyNumberFormat="1" applyFill="1"/>
    <xf numFmtId="0" fontId="7" fillId="0" borderId="0" xfId="85" applyFont="1" applyFill="1" applyAlignment="1">
      <alignment horizontal="center"/>
    </xf>
    <xf numFmtId="0" fontId="9" fillId="0" borderId="0" xfId="85" applyFont="1" applyFill="1"/>
    <xf numFmtId="0" fontId="5" fillId="0" borderId="0" xfId="85" applyFill="1" applyAlignment="1">
      <alignment horizontal="center"/>
    </xf>
    <xf numFmtId="169" fontId="5" fillId="0" borderId="0" xfId="85" applyNumberFormat="1" applyFill="1"/>
    <xf numFmtId="17" fontId="5" fillId="0" borderId="0" xfId="85" applyNumberFormat="1" applyFill="1"/>
    <xf numFmtId="44" fontId="5" fillId="0" borderId="17" xfId="85" applyNumberFormat="1" applyFill="1" applyBorder="1"/>
    <xf numFmtId="43" fontId="5" fillId="0" borderId="0" xfId="28" quotePrefix="1" applyFont="1" applyFill="1"/>
    <xf numFmtId="44" fontId="7" fillId="24" borderId="0" xfId="0" applyNumberFormat="1" applyFont="1" applyFill="1" applyBorder="1"/>
    <xf numFmtId="44" fontId="7" fillId="24" borderId="0" xfId="0" applyNumberFormat="1" applyFont="1" applyFill="1" applyBorder="1" applyAlignment="1">
      <alignment horizontal="center"/>
    </xf>
    <xf numFmtId="0" fontId="5" fillId="24" borderId="23" xfId="0" applyFont="1" applyFill="1" applyBorder="1" applyAlignment="1">
      <alignment horizontal="right"/>
    </xf>
    <xf numFmtId="0" fontId="51" fillId="24" borderId="23" xfId="85" applyFont="1" applyFill="1" applyBorder="1" applyAlignment="1">
      <alignment vertical="center"/>
    </xf>
    <xf numFmtId="167" fontId="8" fillId="24" borderId="23" xfId="57" applyNumberFormat="1" applyFont="1" applyFill="1" applyBorder="1"/>
    <xf numFmtId="0" fontId="8" fillId="24" borderId="0" xfId="0" applyFont="1" applyFill="1" applyBorder="1"/>
    <xf numFmtId="178" fontId="8" fillId="24" borderId="0" xfId="0" applyNumberFormat="1" applyFont="1" applyFill="1" applyBorder="1"/>
    <xf numFmtId="0" fontId="5" fillId="24" borderId="23" xfId="0" applyFont="1" applyFill="1" applyBorder="1" applyAlignment="1">
      <alignment horizontal="center" wrapText="1"/>
    </xf>
    <xf numFmtId="44" fontId="8" fillId="24" borderId="23" xfId="33" applyFont="1" applyFill="1" applyBorder="1"/>
    <xf numFmtId="44" fontId="8" fillId="24" borderId="14" xfId="33" applyFont="1" applyFill="1" applyBorder="1"/>
    <xf numFmtId="0" fontId="8" fillId="24" borderId="23" xfId="33" applyNumberFormat="1" applyFont="1" applyFill="1" applyBorder="1"/>
    <xf numFmtId="0" fontId="8" fillId="24" borderId="23" xfId="33" applyNumberFormat="1" applyFont="1" applyFill="1" applyBorder="1" applyAlignment="1">
      <alignment horizontal="right"/>
    </xf>
    <xf numFmtId="166" fontId="8" fillId="24" borderId="23" xfId="33" applyNumberFormat="1" applyFont="1" applyFill="1" applyBorder="1"/>
    <xf numFmtId="0" fontId="5" fillId="0" borderId="0" xfId="85" applyFill="1" applyBorder="1"/>
    <xf numFmtId="0" fontId="5" fillId="0" borderId="0" xfId="85" quotePrefix="1" applyFont="1"/>
    <xf numFmtId="182" fontId="5" fillId="0" borderId="0" xfId="85" applyNumberFormat="1"/>
    <xf numFmtId="3" fontId="5" fillId="0" borderId="0" xfId="85" applyNumberFormat="1"/>
    <xf numFmtId="178" fontId="5" fillId="0" borderId="0" xfId="85" applyNumberFormat="1"/>
    <xf numFmtId="0" fontId="5" fillId="0" borderId="0" xfId="85" applyFont="1" applyFill="1" applyAlignment="1">
      <alignment horizontal="center"/>
    </xf>
    <xf numFmtId="0" fontId="5" fillId="0" borderId="0" xfId="85" quotePrefix="1" applyFont="1" applyFill="1"/>
    <xf numFmtId="172" fontId="5" fillId="0" borderId="0" xfId="85" applyNumberFormat="1" applyFill="1"/>
    <xf numFmtId="0" fontId="7" fillId="0" borderId="0" xfId="85" applyFont="1" applyFill="1" applyAlignment="1">
      <alignment horizontal="left"/>
    </xf>
    <xf numFmtId="169" fontId="16" fillId="0" borderId="0" xfId="85" applyNumberFormat="1" applyFont="1" applyFill="1"/>
    <xf numFmtId="169" fontId="0" fillId="0" borderId="0" xfId="100" applyNumberFormat="1" applyFont="1" applyFill="1"/>
    <xf numFmtId="175" fontId="5" fillId="0" borderId="0" xfId="28" quotePrefix="1" applyNumberFormat="1" applyFont="1" applyFill="1" applyBorder="1"/>
    <xf numFmtId="17" fontId="5" fillId="0" borderId="0" xfId="85" applyNumberFormat="1" applyFill="1" applyAlignment="1">
      <alignment horizontal="right"/>
    </xf>
    <xf numFmtId="175" fontId="5" fillId="0" borderId="0" xfId="85" applyNumberFormat="1" applyFill="1"/>
    <xf numFmtId="175" fontId="7" fillId="0" borderId="0" xfId="85" applyNumberFormat="1" applyFont="1" applyFill="1"/>
    <xf numFmtId="0" fontId="7" fillId="0" borderId="0" xfId="85" applyFont="1" applyFill="1" applyAlignment="1">
      <alignment horizontal="right"/>
    </xf>
    <xf numFmtId="0" fontId="5" fillId="0" borderId="0" xfId="85" applyFont="1" applyFill="1" applyAlignment="1">
      <alignment horizontal="left"/>
    </xf>
    <xf numFmtId="175" fontId="5" fillId="0" borderId="0" xfId="28" quotePrefix="1" applyNumberFormat="1" applyFont="1" applyFill="1"/>
    <xf numFmtId="0" fontId="7" fillId="0" borderId="0" xfId="85" applyFont="1" applyFill="1" applyAlignment="1">
      <alignment horizontal="center" wrapText="1"/>
    </xf>
    <xf numFmtId="172" fontId="5" fillId="0" borderId="0" xfId="100" quotePrefix="1" applyNumberFormat="1" applyFont="1" applyFill="1"/>
    <xf numFmtId="0" fontId="12" fillId="0" borderId="0" xfId="85" applyFont="1" applyFill="1"/>
    <xf numFmtId="166" fontId="12" fillId="0" borderId="0" xfId="85" applyNumberFormat="1" applyFont="1" applyFill="1"/>
    <xf numFmtId="172" fontId="7" fillId="0" borderId="0" xfId="100" quotePrefix="1" applyNumberFormat="1" applyFont="1" applyFill="1"/>
    <xf numFmtId="169" fontId="0" fillId="0" borderId="0" xfId="100" quotePrefix="1" applyNumberFormat="1" applyFont="1" applyFill="1"/>
    <xf numFmtId="169" fontId="16" fillId="0" borderId="0" xfId="100" applyNumberFormat="1" applyFont="1" applyFill="1"/>
    <xf numFmtId="169" fontId="16" fillId="0" borderId="0" xfId="100" quotePrefix="1" applyNumberFormat="1" applyFont="1" applyFill="1"/>
    <xf numFmtId="169" fontId="7" fillId="0" borderId="0" xfId="85" applyNumberFormat="1" applyFont="1" applyFill="1"/>
    <xf numFmtId="0" fontId="5" fillId="0" borderId="0" xfId="85" applyFill="1" applyAlignment="1">
      <alignment horizontal="left"/>
    </xf>
    <xf numFmtId="180" fontId="7" fillId="0" borderId="0" xfId="100" quotePrefix="1" applyNumberFormat="1" applyFont="1" applyFill="1"/>
    <xf numFmtId="0" fontId="13" fillId="0" borderId="0" xfId="85" applyFont="1" applyFill="1" applyAlignment="1">
      <alignment horizontal="center"/>
    </xf>
    <xf numFmtId="169" fontId="16" fillId="0" borderId="0" xfId="100" applyNumberFormat="1" applyFont="1" applyFill="1" applyBorder="1"/>
    <xf numFmtId="0" fontId="5" fillId="0" borderId="0" xfId="85" applyFill="1" applyAlignment="1">
      <alignment horizontal="center" wrapText="1"/>
    </xf>
    <xf numFmtId="169" fontId="5" fillId="0" borderId="17" xfId="85" applyNumberFormat="1" applyFill="1" applyBorder="1"/>
    <xf numFmtId="9" fontId="0" fillId="24" borderId="23" xfId="57" applyFont="1" applyFill="1" applyBorder="1"/>
    <xf numFmtId="10" fontId="8" fillId="24" borderId="14" xfId="57" applyNumberFormat="1" applyFont="1" applyFill="1" applyBorder="1"/>
    <xf numFmtId="44" fontId="5" fillId="24" borderId="0" xfId="33" quotePrefix="1" applyFont="1" applyFill="1" applyBorder="1" applyAlignment="1">
      <alignment horizontal="right"/>
    </xf>
    <xf numFmtId="44" fontId="5" fillId="24" borderId="0" xfId="33" applyFont="1" applyFill="1" applyBorder="1"/>
    <xf numFmtId="44" fontId="5" fillId="24" borderId="0" xfId="33" applyFont="1" applyFill="1" applyBorder="1" applyAlignment="1">
      <alignment horizontal="center"/>
    </xf>
    <xf numFmtId="184" fontId="45" fillId="24" borderId="0" xfId="0" applyNumberFormat="1" applyFont="1" applyFill="1" applyBorder="1" applyAlignment="1">
      <alignment horizontal="left"/>
    </xf>
    <xf numFmtId="0" fontId="0" fillId="24" borderId="23" xfId="0" applyFill="1" applyBorder="1" applyAlignment="1">
      <alignment horizontal="right"/>
    </xf>
    <xf numFmtId="0" fontId="10" fillId="24" borderId="0" xfId="0" applyFont="1" applyFill="1"/>
    <xf numFmtId="10" fontId="8" fillId="24" borderId="23" xfId="57" applyNumberFormat="1" applyFont="1" applyFill="1" applyBorder="1"/>
    <xf numFmtId="10" fontId="8" fillId="24" borderId="23" xfId="57" quotePrefix="1" applyNumberFormat="1" applyFont="1" applyFill="1" applyBorder="1"/>
    <xf numFmtId="38" fontId="8" fillId="24" borderId="23" xfId="0" applyNumberFormat="1" applyFont="1" applyFill="1" applyBorder="1" applyAlignment="1">
      <alignment horizontal="right"/>
    </xf>
    <xf numFmtId="10" fontId="8" fillId="24" borderId="23" xfId="0" applyNumberFormat="1" applyFont="1" applyFill="1" applyBorder="1"/>
    <xf numFmtId="40" fontId="8" fillId="24" borderId="23" xfId="0" applyNumberFormat="1" applyFont="1" applyFill="1" applyBorder="1" applyAlignment="1">
      <alignment horizontal="right"/>
    </xf>
    <xf numFmtId="166" fontId="8" fillId="24" borderId="23" xfId="0" applyNumberFormat="1" applyFont="1" applyFill="1" applyBorder="1"/>
    <xf numFmtId="9" fontId="8" fillId="24" borderId="23" xfId="57" applyNumberFormat="1" applyFont="1" applyFill="1" applyBorder="1"/>
    <xf numFmtId="181" fontId="8" fillId="24" borderId="23" xfId="57" applyNumberFormat="1" applyFont="1" applyFill="1" applyBorder="1"/>
    <xf numFmtId="0" fontId="57" fillId="24" borderId="0" xfId="0" applyFont="1" applyFill="1" applyBorder="1"/>
    <xf numFmtId="168" fontId="8" fillId="24" borderId="23" xfId="0" applyNumberFormat="1" applyFont="1" applyFill="1" applyBorder="1"/>
    <xf numFmtId="183" fontId="8" fillId="24" borderId="23" xfId="0" applyNumberFormat="1" applyFont="1" applyFill="1" applyBorder="1"/>
    <xf numFmtId="44" fontId="8" fillId="24" borderId="23" xfId="33" applyNumberFormat="1" applyFont="1" applyFill="1" applyBorder="1"/>
    <xf numFmtId="0" fontId="67" fillId="24" borderId="0" xfId="0" quotePrefix="1" applyFont="1" applyFill="1" applyBorder="1" applyAlignment="1">
      <alignment horizontal="center"/>
    </xf>
    <xf numFmtId="0" fontId="61" fillId="24" borderId="0" xfId="28" applyNumberFormat="1" applyFont="1" applyFill="1" applyBorder="1"/>
    <xf numFmtId="0" fontId="5" fillId="24" borderId="0" xfId="0" applyFont="1" applyFill="1" applyBorder="1" applyAlignment="1">
      <alignment horizontal="left"/>
    </xf>
    <xf numFmtId="10" fontId="68" fillId="24" borderId="23" xfId="57" applyNumberFormat="1" applyFont="1" applyFill="1" applyBorder="1"/>
    <xf numFmtId="0" fontId="61" fillId="24" borderId="0" xfId="0" applyFont="1" applyFill="1" applyBorder="1"/>
    <xf numFmtId="0" fontId="5" fillId="24" borderId="0" xfId="0" applyFont="1" applyFill="1" applyBorder="1" applyAlignment="1">
      <alignment horizontal="center" wrapText="1"/>
    </xf>
    <xf numFmtId="44" fontId="8" fillId="24" borderId="0" xfId="33" applyFont="1" applyFill="1" applyBorder="1"/>
    <xf numFmtId="0" fontId="8" fillId="24" borderId="0" xfId="33" applyNumberFormat="1" applyFont="1" applyFill="1" applyBorder="1"/>
    <xf numFmtId="0" fontId="8" fillId="24" borderId="0" xfId="33" applyNumberFormat="1" applyFont="1" applyFill="1" applyBorder="1" applyAlignment="1">
      <alignment horizontal="right"/>
    </xf>
    <xf numFmtId="166" fontId="8" fillId="24" borderId="0" xfId="33" applyNumberFormat="1" applyFont="1" applyFill="1" applyBorder="1"/>
    <xf numFmtId="0" fontId="0" fillId="24" borderId="0" xfId="0" applyFill="1" applyAlignment="1">
      <alignment horizontal="left"/>
    </xf>
    <xf numFmtId="0" fontId="0" fillId="24" borderId="0" xfId="0" applyFill="1"/>
    <xf numFmtId="0" fontId="7" fillId="24" borderId="0" xfId="0" applyFont="1" applyFill="1" applyAlignment="1">
      <alignment horizontal="center"/>
    </xf>
    <xf numFmtId="0" fontId="6" fillId="24" borderId="0" xfId="0" applyFont="1" applyFill="1"/>
    <xf numFmtId="0" fontId="11" fillId="24" borderId="0" xfId="0" applyFont="1" applyFill="1" applyAlignment="1">
      <alignment horizontal="left"/>
    </xf>
    <xf numFmtId="0" fontId="7" fillId="24" borderId="0" xfId="0" applyFont="1" applyFill="1"/>
    <xf numFmtId="0" fontId="9" fillId="24" borderId="0" xfId="0" applyFont="1" applyFill="1"/>
    <xf numFmtId="0" fontId="12" fillId="24" borderId="0" xfId="0" applyFont="1" applyFill="1" applyAlignment="1">
      <alignment horizontal="left"/>
    </xf>
    <xf numFmtId="39" fontId="6" fillId="24" borderId="0" xfId="0" quotePrefix="1" applyNumberFormat="1" applyFont="1" applyFill="1"/>
    <xf numFmtId="0" fontId="9" fillId="24" borderId="0" xfId="0" applyFont="1" applyFill="1" applyAlignment="1">
      <alignment horizontal="left"/>
    </xf>
    <xf numFmtId="0" fontId="9" fillId="24" borderId="0" xfId="0" applyFont="1" applyFill="1" applyAlignment="1">
      <alignment horizontal="center" wrapText="1"/>
    </xf>
    <xf numFmtId="0" fontId="6" fillId="24" borderId="0" xfId="0" applyFont="1" applyFill="1" applyAlignment="1">
      <alignment wrapText="1"/>
    </xf>
    <xf numFmtId="0" fontId="9" fillId="24" borderId="0" xfId="0" quotePrefix="1" applyFont="1" applyFill="1"/>
    <xf numFmtId="0" fontId="14" fillId="24" borderId="0" xfId="0" applyFont="1" applyFill="1" applyAlignment="1">
      <alignment horizontal="center"/>
    </xf>
    <xf numFmtId="0" fontId="9" fillId="24" borderId="0" xfId="0" applyFont="1" applyFill="1" applyAlignment="1">
      <alignment horizontal="center"/>
    </xf>
    <xf numFmtId="17" fontId="0" fillId="24" borderId="0" xfId="0" applyNumberFormat="1" applyFill="1"/>
    <xf numFmtId="9" fontId="9" fillId="24" borderId="0" xfId="57" applyFont="1" applyFill="1"/>
    <xf numFmtId="17" fontId="7" fillId="24" borderId="0" xfId="0" applyNumberFormat="1" applyFont="1" applyFill="1"/>
    <xf numFmtId="17" fontId="9" fillId="24" borderId="0" xfId="0" applyNumberFormat="1" applyFont="1" applyFill="1"/>
    <xf numFmtId="0" fontId="0" fillId="24" borderId="0" xfId="0" applyFill="1" applyAlignment="1">
      <alignment horizontal="center"/>
    </xf>
    <xf numFmtId="0" fontId="6" fillId="24" borderId="0" xfId="0" applyFont="1" applyFill="1" applyAlignment="1">
      <alignment horizontal="center"/>
    </xf>
    <xf numFmtId="0" fontId="0" fillId="24" borderId="0" xfId="0" applyFill="1" applyAlignment="1">
      <alignment horizontal="right"/>
    </xf>
    <xf numFmtId="3" fontId="0" fillId="24" borderId="0" xfId="0" applyNumberFormat="1" applyFill="1"/>
    <xf numFmtId="3" fontId="8" fillId="24" borderId="0" xfId="0" applyNumberFormat="1" applyFont="1" applyFill="1"/>
    <xf numFmtId="9" fontId="0" fillId="24" borderId="0" xfId="57" applyFont="1" applyFill="1"/>
    <xf numFmtId="0" fontId="12" fillId="24" borderId="0" xfId="0" applyFont="1" applyFill="1" applyAlignment="1">
      <alignment horizontal="center"/>
    </xf>
    <xf numFmtId="0" fontId="0" fillId="24" borderId="0" xfId="0" applyFill="1" applyAlignment="1"/>
    <xf numFmtId="0" fontId="9" fillId="24" borderId="0" xfId="0" applyFont="1" applyFill="1" applyAlignment="1"/>
    <xf numFmtId="0" fontId="0" fillId="24" borderId="17" xfId="0" applyFill="1" applyBorder="1"/>
    <xf numFmtId="0" fontId="5" fillId="24" borderId="0" xfId="0" applyFont="1" applyFill="1"/>
    <xf numFmtId="167" fontId="5" fillId="24" borderId="0" xfId="0" applyNumberFormat="1" applyFont="1" applyFill="1"/>
    <xf numFmtId="0" fontId="0" fillId="24" borderId="0" xfId="0" quotePrefix="1" applyFill="1"/>
    <xf numFmtId="181" fontId="5" fillId="24" borderId="0" xfId="57" applyNumberFormat="1" applyFont="1" applyFill="1"/>
    <xf numFmtId="17" fontId="0" fillId="24" borderId="0" xfId="0" applyNumberFormat="1" applyFill="1" applyAlignment="1">
      <alignment horizontal="right"/>
    </xf>
    <xf numFmtId="169" fontId="0" fillId="24" borderId="0" xfId="0" applyNumberFormat="1" applyFill="1"/>
    <xf numFmtId="173" fontId="7" fillId="24" borderId="0" xfId="0" applyNumberFormat="1" applyFont="1" applyFill="1" applyAlignment="1">
      <alignment horizontal="center"/>
    </xf>
    <xf numFmtId="169" fontId="0" fillId="24" borderId="0" xfId="33" applyNumberFormat="1" applyFont="1" applyFill="1"/>
    <xf numFmtId="169" fontId="16" fillId="24" borderId="0" xfId="33" applyNumberFormat="1" applyFont="1" applyFill="1"/>
    <xf numFmtId="0" fontId="5" fillId="24" borderId="0" xfId="0" applyFont="1" applyFill="1" applyAlignment="1">
      <alignment horizontal="right"/>
    </xf>
    <xf numFmtId="168" fontId="7" fillId="24" borderId="0" xfId="0" applyNumberFormat="1" applyFont="1" applyFill="1"/>
    <xf numFmtId="3" fontId="6" fillId="24" borderId="0" xfId="0" applyNumberFormat="1" applyFont="1" applyFill="1"/>
    <xf numFmtId="178" fontId="5" fillId="24" borderId="0" xfId="33" applyNumberFormat="1" applyFont="1" applyFill="1" applyAlignment="1">
      <alignment horizontal="center" wrapText="1"/>
    </xf>
    <xf numFmtId="44" fontId="0" fillId="24" borderId="0" xfId="0" applyNumberFormat="1" applyFill="1"/>
    <xf numFmtId="0" fontId="13" fillId="24" borderId="0" xfId="0" applyFont="1" applyFill="1" applyAlignment="1">
      <alignment horizontal="center"/>
    </xf>
    <xf numFmtId="0" fontId="7" fillId="24" borderId="0" xfId="0" applyFont="1" applyFill="1" applyAlignment="1">
      <alignment horizontal="centerContinuous"/>
    </xf>
    <xf numFmtId="0" fontId="5" fillId="24" borderId="0" xfId="0" applyFont="1" applyFill="1" applyAlignment="1"/>
    <xf numFmtId="0" fontId="6" fillId="24" borderId="0" xfId="0" applyFont="1" applyFill="1" applyAlignment="1">
      <alignment horizontal="left"/>
    </xf>
    <xf numFmtId="44" fontId="5" fillId="24" borderId="0" xfId="33" applyNumberFormat="1" applyFont="1" applyFill="1"/>
    <xf numFmtId="0" fontId="13" fillId="24" borderId="0" xfId="0" applyFont="1" applyFill="1" applyAlignment="1">
      <alignment horizontal="left"/>
    </xf>
    <xf numFmtId="172" fontId="6" fillId="24" borderId="0" xfId="33" applyNumberFormat="1" applyFont="1" applyFill="1"/>
    <xf numFmtId="43" fontId="0" fillId="24" borderId="0" xfId="0" applyNumberFormat="1" applyFill="1"/>
    <xf numFmtId="172" fontId="0" fillId="24" borderId="0" xfId="0" applyNumberFormat="1" applyFill="1"/>
    <xf numFmtId="17" fontId="13" fillId="24" borderId="0" xfId="0" applyNumberFormat="1" applyFont="1" applyFill="1" applyAlignment="1">
      <alignment horizontal="left"/>
    </xf>
    <xf numFmtId="175" fontId="6" fillId="24" borderId="0" xfId="28" quotePrefix="1" applyNumberFormat="1" applyFont="1" applyFill="1" applyBorder="1"/>
    <xf numFmtId="43" fontId="6" fillId="24" borderId="0" xfId="28" quotePrefix="1" applyFont="1" applyFill="1"/>
    <xf numFmtId="43" fontId="6" fillId="24" borderId="0" xfId="28" quotePrefix="1" applyNumberFormat="1" applyFont="1" applyFill="1" applyBorder="1"/>
    <xf numFmtId="43" fontId="6" fillId="24" borderId="0" xfId="28" applyNumberFormat="1" applyFont="1" applyFill="1" applyBorder="1" applyAlignment="1">
      <alignment horizontal="right"/>
    </xf>
    <xf numFmtId="175" fontId="0" fillId="24" borderId="0" xfId="0" applyNumberFormat="1" applyFill="1"/>
    <xf numFmtId="175" fontId="7" fillId="24" borderId="0" xfId="0" applyNumberFormat="1" applyFont="1" applyFill="1"/>
    <xf numFmtId="0" fontId="7" fillId="24" borderId="0" xfId="0" applyFont="1" applyFill="1" applyAlignment="1">
      <alignment horizontal="right"/>
    </xf>
    <xf numFmtId="43" fontId="6" fillId="24" borderId="0" xfId="28" quotePrefix="1" applyNumberFormat="1" applyFont="1" applyFill="1"/>
    <xf numFmtId="175" fontId="6" fillId="24" borderId="0" xfId="28" quotePrefix="1" applyNumberFormat="1" applyFont="1" applyFill="1"/>
    <xf numFmtId="0" fontId="7" fillId="24" borderId="0" xfId="0" applyFont="1" applyFill="1" applyAlignment="1">
      <alignment horizontal="center" wrapText="1"/>
    </xf>
    <xf numFmtId="172" fontId="6" fillId="24" borderId="0" xfId="33" quotePrefix="1" applyNumberFormat="1" applyFont="1" applyFill="1"/>
    <xf numFmtId="0" fontId="5" fillId="24" borderId="0" xfId="0" applyFont="1" applyFill="1" applyAlignment="1">
      <alignment horizontal="left"/>
    </xf>
    <xf numFmtId="43" fontId="5" fillId="24" borderId="0" xfId="28" quotePrefix="1" applyFont="1" applyFill="1"/>
    <xf numFmtId="0" fontId="9" fillId="24" borderId="0" xfId="0" applyFont="1" applyFill="1" applyAlignment="1">
      <alignment horizontal="right"/>
    </xf>
    <xf numFmtId="176" fontId="7" fillId="24" borderId="0" xfId="28" applyNumberFormat="1" applyFont="1" applyFill="1"/>
    <xf numFmtId="43" fontId="9" fillId="24" borderId="0" xfId="28" applyFont="1" applyFill="1"/>
    <xf numFmtId="169" fontId="0" fillId="24" borderId="0" xfId="33" quotePrefix="1" applyNumberFormat="1" applyFont="1" applyFill="1"/>
    <xf numFmtId="3" fontId="13" fillId="24" borderId="0" xfId="0" applyNumberFormat="1" applyFont="1" applyFill="1"/>
    <xf numFmtId="0" fontId="7" fillId="24" borderId="0" xfId="85" applyFont="1" applyFill="1" applyAlignment="1">
      <alignment horizontal="left"/>
    </xf>
    <xf numFmtId="0" fontId="61" fillId="24" borderId="0" xfId="0" applyFont="1" applyFill="1"/>
    <xf numFmtId="0" fontId="60" fillId="24" borderId="0" xfId="0" applyFont="1" applyFill="1" applyAlignment="1">
      <alignment horizontal="center"/>
    </xf>
    <xf numFmtId="0" fontId="5" fillId="24" borderId="0" xfId="0" applyFont="1" applyFill="1" applyAlignment="1">
      <alignment horizontal="center"/>
    </xf>
    <xf numFmtId="0" fontId="5" fillId="24" borderId="0" xfId="0" quotePrefix="1" applyFont="1" applyFill="1"/>
    <xf numFmtId="169" fontId="44" fillId="24" borderId="0" xfId="33" applyNumberFormat="1" applyFont="1" applyFill="1"/>
    <xf numFmtId="0" fontId="44" fillId="24" borderId="0" xfId="0" applyFont="1" applyFill="1"/>
    <xf numFmtId="169" fontId="44" fillId="24" borderId="17" xfId="33" applyNumberFormat="1" applyFont="1" applyFill="1" applyBorder="1"/>
    <xf numFmtId="171" fontId="0" fillId="24" borderId="0" xfId="33" applyNumberFormat="1" applyFont="1" applyFill="1"/>
    <xf numFmtId="171" fontId="6" fillId="24" borderId="0" xfId="33" applyNumberFormat="1" applyFont="1" applyFill="1"/>
    <xf numFmtId="171" fontId="7" fillId="24" borderId="0" xfId="33" quotePrefix="1" applyNumberFormat="1" applyFont="1" applyFill="1"/>
    <xf numFmtId="0" fontId="7" fillId="24" borderId="0" xfId="0" applyFont="1" applyFill="1" applyAlignment="1">
      <alignment horizontal="left"/>
    </xf>
    <xf numFmtId="169" fontId="16" fillId="24" borderId="0" xfId="0" applyNumberFormat="1" applyFont="1" applyFill="1"/>
    <xf numFmtId="0" fontId="12" fillId="24" borderId="0" xfId="0" applyFont="1" applyFill="1"/>
    <xf numFmtId="166" fontId="12" fillId="24" borderId="0" xfId="0" applyNumberFormat="1" applyFont="1" applyFill="1"/>
    <xf numFmtId="172" fontId="7" fillId="24" borderId="0" xfId="33" quotePrefix="1" applyNumberFormat="1" applyFont="1" applyFill="1"/>
    <xf numFmtId="169" fontId="16" fillId="24" borderId="0" xfId="33" quotePrefix="1" applyNumberFormat="1" applyFont="1" applyFill="1"/>
    <xf numFmtId="169" fontId="7" fillId="24" borderId="0" xfId="0" applyNumberFormat="1" applyFont="1" applyFill="1"/>
    <xf numFmtId="0" fontId="0" fillId="24" borderId="11" xfId="0" applyFill="1" applyBorder="1"/>
    <xf numFmtId="0" fontId="0" fillId="24" borderId="12" xfId="0" applyFill="1" applyBorder="1"/>
    <xf numFmtId="0" fontId="0" fillId="24" borderId="13" xfId="0" applyFill="1" applyBorder="1"/>
    <xf numFmtId="0" fontId="0" fillId="24" borderId="14" xfId="0" applyFill="1" applyBorder="1" applyAlignment="1">
      <alignment horizontal="center"/>
    </xf>
    <xf numFmtId="0" fontId="0" fillId="24" borderId="15" xfId="0" applyFill="1" applyBorder="1"/>
    <xf numFmtId="0" fontId="13" fillId="24" borderId="14" xfId="0" applyFont="1" applyFill="1" applyBorder="1" applyAlignment="1">
      <alignment horizontal="center"/>
    </xf>
    <xf numFmtId="167" fontId="0" fillId="24" borderId="0" xfId="57" applyNumberFormat="1" applyFont="1" applyFill="1"/>
    <xf numFmtId="165" fontId="0" fillId="24" borderId="14" xfId="0" applyNumberFormat="1" applyFill="1" applyBorder="1"/>
    <xf numFmtId="0" fontId="0" fillId="24" borderId="16" xfId="0" applyFill="1" applyBorder="1"/>
    <xf numFmtId="0" fontId="0" fillId="24" borderId="18" xfId="0" applyFill="1" applyBorder="1"/>
    <xf numFmtId="180" fontId="7" fillId="24" borderId="0" xfId="33" quotePrefix="1" applyNumberFormat="1" applyFont="1" applyFill="1"/>
    <xf numFmtId="167" fontId="13" fillId="24" borderId="0" xfId="57" applyNumberFormat="1" applyFont="1" applyFill="1"/>
    <xf numFmtId="0" fontId="5" fillId="24" borderId="0" xfId="85" applyFill="1"/>
    <xf numFmtId="0" fontId="10" fillId="24" borderId="0" xfId="85" applyFont="1" applyFill="1" applyAlignment="1">
      <alignment horizontal="center"/>
    </xf>
    <xf numFmtId="0" fontId="50" fillId="24" borderId="0" xfId="85" applyFont="1" applyFill="1"/>
    <xf numFmtId="0" fontId="59" fillId="24" borderId="0" xfId="85" applyFont="1" applyFill="1" applyAlignment="1">
      <alignment vertical="center" wrapText="1"/>
    </xf>
    <xf numFmtId="0" fontId="5" fillId="24" borderId="0" xfId="85" applyFont="1" applyFill="1" applyAlignment="1">
      <alignment horizontal="left" vertical="center" wrapText="1"/>
    </xf>
    <xf numFmtId="0" fontId="12" fillId="24" borderId="0" xfId="85" applyFont="1" applyFill="1"/>
    <xf numFmtId="0" fontId="7" fillId="24" borderId="0" xfId="85" applyFont="1" applyFill="1"/>
    <xf numFmtId="0" fontId="5" fillId="24" borderId="0" xfId="85" quotePrefix="1" applyFont="1" applyFill="1" applyAlignment="1">
      <alignment horizontal="left"/>
    </xf>
    <xf numFmtId="178" fontId="5" fillId="24" borderId="17" xfId="85" quotePrefix="1" applyNumberFormat="1" applyFont="1" applyFill="1" applyBorder="1" applyAlignment="1">
      <alignment horizontal="right"/>
    </xf>
    <xf numFmtId="0" fontId="5" fillId="24" borderId="0" xfId="85" applyFont="1" applyFill="1" applyAlignment="1">
      <alignment horizontal="center" wrapText="1"/>
    </xf>
    <xf numFmtId="178" fontId="5" fillId="24" borderId="0" xfId="85" quotePrefix="1" applyNumberFormat="1" applyFont="1" applyFill="1" applyAlignment="1">
      <alignment horizontal="right"/>
    </xf>
    <xf numFmtId="168" fontId="5" fillId="24" borderId="0" xfId="85" applyNumberFormat="1" applyFont="1" applyFill="1"/>
    <xf numFmtId="3" fontId="5" fillId="24" borderId="17" xfId="85" applyNumberFormat="1" applyFont="1" applyFill="1" applyBorder="1"/>
    <xf numFmtId="182" fontId="5" fillId="24" borderId="0" xfId="85" quotePrefix="1" applyNumberFormat="1" applyFont="1" applyFill="1" applyAlignment="1">
      <alignment horizontal="right"/>
    </xf>
    <xf numFmtId="182" fontId="5" fillId="24" borderId="0" xfId="85" applyNumberFormat="1" applyFont="1" applyFill="1"/>
    <xf numFmtId="0" fontId="7" fillId="24" borderId="0" xfId="85" applyFont="1" applyFill="1" applyAlignment="1">
      <alignment wrapText="1"/>
    </xf>
    <xf numFmtId="174" fontId="5" fillId="24" borderId="0" xfId="28" applyNumberFormat="1" applyFont="1" applyFill="1"/>
    <xf numFmtId="174" fontId="5" fillId="24" borderId="17" xfId="28" applyNumberFormat="1" applyFont="1" applyFill="1" applyBorder="1"/>
    <xf numFmtId="10" fontId="5" fillId="24" borderId="0" xfId="57" applyNumberFormat="1" applyFont="1" applyFill="1"/>
    <xf numFmtId="3" fontId="5" fillId="24" borderId="0" xfId="85" applyNumberFormat="1" applyFont="1" applyFill="1"/>
    <xf numFmtId="3" fontId="5" fillId="24" borderId="17" xfId="85" applyNumberFormat="1" applyFill="1" applyBorder="1"/>
    <xf numFmtId="182" fontId="5" fillId="24" borderId="0" xfId="85" applyNumberFormat="1" applyFill="1"/>
    <xf numFmtId="178" fontId="7" fillId="24" borderId="26" xfId="85" applyNumberFormat="1" applyFont="1" applyFill="1" applyBorder="1"/>
    <xf numFmtId="0" fontId="9" fillId="24" borderId="0" xfId="85" applyFont="1" applyFill="1" applyAlignment="1">
      <alignment horizontal="center" wrapText="1"/>
    </xf>
    <xf numFmtId="0" fontId="5" fillId="24" borderId="0" xfId="85" quotePrefix="1" applyFont="1" applyFill="1"/>
    <xf numFmtId="0" fontId="5" fillId="24" borderId="0" xfId="85" applyFont="1" applyFill="1"/>
    <xf numFmtId="0" fontId="7" fillId="24" borderId="0" xfId="85" quotePrefix="1" applyFont="1" applyFill="1"/>
    <xf numFmtId="0" fontId="7" fillId="24" borderId="0" xfId="85" applyFont="1" applyFill="1" applyAlignment="1">
      <alignment horizontal="center" wrapText="1"/>
    </xf>
    <xf numFmtId="0" fontId="48" fillId="24" borderId="0" xfId="85" applyFont="1" applyFill="1" applyAlignment="1">
      <alignment vertical="center" wrapText="1"/>
    </xf>
    <xf numFmtId="0" fontId="12" fillId="24" borderId="0" xfId="85" applyFont="1" applyFill="1" applyAlignment="1">
      <alignment horizontal="left" wrapText="1"/>
    </xf>
    <xf numFmtId="44" fontId="5" fillId="24" borderId="0" xfId="33" applyFont="1" applyFill="1"/>
    <xf numFmtId="44" fontId="5" fillId="24" borderId="28" xfId="33" applyFont="1" applyFill="1" applyBorder="1"/>
    <xf numFmtId="9" fontId="5" fillId="24" borderId="0" xfId="57" applyFont="1" applyFill="1"/>
    <xf numFmtId="166" fontId="5" fillId="24" borderId="0" xfId="0" applyNumberFormat="1" applyFont="1" applyFill="1"/>
    <xf numFmtId="3" fontId="5" fillId="24" borderId="0" xfId="0" applyNumberFormat="1" applyFont="1" applyFill="1"/>
    <xf numFmtId="17" fontId="5" fillId="24" borderId="0" xfId="0" applyNumberFormat="1" applyFont="1" applyFill="1"/>
    <xf numFmtId="173" fontId="5" fillId="24" borderId="0" xfId="57" quotePrefix="1" applyNumberFormat="1" applyFont="1" applyFill="1"/>
    <xf numFmtId="9" fontId="5" fillId="24" borderId="0" xfId="57" quotePrefix="1" applyFont="1" applyFill="1"/>
    <xf numFmtId="9" fontId="5" fillId="24" borderId="0" xfId="57" applyNumberFormat="1" applyFont="1" applyFill="1"/>
    <xf numFmtId="9" fontId="5" fillId="24" borderId="0" xfId="57" quotePrefix="1" applyFont="1" applyFill="1" applyAlignment="1">
      <alignment horizontal="center"/>
    </xf>
    <xf numFmtId="1" fontId="5" fillId="24" borderId="0" xfId="57" quotePrefix="1" applyNumberFormat="1" applyFont="1" applyFill="1"/>
    <xf numFmtId="0" fontId="13" fillId="24" borderId="0" xfId="49" applyFont="1" applyFill="1" applyAlignment="1" applyProtection="1"/>
    <xf numFmtId="3" fontId="5" fillId="24" borderId="0" xfId="0" applyNumberFormat="1" applyFont="1" applyFill="1" applyAlignment="1"/>
    <xf numFmtId="38" fontId="5" fillId="24" borderId="0" xfId="0" applyNumberFormat="1" applyFont="1" applyFill="1" applyAlignment="1">
      <alignment horizontal="right"/>
    </xf>
    <xf numFmtId="173" fontId="5" fillId="24" borderId="0" xfId="0" applyNumberFormat="1" applyFont="1" applyFill="1"/>
    <xf numFmtId="3" fontId="5" fillId="24" borderId="0" xfId="0" quotePrefix="1" applyNumberFormat="1" applyFont="1" applyFill="1"/>
    <xf numFmtId="9" fontId="5" fillId="24" borderId="0" xfId="57" applyFont="1" applyFill="1" applyAlignment="1"/>
    <xf numFmtId="174" fontId="5" fillId="24" borderId="0" xfId="28" applyNumberFormat="1" applyFont="1" applyFill="1" applyAlignment="1">
      <alignment horizontal="center"/>
    </xf>
    <xf numFmtId="173" fontId="5" fillId="24" borderId="0" xfId="57" applyNumberFormat="1" applyFont="1" applyFill="1"/>
    <xf numFmtId="9" fontId="5" fillId="24" borderId="0" xfId="0" applyNumberFormat="1" applyFont="1" applyFill="1"/>
    <xf numFmtId="17" fontId="5" fillId="24" borderId="0" xfId="0" applyNumberFormat="1" applyFont="1" applyFill="1" applyAlignment="1">
      <alignment horizontal="center"/>
    </xf>
    <xf numFmtId="10" fontId="5" fillId="24" borderId="0" xfId="0" applyNumberFormat="1" applyFont="1" applyFill="1"/>
    <xf numFmtId="40" fontId="5" fillId="24" borderId="0" xfId="0" applyNumberFormat="1" applyFont="1" applyFill="1" applyAlignment="1">
      <alignment horizontal="right"/>
    </xf>
    <xf numFmtId="177" fontId="5" fillId="24" borderId="0" xfId="0" applyNumberFormat="1" applyFont="1" applyFill="1"/>
    <xf numFmtId="0" fontId="69" fillId="24" borderId="0" xfId="0" applyFont="1" applyFill="1"/>
    <xf numFmtId="166" fontId="5" fillId="24" borderId="22" xfId="0" applyNumberFormat="1" applyFont="1" applyFill="1" applyBorder="1"/>
    <xf numFmtId="9" fontId="5" fillId="24" borderId="22" xfId="57" applyNumberFormat="1" applyFont="1" applyFill="1" applyBorder="1"/>
    <xf numFmtId="166" fontId="5" fillId="24" borderId="19" xfId="0" applyNumberFormat="1" applyFont="1" applyFill="1" applyBorder="1"/>
    <xf numFmtId="9" fontId="5" fillId="24" borderId="19" xfId="57" applyNumberFormat="1" applyFont="1" applyFill="1" applyBorder="1"/>
    <xf numFmtId="166" fontId="5" fillId="24" borderId="20" xfId="0" applyNumberFormat="1" applyFont="1" applyFill="1" applyBorder="1"/>
    <xf numFmtId="9" fontId="5" fillId="24" borderId="20" xfId="57" applyNumberFormat="1" applyFont="1" applyFill="1" applyBorder="1"/>
    <xf numFmtId="4" fontId="5" fillId="24" borderId="0" xfId="0" applyNumberFormat="1" applyFont="1" applyFill="1"/>
    <xf numFmtId="0" fontId="5" fillId="24" borderId="17" xfId="0" applyFont="1" applyFill="1" applyBorder="1"/>
    <xf numFmtId="10" fontId="5" fillId="24" borderId="0" xfId="0" applyNumberFormat="1" applyFont="1" applyFill="1" applyAlignment="1">
      <alignment horizontal="center"/>
    </xf>
    <xf numFmtId="167" fontId="5" fillId="24" borderId="21" xfId="57" applyNumberFormat="1" applyFont="1" applyFill="1" applyBorder="1"/>
    <xf numFmtId="170" fontId="5" fillId="24" borderId="0" xfId="0" applyNumberFormat="1" applyFont="1" applyFill="1"/>
    <xf numFmtId="165" fontId="5" fillId="24" borderId="0" xfId="0" applyNumberFormat="1" applyFont="1" applyFill="1"/>
    <xf numFmtId="165" fontId="5" fillId="24" borderId="0" xfId="0" quotePrefix="1" applyNumberFormat="1" applyFont="1" applyFill="1"/>
    <xf numFmtId="44" fontId="5" fillId="24" borderId="0" xfId="33" quotePrefix="1" applyFont="1" applyFill="1"/>
    <xf numFmtId="17" fontId="5" fillId="24" borderId="0" xfId="0" applyNumberFormat="1" applyFont="1" applyFill="1" applyAlignment="1">
      <alignment horizontal="right"/>
    </xf>
    <xf numFmtId="44" fontId="5" fillId="24" borderId="0" xfId="33" quotePrefix="1" applyNumberFormat="1" applyFont="1" applyFill="1"/>
    <xf numFmtId="169" fontId="5" fillId="24" borderId="0" xfId="0" applyNumberFormat="1" applyFont="1" applyFill="1"/>
    <xf numFmtId="169" fontId="5" fillId="24" borderId="0" xfId="33" quotePrefix="1" applyNumberFormat="1" applyFont="1" applyFill="1"/>
    <xf numFmtId="169" fontId="5" fillId="24" borderId="0" xfId="33" applyNumberFormat="1" applyFont="1" applyFill="1"/>
    <xf numFmtId="39" fontId="5" fillId="24" borderId="0" xfId="0" applyNumberFormat="1" applyFont="1" applyFill="1"/>
    <xf numFmtId="168" fontId="5" fillId="24" borderId="0" xfId="0" applyNumberFormat="1" applyFont="1" applyFill="1"/>
    <xf numFmtId="178" fontId="5" fillId="24" borderId="0" xfId="0" applyNumberFormat="1" applyFont="1" applyFill="1"/>
    <xf numFmtId="1" fontId="5" fillId="24" borderId="0" xfId="0" applyNumberFormat="1" applyFont="1" applyFill="1"/>
    <xf numFmtId="183" fontId="5" fillId="24" borderId="0" xfId="0" applyNumberFormat="1" applyFont="1" applyFill="1"/>
    <xf numFmtId="178" fontId="5" fillId="24" borderId="17" xfId="0" applyNumberFormat="1" applyFont="1" applyFill="1" applyBorder="1"/>
    <xf numFmtId="3" fontId="5" fillId="24" borderId="0" xfId="0" applyNumberFormat="1" applyFont="1" applyFill="1" applyAlignment="1">
      <alignment horizontal="right"/>
    </xf>
    <xf numFmtId="0" fontId="5" fillId="24" borderId="0" xfId="0" quotePrefix="1" applyFont="1" applyFill="1" applyAlignment="1">
      <alignment horizontal="right"/>
    </xf>
    <xf numFmtId="168" fontId="5" fillId="24" borderId="0" xfId="0" applyNumberFormat="1" applyFont="1" applyFill="1" applyAlignment="1">
      <alignment horizontal="right"/>
    </xf>
    <xf numFmtId="178" fontId="5" fillId="24" borderId="0" xfId="33" applyNumberFormat="1" applyFont="1" applyFill="1"/>
    <xf numFmtId="0" fontId="5" fillId="24" borderId="0" xfId="0" quotePrefix="1" applyFont="1" applyFill="1" applyAlignment="1">
      <alignment horizontal="center"/>
    </xf>
    <xf numFmtId="168" fontId="5" fillId="24" borderId="0" xfId="0" quotePrefix="1" applyNumberFormat="1" applyFont="1" applyFill="1" applyAlignment="1">
      <alignment horizontal="center"/>
    </xf>
    <xf numFmtId="44" fontId="5" fillId="24" borderId="0" xfId="0" applyNumberFormat="1" applyFont="1" applyFill="1"/>
    <xf numFmtId="164" fontId="5" fillId="24" borderId="0" xfId="0" applyNumberFormat="1" applyFont="1" applyFill="1"/>
    <xf numFmtId="0" fontId="5" fillId="24" borderId="0" xfId="0" applyFont="1" applyFill="1" applyAlignment="1">
      <alignment horizontal="centerContinuous"/>
    </xf>
    <xf numFmtId="3" fontId="5" fillId="24" borderId="0" xfId="0" applyNumberFormat="1" applyFont="1" applyFill="1" applyAlignment="1">
      <alignment horizontal="center"/>
    </xf>
    <xf numFmtId="3" fontId="5" fillId="24" borderId="17" xfId="0" applyNumberFormat="1" applyFont="1" applyFill="1" applyBorder="1" applyAlignment="1">
      <alignment horizontal="center"/>
    </xf>
    <xf numFmtId="44" fontId="5" fillId="24" borderId="0" xfId="33" quotePrefix="1" applyFont="1" applyFill="1" applyAlignment="1">
      <alignment horizontal="right"/>
    </xf>
    <xf numFmtId="44" fontId="5" fillId="24" borderId="0" xfId="33" applyFont="1" applyFill="1" applyAlignment="1">
      <alignment horizontal="center"/>
    </xf>
    <xf numFmtId="172" fontId="5" fillId="24" borderId="0" xfId="33" applyNumberFormat="1" applyFont="1" applyFill="1"/>
    <xf numFmtId="43" fontId="5" fillId="24" borderId="0" xfId="0" applyNumberFormat="1" applyFont="1" applyFill="1"/>
    <xf numFmtId="172" fontId="5" fillId="24" borderId="0" xfId="0" applyNumberFormat="1" applyFont="1" applyFill="1"/>
    <xf numFmtId="175" fontId="5" fillId="24" borderId="0" xfId="0" applyNumberFormat="1" applyFont="1" applyFill="1"/>
    <xf numFmtId="43" fontId="5" fillId="24" borderId="0" xfId="28" quotePrefix="1" applyNumberFormat="1" applyFont="1" applyFill="1"/>
    <xf numFmtId="175" fontId="5" fillId="24" borderId="0" xfId="28" quotePrefix="1" applyNumberFormat="1" applyFont="1" applyFill="1"/>
    <xf numFmtId="172" fontId="5" fillId="24" borderId="0" xfId="33" quotePrefix="1" applyNumberFormat="1" applyFont="1" applyFill="1"/>
    <xf numFmtId="169" fontId="5" fillId="24" borderId="0" xfId="57" applyNumberFormat="1" applyFont="1" applyFill="1"/>
    <xf numFmtId="176" fontId="5" fillId="24" borderId="0" xfId="28" quotePrefix="1" applyNumberFormat="1" applyFont="1" applyFill="1"/>
    <xf numFmtId="0" fontId="63" fillId="24" borderId="0" xfId="85" applyFont="1" applyFill="1"/>
    <xf numFmtId="0" fontId="12" fillId="24" borderId="0" xfId="85" applyFont="1" applyFill="1" applyAlignment="1">
      <alignment horizontal="center"/>
    </xf>
    <xf numFmtId="0" fontId="5" fillId="24" borderId="0" xfId="85" applyFont="1" applyFill="1" applyAlignment="1">
      <alignment horizontal="center"/>
    </xf>
    <xf numFmtId="166" fontId="5" fillId="24" borderId="0" xfId="85" applyNumberFormat="1" applyFont="1" applyFill="1"/>
    <xf numFmtId="44" fontId="5" fillId="24" borderId="0" xfId="100" applyFont="1" applyFill="1"/>
    <xf numFmtId="169" fontId="5" fillId="24" borderId="0" xfId="100" applyNumberFormat="1" applyFont="1" applyFill="1"/>
    <xf numFmtId="169" fontId="5" fillId="24" borderId="0" xfId="85" applyNumberFormat="1" applyFont="1" applyFill="1"/>
    <xf numFmtId="169" fontId="16" fillId="24" borderId="0" xfId="100" applyNumberFormat="1" applyFont="1" applyFill="1"/>
    <xf numFmtId="44" fontId="5" fillId="24" borderId="0" xfId="100" applyNumberFormat="1" applyFont="1" applyFill="1"/>
    <xf numFmtId="172" fontId="5" fillId="24" borderId="0" xfId="85" applyNumberFormat="1" applyFont="1" applyFill="1"/>
    <xf numFmtId="172" fontId="5" fillId="24" borderId="0" xfId="100" applyNumberFormat="1" applyFont="1" applyFill="1"/>
    <xf numFmtId="0" fontId="58" fillId="24" borderId="0" xfId="85" applyFont="1" applyFill="1"/>
    <xf numFmtId="0" fontId="10" fillId="24" borderId="0" xfId="85" applyFont="1" applyFill="1"/>
    <xf numFmtId="0" fontId="5" fillId="24" borderId="0" xfId="85" applyFill="1" applyAlignment="1">
      <alignment horizontal="center"/>
    </xf>
    <xf numFmtId="44" fontId="7" fillId="24" borderId="0" xfId="100" quotePrefix="1" applyNumberFormat="1" applyFont="1" applyFill="1"/>
    <xf numFmtId="172" fontId="5" fillId="24" borderId="0" xfId="85" applyNumberFormat="1" applyFill="1"/>
    <xf numFmtId="0" fontId="5" fillId="24" borderId="0" xfId="85" applyFill="1" applyAlignment="1">
      <alignment horizontal="right"/>
    </xf>
    <xf numFmtId="169" fontId="5" fillId="24" borderId="0" xfId="85" applyNumberFormat="1" applyFill="1"/>
    <xf numFmtId="0" fontId="5" fillId="24" borderId="0" xfId="85" quotePrefix="1" applyFill="1"/>
    <xf numFmtId="169" fontId="16" fillId="24" borderId="0" xfId="85" applyNumberFormat="1" applyFont="1" applyFill="1"/>
    <xf numFmtId="169" fontId="0" fillId="24" borderId="0" xfId="100" applyNumberFormat="1" applyFont="1" applyFill="1"/>
    <xf numFmtId="0" fontId="12" fillId="24" borderId="0" xfId="85" applyFont="1" applyFill="1" applyAlignment="1">
      <alignment horizontal="left"/>
    </xf>
    <xf numFmtId="0" fontId="9" fillId="24" borderId="0" xfId="85" applyFont="1" applyFill="1"/>
    <xf numFmtId="0" fontId="7" fillId="24" borderId="0" xfId="85" applyFont="1" applyFill="1" applyAlignment="1">
      <alignment horizontal="center"/>
    </xf>
    <xf numFmtId="17" fontId="5" fillId="24" borderId="0" xfId="85" applyNumberFormat="1" applyFill="1"/>
    <xf numFmtId="17" fontId="5" fillId="24" borderId="0" xfId="85" applyNumberFormat="1" applyFill="1" applyAlignment="1">
      <alignment horizontal="right"/>
    </xf>
    <xf numFmtId="175" fontId="5" fillId="24" borderId="0" xfId="85" applyNumberFormat="1" applyFill="1"/>
    <xf numFmtId="175" fontId="7" fillId="24" borderId="0" xfId="85" applyNumberFormat="1" applyFont="1" applyFill="1"/>
    <xf numFmtId="0" fontId="7" fillId="24" borderId="0" xfId="85" applyFont="1" applyFill="1" applyAlignment="1">
      <alignment horizontal="right"/>
    </xf>
    <xf numFmtId="171" fontId="7" fillId="24" borderId="0" xfId="100" quotePrefix="1" applyNumberFormat="1" applyFont="1" applyFill="1" applyBorder="1"/>
    <xf numFmtId="0" fontId="5" fillId="24" borderId="0" xfId="85" applyFont="1" applyFill="1" applyAlignment="1">
      <alignment horizontal="left"/>
    </xf>
    <xf numFmtId="172" fontId="5" fillId="24" borderId="0" xfId="100" quotePrefix="1" applyNumberFormat="1" applyFont="1" applyFill="1"/>
    <xf numFmtId="0" fontId="70" fillId="24" borderId="0" xfId="85" applyFont="1" applyFill="1"/>
    <xf numFmtId="0" fontId="5" fillId="24" borderId="0" xfId="0" applyFont="1" applyFill="1" applyBorder="1" applyAlignment="1">
      <alignment horizontal="center"/>
    </xf>
    <xf numFmtId="3" fontId="5" fillId="24" borderId="0" xfId="0" applyNumberFormat="1" applyFont="1" applyFill="1" applyBorder="1"/>
    <xf numFmtId="172" fontId="5" fillId="24" borderId="0" xfId="0" applyNumberFormat="1" applyFont="1" applyFill="1" applyBorder="1"/>
    <xf numFmtId="43" fontId="5" fillId="24" borderId="0" xfId="0" applyNumberFormat="1" applyFont="1" applyFill="1" applyBorder="1"/>
    <xf numFmtId="169" fontId="5" fillId="24" borderId="0" xfId="0" applyNumberFormat="1" applyFont="1" applyFill="1" applyBorder="1"/>
    <xf numFmtId="182" fontId="5" fillId="24" borderId="0" xfId="0" applyNumberFormat="1" applyFont="1" applyFill="1" applyBorder="1"/>
    <xf numFmtId="6" fontId="5" fillId="24" borderId="0" xfId="0" applyNumberFormat="1" applyFont="1" applyFill="1" applyBorder="1"/>
    <xf numFmtId="8" fontId="5" fillId="24" borderId="0" xfId="0" applyNumberFormat="1" applyFont="1" applyFill="1" applyBorder="1"/>
    <xf numFmtId="0" fontId="5" fillId="24" borderId="0" xfId="0" applyFont="1" applyFill="1" applyBorder="1" applyAlignment="1"/>
    <xf numFmtId="178" fontId="5" fillId="24" borderId="0" xfId="0" applyNumberFormat="1" applyFont="1" applyFill="1" applyBorder="1"/>
    <xf numFmtId="17" fontId="5" fillId="24" borderId="0" xfId="0" applyNumberFormat="1" applyFont="1" applyFill="1" applyBorder="1"/>
    <xf numFmtId="17" fontId="5" fillId="24" borderId="0" xfId="0" applyNumberFormat="1" applyFont="1" applyFill="1" applyBorder="1" applyAlignment="1">
      <alignment horizontal="right"/>
    </xf>
    <xf numFmtId="175" fontId="5" fillId="24" borderId="0" xfId="0" applyNumberFormat="1" applyFont="1" applyFill="1" applyBorder="1"/>
    <xf numFmtId="174" fontId="5" fillId="24" borderId="0" xfId="28" applyNumberFormat="1" applyFont="1" applyFill="1" applyBorder="1"/>
    <xf numFmtId="9" fontId="5" fillId="24" borderId="0" xfId="57" applyFont="1" applyFill="1" applyBorder="1"/>
    <xf numFmtId="169" fontId="5" fillId="24" borderId="0" xfId="57" applyNumberFormat="1" applyFont="1" applyFill="1" applyBorder="1"/>
    <xf numFmtId="3" fontId="5" fillId="43" borderId="0" xfId="0" applyNumberFormat="1" applyFont="1" applyFill="1"/>
    <xf numFmtId="0" fontId="66" fillId="24" borderId="0" xfId="85" applyFont="1" applyFill="1"/>
    <xf numFmtId="0" fontId="61" fillId="24" borderId="0" xfId="85" applyFont="1" applyFill="1"/>
    <xf numFmtId="0" fontId="46" fillId="24" borderId="0" xfId="85" applyFont="1" applyFill="1"/>
    <xf numFmtId="0" fontId="5" fillId="24" borderId="0" xfId="160" applyFont="1" applyFill="1"/>
    <xf numFmtId="0" fontId="5" fillId="24" borderId="0" xfId="160" quotePrefix="1" applyFont="1" applyFill="1"/>
    <xf numFmtId="166" fontId="5" fillId="24" borderId="0" xfId="160" applyNumberFormat="1" applyFont="1" applyFill="1"/>
    <xf numFmtId="0" fontId="7" fillId="24" borderId="0" xfId="160" applyFont="1" applyFill="1"/>
    <xf numFmtId="169" fontId="44" fillId="24" borderId="0" xfId="100" applyNumberFormat="1" applyFont="1" applyFill="1"/>
    <xf numFmtId="0" fontId="44" fillId="24" borderId="0" xfId="85" applyFont="1" applyFill="1"/>
    <xf numFmtId="169" fontId="54" fillId="24" borderId="0" xfId="100" applyNumberFormat="1" applyFont="1" applyFill="1"/>
    <xf numFmtId="44" fontId="0" fillId="24" borderId="0" xfId="100" applyNumberFormat="1" applyFont="1" applyFill="1"/>
    <xf numFmtId="0" fontId="5" fillId="24" borderId="0" xfId="160" applyFill="1"/>
    <xf numFmtId="166" fontId="12" fillId="24" borderId="0" xfId="85" applyNumberFormat="1" applyFont="1" applyFill="1"/>
    <xf numFmtId="172" fontId="7" fillId="24" borderId="0" xfId="100" quotePrefix="1" applyNumberFormat="1" applyFont="1" applyFill="1"/>
    <xf numFmtId="169" fontId="0" fillId="24" borderId="0" xfId="100" quotePrefix="1" applyNumberFormat="1" applyFont="1" applyFill="1"/>
    <xf numFmtId="169" fontId="16" fillId="24" borderId="0" xfId="100" quotePrefix="1" applyNumberFormat="1" applyFont="1" applyFill="1"/>
    <xf numFmtId="169" fontId="7" fillId="24" borderId="0" xfId="85" applyNumberFormat="1" applyFont="1" applyFill="1"/>
    <xf numFmtId="0" fontId="5" fillId="24" borderId="0" xfId="85" applyFill="1" applyAlignment="1">
      <alignment horizontal="left"/>
    </xf>
    <xf numFmtId="0" fontId="5" fillId="24" borderId="0" xfId="85" applyFill="1" applyBorder="1"/>
    <xf numFmtId="180" fontId="7" fillId="24" borderId="0" xfId="100" quotePrefix="1" applyNumberFormat="1" applyFont="1" applyFill="1"/>
    <xf numFmtId="0" fontId="13" fillId="24" borderId="0" xfId="85" applyFont="1" applyFill="1" applyAlignment="1">
      <alignment horizontal="center"/>
    </xf>
    <xf numFmtId="44" fontId="5" fillId="24" borderId="0" xfId="85" applyNumberFormat="1" applyFill="1"/>
    <xf numFmtId="169" fontId="16" fillId="24" borderId="0" xfId="100" applyNumberFormat="1" applyFont="1" applyFill="1" applyBorder="1"/>
    <xf numFmtId="0" fontId="5" fillId="24" borderId="0" xfId="85" applyFill="1" applyAlignment="1">
      <alignment horizontal="center" wrapText="1"/>
    </xf>
    <xf numFmtId="169" fontId="5" fillId="24" borderId="17" xfId="85" applyNumberFormat="1" applyFill="1" applyBorder="1"/>
    <xf numFmtId="44" fontId="5" fillId="24" borderId="17" xfId="85" applyNumberFormat="1" applyFill="1" applyBorder="1"/>
    <xf numFmtId="0" fontId="64" fillId="24" borderId="0" xfId="85" applyFont="1" applyFill="1"/>
    <xf numFmtId="0" fontId="65" fillId="24" borderId="0" xfId="85" applyFont="1" applyFill="1"/>
    <xf numFmtId="0" fontId="12" fillId="24" borderId="0" xfId="85" applyFont="1" applyFill="1" applyAlignment="1">
      <alignment horizontal="center" wrapText="1"/>
    </xf>
    <xf numFmtId="0" fontId="5" fillId="24" borderId="0" xfId="85" quotePrefix="1" applyFont="1" applyFill="1" applyAlignment="1">
      <alignment horizontal="center"/>
    </xf>
    <xf numFmtId="178" fontId="5" fillId="24" borderId="0" xfId="85" applyNumberFormat="1" applyFont="1" applyFill="1"/>
    <xf numFmtId="0" fontId="59" fillId="24" borderId="0" xfId="0" applyFont="1" applyFill="1"/>
    <xf numFmtId="0" fontId="72" fillId="24" borderId="0" xfId="85" applyFont="1" applyFill="1" applyAlignment="1">
      <alignment horizontal="center"/>
    </xf>
    <xf numFmtId="0" fontId="73" fillId="24" borderId="0" xfId="85" applyFont="1" applyFill="1"/>
    <xf numFmtId="0" fontId="50" fillId="24" borderId="0" xfId="85" applyFont="1" applyFill="1" applyAlignment="1">
      <alignment horizontal="left"/>
    </xf>
    <xf numFmtId="0" fontId="74" fillId="24" borderId="0" xfId="85" applyFont="1" applyFill="1"/>
    <xf numFmtId="0" fontId="0" fillId="24" borderId="23" xfId="0" applyFill="1" applyBorder="1" applyAlignment="1">
      <alignment horizontal="right"/>
    </xf>
    <xf numFmtId="0" fontId="5" fillId="24" borderId="0" xfId="0" applyFont="1" applyFill="1" applyBorder="1" applyAlignment="1">
      <alignment horizontal="left"/>
    </xf>
    <xf numFmtId="0" fontId="0" fillId="24" borderId="0" xfId="0" applyFill="1" applyBorder="1" applyAlignment="1">
      <alignment horizontal="left"/>
    </xf>
    <xf numFmtId="0" fontId="5" fillId="24" borderId="25" xfId="0" applyFont="1" applyFill="1" applyBorder="1" applyAlignment="1">
      <alignment horizontal="center"/>
    </xf>
    <xf numFmtId="0" fontId="5" fillId="24" borderId="24" xfId="0" applyFont="1" applyFill="1" applyBorder="1" applyAlignment="1">
      <alignment horizontal="center"/>
    </xf>
    <xf numFmtId="178" fontId="5" fillId="24" borderId="17" xfId="33" applyNumberFormat="1" applyFont="1" applyFill="1" applyBorder="1" applyAlignment="1">
      <alignment horizontal="center"/>
    </xf>
    <xf numFmtId="4" fontId="5" fillId="24" borderId="0" xfId="0" applyNumberFormat="1" applyFont="1" applyFill="1" applyAlignment="1">
      <alignment horizontal="center" wrapText="1"/>
    </xf>
    <xf numFmtId="0" fontId="50" fillId="24" borderId="0" xfId="85" applyFont="1" applyFill="1" applyAlignment="1">
      <alignment horizontal="left" vertical="center" wrapText="1"/>
    </xf>
    <xf numFmtId="0" fontId="64" fillId="24" borderId="0" xfId="85" applyFont="1" applyFill="1" applyAlignment="1">
      <alignment horizontal="left" vertical="center" wrapText="1"/>
    </xf>
    <xf numFmtId="0" fontId="71" fillId="24" borderId="0" xfId="85" applyFont="1" applyFill="1" applyAlignment="1">
      <alignment wrapText="1"/>
    </xf>
  </cellXfs>
  <cellStyles count="16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2" xfId="52" xr:uid="{00000000-0005-0000-0000-000044000000}"/>
    <cellStyle name="Normal" xfId="0" builtinId="0"/>
    <cellStyle name="Normal 10" xfId="160" xr:uid="{00000000-0005-0000-0000-000046000000}"/>
    <cellStyle name="Normal 11 2" xfId="162" xr:uid="{00000000-0005-0000-0000-000047000000}"/>
    <cellStyle name="Normal 2" xfId="53" xr:uid="{00000000-0005-0000-0000-000048000000}"/>
    <cellStyle name="Normal 2 2" xfId="77" xr:uid="{00000000-0005-0000-0000-000049000000}"/>
    <cellStyle name="Normal 2 2 2" xfId="89" xr:uid="{00000000-0005-0000-0000-00004A000000}"/>
    <cellStyle name="Normal 2 2 2 2" xfId="149" xr:uid="{00000000-0005-0000-0000-00004B000000}"/>
    <cellStyle name="Normal 2 2 3" xfId="90" xr:uid="{00000000-0005-0000-0000-00004C000000}"/>
    <cellStyle name="Normal 2 2 3 2" xfId="150" xr:uid="{00000000-0005-0000-0000-00004D000000}"/>
    <cellStyle name="Normal 2 2 4" xfId="91" xr:uid="{00000000-0005-0000-0000-00004E000000}"/>
    <cellStyle name="Normal 2 2 4 2" xfId="151" xr:uid="{00000000-0005-0000-0000-00004F000000}"/>
    <cellStyle name="Normal 2 2 5" xfId="148" xr:uid="{00000000-0005-0000-0000-000050000000}"/>
    <cellStyle name="Normal 2 3" xfId="78" xr:uid="{00000000-0005-0000-0000-000051000000}"/>
    <cellStyle name="Normal 2 3 2" xfId="92" xr:uid="{00000000-0005-0000-0000-000052000000}"/>
    <cellStyle name="Normal 2 3 2 2" xfId="152" xr:uid="{00000000-0005-0000-0000-000053000000}"/>
    <cellStyle name="Normal 2 3 3" xfId="105" xr:uid="{00000000-0005-0000-0000-000054000000}"/>
    <cellStyle name="Normal 2 4" xfId="85" xr:uid="{00000000-0005-0000-0000-000055000000}"/>
    <cellStyle name="Normal 2 4 2" xfId="107" xr:uid="{00000000-0005-0000-0000-000056000000}"/>
    <cellStyle name="Normal 2 4 3" xfId="153" xr:uid="{00000000-0005-0000-0000-000057000000}"/>
    <cellStyle name="Normal 2 4 4" xfId="163" xr:uid="{00000000-0005-0000-0000-000058000000}"/>
    <cellStyle name="Normal 2 5" xfId="98" xr:uid="{00000000-0005-0000-0000-000059000000}"/>
    <cellStyle name="Normal 2 5 2" xfId="161" xr:uid="{00000000-0005-0000-0000-00005A000000}"/>
    <cellStyle name="Normal 2 6" xfId="108" xr:uid="{00000000-0005-0000-0000-00005B000000}"/>
    <cellStyle name="Normal 3" xfId="54" xr:uid="{00000000-0005-0000-0000-00005C000000}"/>
    <cellStyle name="Normal 3 2" xfId="86" xr:uid="{00000000-0005-0000-0000-00005D000000}"/>
    <cellStyle name="Normal 3 2 2" xfId="102" xr:uid="{00000000-0005-0000-0000-00005E000000}"/>
    <cellStyle name="Normal 3 3" xfId="93" xr:uid="{00000000-0005-0000-0000-00005F000000}"/>
    <cellStyle name="Normal 3 4" xfId="154" xr:uid="{00000000-0005-0000-0000-000060000000}"/>
    <cellStyle name="Normal 4" xfId="79" xr:uid="{00000000-0005-0000-0000-000061000000}"/>
    <cellStyle name="Normal 4 2" xfId="94" xr:uid="{00000000-0005-0000-0000-000062000000}"/>
    <cellStyle name="Normal 4 3" xfId="106" xr:uid="{00000000-0005-0000-0000-000063000000}"/>
    <cellStyle name="Normal 5" xfId="82" xr:uid="{00000000-0005-0000-0000-000064000000}"/>
    <cellStyle name="Note 2" xfId="55" xr:uid="{00000000-0005-0000-0000-000065000000}"/>
    <cellStyle name="Note 2 2" xfId="80" xr:uid="{00000000-0005-0000-0000-000066000000}"/>
    <cellStyle name="Output 2" xfId="56" xr:uid="{00000000-0005-0000-0000-000067000000}"/>
    <cellStyle name="Percent" xfId="57" builtinId="5"/>
    <cellStyle name="Percent 2" xfId="58" xr:uid="{00000000-0005-0000-0000-000069000000}"/>
    <cellStyle name="Percent 2 2" xfId="59" xr:uid="{00000000-0005-0000-0000-00006A000000}"/>
    <cellStyle name="Percent 2 2 2" xfId="103" xr:uid="{00000000-0005-0000-0000-00006B000000}"/>
    <cellStyle name="Percent 2 3" xfId="81" xr:uid="{00000000-0005-0000-0000-00006C000000}"/>
    <cellStyle name="Percent 3" xfId="60" xr:uid="{00000000-0005-0000-0000-00006D000000}"/>
    <cellStyle name="Percent 3 2" xfId="61" xr:uid="{00000000-0005-0000-0000-00006E000000}"/>
    <cellStyle name="Percent 3 2 2" xfId="68" xr:uid="{00000000-0005-0000-0000-00006F000000}"/>
    <cellStyle name="Percent 4" xfId="62" xr:uid="{00000000-0005-0000-0000-000070000000}"/>
    <cellStyle name="Percent 4 2" xfId="104" xr:uid="{00000000-0005-0000-0000-000071000000}"/>
    <cellStyle name="Percent 5" xfId="70" xr:uid="{00000000-0005-0000-0000-000072000000}"/>
    <cellStyle name="Percent 5 2" xfId="73" xr:uid="{00000000-0005-0000-0000-000073000000}"/>
    <cellStyle name="Percent 5 3" xfId="155" xr:uid="{00000000-0005-0000-0000-000074000000}"/>
    <cellStyle name="Percent 6" xfId="84" xr:uid="{00000000-0005-0000-0000-000075000000}"/>
    <cellStyle name="Percent 7" xfId="156" xr:uid="{00000000-0005-0000-0000-000076000000}"/>
    <cellStyle name="SAPBEXaggData" xfId="95" xr:uid="{00000000-0005-0000-0000-000077000000}"/>
    <cellStyle name="SAPBEXaggDataEmph" xfId="109" xr:uid="{00000000-0005-0000-0000-000078000000}"/>
    <cellStyle name="SAPBEXaggItem" xfId="110" xr:uid="{00000000-0005-0000-0000-000079000000}"/>
    <cellStyle name="SAPBEXaggItemX" xfId="111" xr:uid="{00000000-0005-0000-0000-00007A000000}"/>
    <cellStyle name="SAPBEXchaText" xfId="112" xr:uid="{00000000-0005-0000-0000-00007B000000}"/>
    <cellStyle name="SAPBEXexcBad7" xfId="113" xr:uid="{00000000-0005-0000-0000-00007C000000}"/>
    <cellStyle name="SAPBEXexcBad8" xfId="114" xr:uid="{00000000-0005-0000-0000-00007D000000}"/>
    <cellStyle name="SAPBEXexcBad9" xfId="115" xr:uid="{00000000-0005-0000-0000-00007E000000}"/>
    <cellStyle name="SAPBEXexcCritical4" xfId="116" xr:uid="{00000000-0005-0000-0000-00007F000000}"/>
    <cellStyle name="SAPBEXexcCritical5" xfId="117" xr:uid="{00000000-0005-0000-0000-000080000000}"/>
    <cellStyle name="SAPBEXexcCritical6" xfId="118" xr:uid="{00000000-0005-0000-0000-000081000000}"/>
    <cellStyle name="SAPBEXexcGood1" xfId="119" xr:uid="{00000000-0005-0000-0000-000082000000}"/>
    <cellStyle name="SAPBEXexcGood2" xfId="120" xr:uid="{00000000-0005-0000-0000-000083000000}"/>
    <cellStyle name="SAPBEXexcGood3" xfId="121" xr:uid="{00000000-0005-0000-0000-000084000000}"/>
    <cellStyle name="SAPBEXfilterDrill" xfId="122" xr:uid="{00000000-0005-0000-0000-000085000000}"/>
    <cellStyle name="SAPBEXfilterItem" xfId="123" xr:uid="{00000000-0005-0000-0000-000086000000}"/>
    <cellStyle name="SAPBEXfilterText" xfId="124" xr:uid="{00000000-0005-0000-0000-000087000000}"/>
    <cellStyle name="SAPBEXformats" xfId="125" xr:uid="{00000000-0005-0000-0000-000088000000}"/>
    <cellStyle name="SAPBEXheaderItem" xfId="126" xr:uid="{00000000-0005-0000-0000-000089000000}"/>
    <cellStyle name="SAPBEXheaderItem 2" xfId="158" xr:uid="{00000000-0005-0000-0000-00008A000000}"/>
    <cellStyle name="SAPBEXheaderText" xfId="127" xr:uid="{00000000-0005-0000-0000-00008B000000}"/>
    <cellStyle name="SAPBEXheaderText 2" xfId="159" xr:uid="{00000000-0005-0000-0000-00008C000000}"/>
    <cellStyle name="SAPBEXHLevel0" xfId="128" xr:uid="{00000000-0005-0000-0000-00008D000000}"/>
    <cellStyle name="SAPBEXHLevel0X" xfId="129" xr:uid="{00000000-0005-0000-0000-00008E000000}"/>
    <cellStyle name="SAPBEXHLevel1" xfId="130" xr:uid="{00000000-0005-0000-0000-00008F000000}"/>
    <cellStyle name="SAPBEXHLevel1X" xfId="131" xr:uid="{00000000-0005-0000-0000-000090000000}"/>
    <cellStyle name="SAPBEXHLevel2" xfId="132" xr:uid="{00000000-0005-0000-0000-000091000000}"/>
    <cellStyle name="SAPBEXHLevel2X" xfId="133" xr:uid="{00000000-0005-0000-0000-000092000000}"/>
    <cellStyle name="SAPBEXHLevel3" xfId="134" xr:uid="{00000000-0005-0000-0000-000093000000}"/>
    <cellStyle name="SAPBEXHLevel3X" xfId="135" xr:uid="{00000000-0005-0000-0000-000094000000}"/>
    <cellStyle name="SAPBEXresData" xfId="136" xr:uid="{00000000-0005-0000-0000-000095000000}"/>
    <cellStyle name="SAPBEXresDataEmph" xfId="137" xr:uid="{00000000-0005-0000-0000-000096000000}"/>
    <cellStyle name="SAPBEXresItem" xfId="138" xr:uid="{00000000-0005-0000-0000-000097000000}"/>
    <cellStyle name="SAPBEXresItemX" xfId="139" xr:uid="{00000000-0005-0000-0000-000098000000}"/>
    <cellStyle name="SAPBEXstdData" xfId="140" xr:uid="{00000000-0005-0000-0000-000099000000}"/>
    <cellStyle name="SAPBEXstdDataEmph" xfId="141" xr:uid="{00000000-0005-0000-0000-00009A000000}"/>
    <cellStyle name="SAPBEXstdItem" xfId="142" xr:uid="{00000000-0005-0000-0000-00009B000000}"/>
    <cellStyle name="SAPBEXstdItemX" xfId="143" xr:uid="{00000000-0005-0000-0000-00009C000000}"/>
    <cellStyle name="SAPBEXtitle" xfId="144" xr:uid="{00000000-0005-0000-0000-00009D000000}"/>
    <cellStyle name="SAPBEXundefined" xfId="145" xr:uid="{00000000-0005-0000-0000-00009E000000}"/>
    <cellStyle name="Title 2" xfId="63" xr:uid="{00000000-0005-0000-0000-00009F000000}"/>
    <cellStyle name="Total" xfId="64" builtinId="25" customBuiltin="1"/>
    <cellStyle name="Total 2" xfId="65" xr:uid="{00000000-0005-0000-0000-0000A1000000}"/>
    <cellStyle name="Total 3" xfId="96" xr:uid="{00000000-0005-0000-0000-0000A2000000}"/>
    <cellStyle name="Warning Text 2" xfId="66" xr:uid="{00000000-0005-0000-0000-0000A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E5F7"/>
      <color rgb="FFFFAFF4"/>
      <color rgb="FF161BF6"/>
      <color rgb="FF143AF8"/>
      <color rgb="FFDF93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file://C:\Users\cmtv0\AppData\Local\Microsoft\Windows\2021%20BGS-RSCP%20for%202022-2023\01.2022%20Compliance%20Filing\Model%20Updates\Pre-auction%20Final\Working%20Copy\Pre-auction%20Final\AppData\Local\Microsoft\2018%20BGS-RSCP%20for%202019-2020\2019.01%20Compliance%20Filing\Pre%20Auction\2015%20BGS-RSCP%20for%202016-2017\2015-11%20Compliance%20Filing\2015%20BGS-RSCP%20for%202016-2017\2015-07%20Initial%20Filing\BGS-FP%20Initial%20Filing%20Supporting%20Documents\Table1&amp;2%20-%20OnPeak%25\Table%201%20-%20Time%20period%20usage%20for%202016-17%20Spreadsheet.xls" TargetMode="Externa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AN681"/>
  <sheetViews>
    <sheetView tabSelected="1" topLeftCell="A6" zoomScale="80" zoomScaleNormal="80" zoomScaleSheetLayoutView="55" workbookViewId="0">
      <selection activeCell="A6" sqref="A6"/>
    </sheetView>
  </sheetViews>
  <sheetFormatPr defaultColWidth="9.1328125" defaultRowHeight="13" outlineLevelRow="1" x14ac:dyDescent="0.6"/>
  <cols>
    <col min="1" max="1" width="17.40625" style="4" customWidth="1"/>
    <col min="2" max="2" width="66.26953125" style="5" customWidth="1"/>
    <col min="3" max="3" width="11.40625" style="5" customWidth="1"/>
    <col min="4" max="4" width="9.7265625" style="5" customWidth="1"/>
    <col min="5" max="5" width="13.26953125" style="5" customWidth="1"/>
    <col min="6" max="6" width="12.7265625" style="5" customWidth="1"/>
    <col min="7" max="8" width="10.7265625" style="5" customWidth="1"/>
    <col min="9" max="9" width="11" style="5" customWidth="1"/>
    <col min="10" max="10" width="10.7265625" style="5" customWidth="1"/>
    <col min="11" max="11" width="12.26953125" style="5" customWidth="1"/>
    <col min="12" max="12" width="12.40625" style="5" customWidth="1"/>
    <col min="13" max="14" width="13.26953125" style="5" customWidth="1"/>
    <col min="15" max="15" width="13.40625" style="5" customWidth="1"/>
    <col min="16" max="16" width="13" style="5" customWidth="1"/>
    <col min="17" max="17" width="11.1328125" style="5" customWidth="1"/>
    <col min="18" max="18" width="10.86328125" style="5" bestFit="1" customWidth="1"/>
    <col min="19" max="19" width="9.1328125" style="5"/>
    <col min="20" max="20" width="10.1328125" style="5" bestFit="1" customWidth="1"/>
    <col min="21" max="21" width="14.40625" style="5" customWidth="1"/>
    <col min="22" max="22" width="11" style="5" bestFit="1" customWidth="1"/>
    <col min="23" max="23" width="10.7265625" style="5" customWidth="1"/>
    <col min="24" max="24" width="11.7265625" style="5" customWidth="1"/>
    <col min="25" max="25" width="11.26953125" style="5" bestFit="1" customWidth="1"/>
    <col min="26" max="26" width="10.1328125" style="5" customWidth="1"/>
    <col min="27" max="27" width="10.7265625" style="5" customWidth="1"/>
    <col min="28" max="28" width="12.86328125" style="5" bestFit="1" customWidth="1"/>
    <col min="29" max="29" width="9.1328125" style="5"/>
    <col min="30" max="30" width="17.54296875" style="5" customWidth="1"/>
    <col min="31" max="31" width="9.1328125" style="5"/>
    <col min="32" max="32" width="10.26953125" style="5" bestFit="1" customWidth="1"/>
    <col min="33" max="33" width="10.54296875" style="5" customWidth="1"/>
    <col min="34" max="16384" width="9.1328125" style="5"/>
  </cols>
  <sheetData>
    <row r="1" spans="1:24" hidden="1" x14ac:dyDescent="0.6">
      <c r="A1" s="5"/>
    </row>
    <row r="2" spans="1:24" hidden="1" x14ac:dyDescent="0.6">
      <c r="A2" s="10"/>
      <c r="B2" s="191" t="s">
        <v>403</v>
      </c>
      <c r="D2" s="192">
        <v>2023</v>
      </c>
    </row>
    <row r="3" spans="1:24" hidden="1" x14ac:dyDescent="0.6">
      <c r="A3" s="4" t="s">
        <v>281</v>
      </c>
      <c r="C3" s="6"/>
      <c r="D3" s="6"/>
      <c r="E3" s="6"/>
      <c r="F3" s="6"/>
      <c r="G3" s="6"/>
      <c r="H3" s="6"/>
      <c r="I3" s="6"/>
      <c r="J3" s="6"/>
      <c r="K3" s="6"/>
      <c r="L3" s="6"/>
    </row>
    <row r="4" spans="1:24" hidden="1" x14ac:dyDescent="0.6">
      <c r="A4" s="5"/>
    </row>
    <row r="5" spans="1:24" hidden="1" x14ac:dyDescent="0.6">
      <c r="A5" s="75"/>
      <c r="B5" s="491"/>
      <c r="C5" s="492"/>
      <c r="D5" s="492"/>
      <c r="E5" s="492"/>
      <c r="F5" s="492"/>
      <c r="G5" s="492"/>
      <c r="H5" s="492"/>
      <c r="I5" s="492"/>
      <c r="J5" s="492"/>
      <c r="K5" s="492"/>
      <c r="L5" s="492"/>
    </row>
    <row r="6" spans="1:24" x14ac:dyDescent="0.6">
      <c r="C6" s="6"/>
      <c r="D6" s="6"/>
      <c r="E6" s="6"/>
      <c r="F6" s="6"/>
      <c r="G6" s="6"/>
      <c r="H6" s="6"/>
      <c r="I6" s="6"/>
      <c r="J6" s="6"/>
      <c r="K6" s="6"/>
      <c r="L6" s="6"/>
    </row>
    <row r="7" spans="1:24" ht="15.5" x14ac:dyDescent="0.7">
      <c r="B7" s="178" t="str">
        <f>"Development of BGS-RSCP Cost and Bid Factors for "&amp;(Input!D2)&amp;"/"&amp;(Input!D2+1)&amp;" BGS Filing"</f>
        <v>Development of BGS-RSCP Cost and Bid Factors for 2023/2024 BGS Filing</v>
      </c>
      <c r="C7" s="58"/>
      <c r="D7" s="58"/>
      <c r="E7" s="58"/>
      <c r="F7" s="58"/>
      <c r="J7" s="178"/>
    </row>
    <row r="8" spans="1:24" x14ac:dyDescent="0.6">
      <c r="A8" s="7"/>
      <c r="B8" s="8" t="s">
        <v>91</v>
      </c>
      <c r="C8" s="58"/>
      <c r="D8" s="58"/>
      <c r="E8" s="58"/>
      <c r="F8" s="58"/>
    </row>
    <row r="9" spans="1:24" x14ac:dyDescent="0.6">
      <c r="B9" s="58"/>
      <c r="C9" s="58"/>
      <c r="D9" s="58"/>
      <c r="E9" s="9" t="str">
        <f>"Based on average of year "&amp;(Input!D2-4)&amp;", "&amp;(Input!D2-3)&amp;" &amp; "&amp;(Input!D2-2)&amp;" Load Profile Information"</f>
        <v>Based on average of year 2019, 2020 &amp; 2021 Load Profile Information</v>
      </c>
      <c r="F9" s="58"/>
    </row>
    <row r="10" spans="1:24" x14ac:dyDescent="0.6">
      <c r="A10" s="10" t="s">
        <v>64</v>
      </c>
      <c r="B10" s="11" t="s">
        <v>129</v>
      </c>
      <c r="C10" s="87"/>
      <c r="D10" s="58"/>
      <c r="E10" s="9" t="s">
        <v>60</v>
      </c>
      <c r="F10" s="58"/>
      <c r="N10" s="11"/>
      <c r="O10" s="11"/>
      <c r="P10" s="58"/>
      <c r="Q10" s="58"/>
      <c r="R10" s="58"/>
      <c r="S10" s="58"/>
      <c r="T10" s="58"/>
      <c r="U10" s="58"/>
      <c r="V10" s="58"/>
      <c r="W10" s="58"/>
      <c r="X10" s="58"/>
    </row>
    <row r="11" spans="1:24" ht="39" x14ac:dyDescent="0.6">
      <c r="A11" s="12"/>
      <c r="B11" s="88"/>
      <c r="C11" s="13" t="s">
        <v>50</v>
      </c>
      <c r="D11" s="13" t="s">
        <v>50</v>
      </c>
      <c r="E11" s="13" t="s">
        <v>50</v>
      </c>
      <c r="F11" s="13" t="s">
        <v>50</v>
      </c>
      <c r="G11" s="13" t="s">
        <v>50</v>
      </c>
      <c r="H11" s="13" t="s">
        <v>50</v>
      </c>
      <c r="I11" s="14" t="s">
        <v>96</v>
      </c>
      <c r="J11" s="89"/>
      <c r="K11" s="13" t="s">
        <v>50</v>
      </c>
      <c r="L11" s="13" t="s">
        <v>50</v>
      </c>
      <c r="M11" s="15"/>
      <c r="N11" s="9"/>
      <c r="O11" s="15"/>
      <c r="P11" s="15"/>
      <c r="Q11" s="15"/>
      <c r="R11" s="15"/>
      <c r="S11" s="15"/>
      <c r="T11" s="15"/>
      <c r="U11" s="9"/>
      <c r="V11" s="90"/>
      <c r="W11" s="15"/>
      <c r="X11" s="15"/>
    </row>
    <row r="12" spans="1:24" x14ac:dyDescent="0.6">
      <c r="A12" s="12"/>
      <c r="B12" s="16" t="s">
        <v>233</v>
      </c>
      <c r="C12" s="17" t="s">
        <v>0</v>
      </c>
      <c r="D12" s="17" t="s">
        <v>1</v>
      </c>
      <c r="E12" s="17" t="s">
        <v>2</v>
      </c>
      <c r="F12" s="17" t="s">
        <v>3</v>
      </c>
      <c r="G12" s="17" t="s">
        <v>4</v>
      </c>
      <c r="H12" s="17" t="s">
        <v>6</v>
      </c>
      <c r="I12" s="17" t="s">
        <v>37</v>
      </c>
      <c r="J12" s="17" t="s">
        <v>38</v>
      </c>
      <c r="K12" s="17" t="s">
        <v>5</v>
      </c>
      <c r="L12" s="17" t="s">
        <v>36</v>
      </c>
      <c r="M12" s="18"/>
      <c r="N12" s="19"/>
      <c r="O12" s="6"/>
      <c r="P12" s="6"/>
      <c r="Q12" s="6"/>
      <c r="R12" s="6"/>
      <c r="S12" s="6"/>
      <c r="T12" s="6"/>
      <c r="U12" s="6"/>
      <c r="V12" s="6"/>
      <c r="W12" s="6"/>
      <c r="X12" s="6"/>
    </row>
    <row r="13" spans="1:24" x14ac:dyDescent="0.6">
      <c r="A13" s="12"/>
      <c r="B13" s="20"/>
      <c r="C13" s="17"/>
      <c r="D13" s="17"/>
      <c r="E13" s="17"/>
      <c r="F13" s="17"/>
      <c r="G13" s="17"/>
      <c r="H13" s="17"/>
      <c r="I13" s="17"/>
      <c r="J13" s="17"/>
      <c r="K13" s="17"/>
      <c r="L13" s="17"/>
      <c r="O13" s="58"/>
      <c r="P13" s="58"/>
      <c r="Q13" s="58"/>
      <c r="R13" s="58"/>
      <c r="S13" s="58"/>
      <c r="T13" s="58"/>
      <c r="U13" s="58"/>
      <c r="V13" s="58"/>
      <c r="W13" s="58"/>
      <c r="X13" s="58"/>
    </row>
    <row r="14" spans="1:24" x14ac:dyDescent="0.6">
      <c r="A14" s="12"/>
      <c r="B14" s="21" t="s">
        <v>7</v>
      </c>
      <c r="C14" s="179">
        <v>0.48099999999999998</v>
      </c>
      <c r="D14" s="179">
        <v>0.47470000000000001</v>
      </c>
      <c r="E14" s="179">
        <v>0.47470000000000001</v>
      </c>
      <c r="F14" s="179">
        <v>0.48099999999999998</v>
      </c>
      <c r="G14" s="179">
        <v>0.48099999999999998</v>
      </c>
      <c r="H14" s="179">
        <v>0.48599999999999999</v>
      </c>
      <c r="I14" s="179">
        <v>0.30470000000000003</v>
      </c>
      <c r="J14" s="179">
        <v>0.30470000000000003</v>
      </c>
      <c r="K14" s="179">
        <v>0.53900000000000003</v>
      </c>
      <c r="L14" s="179">
        <v>0.51970000000000005</v>
      </c>
      <c r="M14" s="22"/>
      <c r="N14" s="91"/>
      <c r="O14" s="91"/>
      <c r="P14" s="91"/>
      <c r="Q14" s="91"/>
      <c r="R14" s="91"/>
      <c r="S14" s="91"/>
      <c r="T14" s="91"/>
      <c r="U14" s="91"/>
      <c r="V14" s="91"/>
      <c r="W14" s="91"/>
      <c r="X14" s="91"/>
    </row>
    <row r="15" spans="1:24" x14ac:dyDescent="0.6">
      <c r="A15" s="12"/>
      <c r="B15" s="21" t="s">
        <v>8</v>
      </c>
      <c r="C15" s="179">
        <v>0.48870000000000002</v>
      </c>
      <c r="D15" s="179">
        <v>0.47099999999999997</v>
      </c>
      <c r="E15" s="179">
        <v>0.48170000000000002</v>
      </c>
      <c r="F15" s="179">
        <v>0.48870000000000002</v>
      </c>
      <c r="G15" s="179">
        <v>0.48870000000000002</v>
      </c>
      <c r="H15" s="179">
        <v>0.48230000000000001</v>
      </c>
      <c r="I15" s="179">
        <v>0.2913</v>
      </c>
      <c r="J15" s="179">
        <v>0.2913</v>
      </c>
      <c r="K15" s="179">
        <v>0.5413</v>
      </c>
      <c r="L15" s="179">
        <v>0.52700000000000002</v>
      </c>
      <c r="M15" s="22"/>
      <c r="N15" s="91"/>
      <c r="O15" s="91"/>
      <c r="P15" s="91"/>
      <c r="Q15" s="91"/>
      <c r="R15" s="91"/>
      <c r="S15" s="91"/>
      <c r="T15" s="91"/>
      <c r="U15" s="91"/>
      <c r="V15" s="91"/>
      <c r="W15" s="91"/>
      <c r="X15" s="91"/>
    </row>
    <row r="16" spans="1:24" x14ac:dyDescent="0.6">
      <c r="A16" s="12"/>
      <c r="B16" s="21" t="s">
        <v>9</v>
      </c>
      <c r="C16" s="179">
        <v>0.497</v>
      </c>
      <c r="D16" s="179">
        <v>0.48430000000000001</v>
      </c>
      <c r="E16" s="179">
        <v>0.48399999999999999</v>
      </c>
      <c r="F16" s="179">
        <v>0.497</v>
      </c>
      <c r="G16" s="179">
        <v>0.497</v>
      </c>
      <c r="H16" s="179">
        <v>0.49969999999999998</v>
      </c>
      <c r="I16" s="179">
        <v>0.254</v>
      </c>
      <c r="J16" s="179">
        <v>0.254</v>
      </c>
      <c r="K16" s="179">
        <v>0.55300000000000005</v>
      </c>
      <c r="L16" s="179">
        <v>0.53600000000000003</v>
      </c>
      <c r="M16" s="22"/>
      <c r="N16" s="91"/>
      <c r="O16" s="91"/>
      <c r="P16" s="91"/>
      <c r="Q16" s="91"/>
      <c r="R16" s="91"/>
      <c r="S16" s="91"/>
      <c r="T16" s="91"/>
      <c r="U16" s="91"/>
      <c r="V16" s="91"/>
      <c r="W16" s="91"/>
      <c r="X16" s="91"/>
    </row>
    <row r="17" spans="1:24" x14ac:dyDescent="0.6">
      <c r="A17" s="12"/>
      <c r="B17" s="21" t="s">
        <v>10</v>
      </c>
      <c r="C17" s="179">
        <v>0.51700000000000002</v>
      </c>
      <c r="D17" s="179">
        <v>0.51729999999999998</v>
      </c>
      <c r="E17" s="179">
        <v>0.50600000000000001</v>
      </c>
      <c r="F17" s="179">
        <v>0.51700000000000002</v>
      </c>
      <c r="G17" s="179">
        <v>0.51700000000000002</v>
      </c>
      <c r="H17" s="179">
        <v>0.53269999999999995</v>
      </c>
      <c r="I17" s="179">
        <v>0.23300000000000001</v>
      </c>
      <c r="J17" s="179">
        <v>0.23300000000000001</v>
      </c>
      <c r="K17" s="179">
        <v>0.56969999999999998</v>
      </c>
      <c r="L17" s="179">
        <v>0.55169999999999997</v>
      </c>
      <c r="M17" s="22"/>
      <c r="N17" s="91"/>
      <c r="O17" s="91"/>
      <c r="P17" s="91"/>
      <c r="Q17" s="91"/>
      <c r="R17" s="91"/>
      <c r="S17" s="91"/>
      <c r="T17" s="91"/>
      <c r="U17" s="91"/>
      <c r="V17" s="91"/>
      <c r="W17" s="91"/>
      <c r="X17" s="91"/>
    </row>
    <row r="18" spans="1:24" x14ac:dyDescent="0.6">
      <c r="A18" s="12"/>
      <c r="B18" s="21" t="s">
        <v>11</v>
      </c>
      <c r="C18" s="179">
        <v>0.46829999999999999</v>
      </c>
      <c r="D18" s="179">
        <v>0.47170000000000001</v>
      </c>
      <c r="E18" s="179">
        <v>0.46629999999999999</v>
      </c>
      <c r="F18" s="179">
        <v>0.46829999999999999</v>
      </c>
      <c r="G18" s="179">
        <v>0.46829999999999999</v>
      </c>
      <c r="H18" s="179">
        <v>0.53</v>
      </c>
      <c r="I18" s="179">
        <v>0.1983</v>
      </c>
      <c r="J18" s="179">
        <v>0.1983</v>
      </c>
      <c r="K18" s="179">
        <v>0.53129999999999999</v>
      </c>
      <c r="L18" s="179">
        <v>0.51</v>
      </c>
      <c r="M18" s="22"/>
      <c r="N18" s="91"/>
      <c r="O18" s="91"/>
      <c r="P18" s="91"/>
      <c r="Q18" s="91"/>
      <c r="R18" s="91"/>
      <c r="S18" s="91"/>
      <c r="T18" s="91"/>
      <c r="U18" s="91"/>
      <c r="V18" s="91"/>
      <c r="W18" s="91"/>
      <c r="X18" s="91"/>
    </row>
    <row r="19" spans="1:24" x14ac:dyDescent="0.6">
      <c r="A19" s="12"/>
      <c r="B19" s="21" t="s">
        <v>12</v>
      </c>
      <c r="C19" s="179">
        <v>0.51900000000000002</v>
      </c>
      <c r="D19" s="179">
        <v>0.52829999999999999</v>
      </c>
      <c r="E19" s="179">
        <v>0.52769999999999995</v>
      </c>
      <c r="F19" s="179">
        <v>0.51900000000000002</v>
      </c>
      <c r="G19" s="179">
        <v>0.51900000000000002</v>
      </c>
      <c r="H19" s="179">
        <v>0.60970000000000002</v>
      </c>
      <c r="I19" s="179">
        <v>0.20069999999999999</v>
      </c>
      <c r="J19" s="179">
        <v>0.20069999999999999</v>
      </c>
      <c r="K19" s="179">
        <v>0.57769999999999999</v>
      </c>
      <c r="L19" s="179">
        <v>0.55500000000000005</v>
      </c>
      <c r="M19" s="22"/>
      <c r="N19" s="91"/>
      <c r="O19" s="91"/>
      <c r="P19" s="91"/>
      <c r="Q19" s="91"/>
      <c r="R19" s="91"/>
      <c r="S19" s="91"/>
      <c r="T19" s="91"/>
      <c r="U19" s="91"/>
      <c r="V19" s="91"/>
      <c r="W19" s="91"/>
      <c r="X19" s="91"/>
    </row>
    <row r="20" spans="1:24" x14ac:dyDescent="0.6">
      <c r="A20" s="12"/>
      <c r="B20" s="21" t="s">
        <v>13</v>
      </c>
      <c r="C20" s="179">
        <v>0.53069999999999995</v>
      </c>
      <c r="D20" s="179">
        <v>0.53800000000000003</v>
      </c>
      <c r="E20" s="179">
        <v>0.5373</v>
      </c>
      <c r="F20" s="179">
        <v>0.53069999999999995</v>
      </c>
      <c r="G20" s="179">
        <v>0.53069999999999995</v>
      </c>
      <c r="H20" s="179">
        <v>0.61699999999999999</v>
      </c>
      <c r="I20" s="179">
        <v>0.20100000000000001</v>
      </c>
      <c r="J20" s="179">
        <v>0.20100000000000001</v>
      </c>
      <c r="K20" s="179">
        <v>0.5857</v>
      </c>
      <c r="L20" s="179">
        <v>0.55569999999999997</v>
      </c>
      <c r="M20" s="22"/>
      <c r="N20" s="91"/>
      <c r="O20" s="91"/>
      <c r="P20" s="91"/>
      <c r="Q20" s="91"/>
      <c r="R20" s="91"/>
      <c r="S20" s="91"/>
      <c r="T20" s="91"/>
      <c r="U20" s="91"/>
      <c r="V20" s="91"/>
      <c r="W20" s="91"/>
      <c r="X20" s="91"/>
    </row>
    <row r="21" spans="1:24" x14ac:dyDescent="0.6">
      <c r="A21" s="12"/>
      <c r="B21" s="21" t="s">
        <v>14</v>
      </c>
      <c r="C21" s="179">
        <v>0.52129999999999999</v>
      </c>
      <c r="D21" s="179">
        <v>0.52669999999999995</v>
      </c>
      <c r="E21" s="179">
        <v>0.52629999999999999</v>
      </c>
      <c r="F21" s="179">
        <v>0.52129999999999999</v>
      </c>
      <c r="G21" s="179">
        <v>0.52129999999999999</v>
      </c>
      <c r="H21" s="179">
        <v>0.61029999999999995</v>
      </c>
      <c r="I21" s="179">
        <v>0.21199999999999999</v>
      </c>
      <c r="J21" s="179">
        <v>0.21199999999999999</v>
      </c>
      <c r="K21" s="179">
        <v>0.57599999999999996</v>
      </c>
      <c r="L21" s="179">
        <v>0.54369999999999996</v>
      </c>
      <c r="M21" s="22"/>
      <c r="N21" s="91"/>
      <c r="O21" s="91"/>
      <c r="P21" s="91"/>
      <c r="Q21" s="91"/>
      <c r="R21" s="91"/>
      <c r="S21" s="91"/>
      <c r="T21" s="91"/>
      <c r="U21" s="91"/>
      <c r="V21" s="91"/>
      <c r="W21" s="91"/>
      <c r="X21" s="91"/>
    </row>
    <row r="22" spans="1:24" x14ac:dyDescent="0.6">
      <c r="A22" s="12"/>
      <c r="B22" s="21" t="s">
        <v>15</v>
      </c>
      <c r="C22" s="179">
        <v>0.49830000000000002</v>
      </c>
      <c r="D22" s="179">
        <v>0.50800000000000001</v>
      </c>
      <c r="E22" s="179">
        <v>0.50270000000000004</v>
      </c>
      <c r="F22" s="179">
        <v>0.49830000000000002</v>
      </c>
      <c r="G22" s="179">
        <v>0.49830000000000002</v>
      </c>
      <c r="H22" s="179">
        <v>0.5927</v>
      </c>
      <c r="I22" s="179">
        <v>0.23369999999999999</v>
      </c>
      <c r="J22" s="179">
        <v>0.23369999999999999</v>
      </c>
      <c r="K22" s="179">
        <v>0.56630000000000003</v>
      </c>
      <c r="L22" s="179">
        <v>0.54469999999999996</v>
      </c>
      <c r="M22" s="22"/>
      <c r="N22" s="91"/>
      <c r="O22" s="91"/>
      <c r="P22" s="91"/>
      <c r="Q22" s="91"/>
      <c r="R22" s="91"/>
      <c r="S22" s="91"/>
      <c r="T22" s="91"/>
      <c r="U22" s="91"/>
      <c r="V22" s="91"/>
      <c r="W22" s="91"/>
      <c r="X22" s="91"/>
    </row>
    <row r="23" spans="1:24" x14ac:dyDescent="0.6">
      <c r="A23" s="12"/>
      <c r="B23" s="21" t="s">
        <v>16</v>
      </c>
      <c r="C23" s="179">
        <v>0.50970000000000004</v>
      </c>
      <c r="D23" s="179">
        <v>0.51229999999999998</v>
      </c>
      <c r="E23" s="179">
        <v>0.50029999999999997</v>
      </c>
      <c r="F23" s="179">
        <v>0.50970000000000004</v>
      </c>
      <c r="G23" s="179">
        <v>0.50970000000000004</v>
      </c>
      <c r="H23" s="179">
        <v>0.57369999999999999</v>
      </c>
      <c r="I23" s="179">
        <v>0.26929999999999998</v>
      </c>
      <c r="J23" s="179">
        <v>0.26929999999999998</v>
      </c>
      <c r="K23" s="179">
        <v>0.57369999999999999</v>
      </c>
      <c r="L23" s="179">
        <v>0.55569999999999997</v>
      </c>
      <c r="M23" s="22"/>
      <c r="N23" s="91"/>
      <c r="O23" s="91"/>
      <c r="P23" s="91"/>
      <c r="Q23" s="91"/>
      <c r="R23" s="91"/>
      <c r="S23" s="91"/>
      <c r="T23" s="91"/>
      <c r="U23" s="91"/>
      <c r="V23" s="91"/>
      <c r="W23" s="91"/>
      <c r="X23" s="91"/>
    </row>
    <row r="24" spans="1:24" x14ac:dyDescent="0.6">
      <c r="A24" s="12"/>
      <c r="B24" s="21" t="s">
        <v>17</v>
      </c>
      <c r="C24" s="179">
        <v>0.4713</v>
      </c>
      <c r="D24" s="179">
        <v>0.4597</v>
      </c>
      <c r="E24" s="179">
        <v>0.45900000000000002</v>
      </c>
      <c r="F24" s="179">
        <v>0.4713</v>
      </c>
      <c r="G24" s="179">
        <v>0.4713</v>
      </c>
      <c r="H24" s="179">
        <v>0.48099999999999998</v>
      </c>
      <c r="I24" s="179">
        <v>0.30170000000000002</v>
      </c>
      <c r="J24" s="179">
        <v>0.30170000000000002</v>
      </c>
      <c r="K24" s="179">
        <v>0.53369999999999995</v>
      </c>
      <c r="L24" s="179">
        <v>0.51800000000000002</v>
      </c>
      <c r="M24" s="22"/>
      <c r="N24" s="91"/>
      <c r="O24" s="91"/>
      <c r="P24" s="91"/>
      <c r="Q24" s="91"/>
      <c r="R24" s="91"/>
      <c r="S24" s="91"/>
      <c r="T24" s="91"/>
      <c r="U24" s="91"/>
      <c r="V24" s="91"/>
      <c r="W24" s="91"/>
      <c r="X24" s="91"/>
    </row>
    <row r="25" spans="1:24" x14ac:dyDescent="0.6">
      <c r="A25" s="12"/>
      <c r="B25" s="21" t="s">
        <v>18</v>
      </c>
      <c r="C25" s="179">
        <v>0.50070000000000003</v>
      </c>
      <c r="D25" s="179">
        <v>0.48899999999999999</v>
      </c>
      <c r="E25" s="179">
        <v>0.49270000000000003</v>
      </c>
      <c r="F25" s="179">
        <v>0.50070000000000003</v>
      </c>
      <c r="G25" s="179">
        <v>0.50070000000000003</v>
      </c>
      <c r="H25" s="179">
        <v>0.497</v>
      </c>
      <c r="I25" s="179">
        <v>0.32300000000000001</v>
      </c>
      <c r="J25" s="179">
        <v>0.32300000000000001</v>
      </c>
      <c r="K25" s="179">
        <v>0.54869999999999997</v>
      </c>
      <c r="L25" s="179">
        <v>0.53169999999999995</v>
      </c>
      <c r="M25" s="22"/>
      <c r="N25" s="91"/>
      <c r="O25" s="91"/>
      <c r="P25" s="91"/>
      <c r="Q25" s="91"/>
      <c r="R25" s="91"/>
      <c r="S25" s="91"/>
      <c r="T25" s="91"/>
      <c r="U25" s="91"/>
      <c r="V25" s="91"/>
      <c r="W25" s="91"/>
      <c r="X25" s="91"/>
    </row>
    <row r="26" spans="1:24" x14ac:dyDescent="0.6">
      <c r="A26" s="12"/>
      <c r="B26" s="24"/>
      <c r="C26" s="23"/>
      <c r="D26" s="23"/>
      <c r="E26" s="23"/>
      <c r="F26" s="23"/>
      <c r="G26" s="23"/>
      <c r="H26" s="23"/>
      <c r="I26" s="23"/>
      <c r="J26" s="23"/>
      <c r="K26" s="23"/>
      <c r="L26" s="23"/>
      <c r="M26" s="23"/>
      <c r="N26" s="91"/>
      <c r="O26" s="91"/>
      <c r="P26" s="91"/>
      <c r="Q26" s="91"/>
      <c r="R26" s="91"/>
      <c r="S26" s="91"/>
      <c r="T26" s="91"/>
      <c r="U26" s="91"/>
      <c r="V26" s="91"/>
      <c r="W26" s="91"/>
      <c r="X26" s="91"/>
    </row>
    <row r="27" spans="1:24" x14ac:dyDescent="0.6">
      <c r="A27" s="12"/>
      <c r="B27" s="24"/>
      <c r="C27" s="23"/>
      <c r="D27" s="23"/>
      <c r="E27" s="9" t="str">
        <f>E9</f>
        <v>Based on average of year 2019, 2020 &amp; 2021 Load Profile Information</v>
      </c>
      <c r="K27" s="23"/>
      <c r="L27" s="23"/>
      <c r="M27" s="23"/>
      <c r="N27" s="91"/>
      <c r="O27" s="91"/>
      <c r="P27" s="91"/>
      <c r="Q27" s="91"/>
      <c r="R27" s="91"/>
      <c r="S27" s="91"/>
      <c r="T27" s="91"/>
      <c r="U27" s="91"/>
      <c r="V27" s="91"/>
      <c r="W27" s="91"/>
      <c r="X27" s="91"/>
    </row>
    <row r="28" spans="1:24" x14ac:dyDescent="0.6">
      <c r="A28" s="10" t="s">
        <v>65</v>
      </c>
      <c r="B28" s="11" t="s">
        <v>130</v>
      </c>
      <c r="C28" s="23"/>
      <c r="D28" s="23"/>
      <c r="E28" s="25" t="str">
        <f>"On-Peak periods as defined in specified rate schedule (average of %s for "&amp;(Input!D2-4)&amp;", "&amp;(Input!D2-3)&amp;" &amp; "&amp;(Input!D2-2)&amp;")"</f>
        <v>On-Peak periods as defined in specified rate schedule (average of %s for 2019, 2020 &amp; 2021)</v>
      </c>
      <c r="G28" s="23"/>
      <c r="H28" s="23"/>
      <c r="I28" s="26"/>
      <c r="J28" s="26"/>
      <c r="K28" s="23"/>
      <c r="L28" s="23"/>
      <c r="M28" s="23"/>
      <c r="N28" s="91"/>
      <c r="O28" s="91"/>
      <c r="P28" s="91"/>
      <c r="Q28" s="91"/>
      <c r="R28" s="91"/>
      <c r="S28" s="91"/>
      <c r="T28" s="91"/>
      <c r="U28" s="91"/>
      <c r="V28" s="91"/>
      <c r="W28" s="91"/>
      <c r="X28" s="91"/>
    </row>
    <row r="29" spans="1:24" ht="39" x14ac:dyDescent="0.6">
      <c r="A29" s="12"/>
      <c r="B29" s="20"/>
      <c r="C29" s="13" t="s">
        <v>50</v>
      </c>
      <c r="D29" s="13" t="s">
        <v>50</v>
      </c>
      <c r="E29" s="15"/>
      <c r="F29" s="9"/>
      <c r="G29" s="15"/>
      <c r="H29" s="15"/>
      <c r="I29" s="15"/>
      <c r="J29" s="15"/>
      <c r="K29" s="15"/>
      <c r="L29" s="15"/>
      <c r="M29" s="15"/>
      <c r="N29" s="91"/>
      <c r="O29" s="91"/>
      <c r="P29" s="91"/>
      <c r="Q29" s="91"/>
      <c r="R29" s="91"/>
      <c r="S29" s="91"/>
      <c r="T29" s="91"/>
      <c r="U29" s="91"/>
      <c r="V29" s="91"/>
      <c r="W29" s="91"/>
    </row>
    <row r="30" spans="1:24" x14ac:dyDescent="0.6">
      <c r="A30" s="12"/>
      <c r="B30" s="16" t="s">
        <v>233</v>
      </c>
      <c r="C30" s="17" t="s">
        <v>2</v>
      </c>
      <c r="D30" s="17" t="s">
        <v>36</v>
      </c>
      <c r="E30" s="6"/>
      <c r="F30" s="19"/>
      <c r="G30" s="6"/>
      <c r="H30" s="6"/>
      <c r="I30" s="6"/>
      <c r="J30" s="6"/>
      <c r="K30" s="6"/>
      <c r="L30" s="6"/>
      <c r="M30" s="6"/>
      <c r="N30" s="91"/>
      <c r="O30" s="91"/>
      <c r="P30" s="91"/>
      <c r="Q30" s="91"/>
      <c r="R30" s="91"/>
      <c r="S30" s="91"/>
      <c r="T30" s="91"/>
      <c r="U30" s="91"/>
      <c r="V30" s="91"/>
      <c r="W30" s="91"/>
    </row>
    <row r="31" spans="1:24" x14ac:dyDescent="0.6">
      <c r="A31" s="12"/>
      <c r="B31" s="20"/>
      <c r="C31" s="20"/>
      <c r="D31" s="20"/>
      <c r="G31" s="58"/>
      <c r="H31" s="58"/>
      <c r="I31" s="58"/>
      <c r="J31" s="58"/>
      <c r="K31" s="58"/>
      <c r="L31" s="58"/>
      <c r="M31" s="58"/>
      <c r="N31" s="91"/>
      <c r="O31" s="91"/>
      <c r="P31" s="91"/>
      <c r="Q31" s="91"/>
      <c r="R31" s="91"/>
      <c r="S31" s="91"/>
      <c r="T31" s="91"/>
      <c r="U31" s="91"/>
      <c r="V31" s="91"/>
      <c r="W31" s="91"/>
    </row>
    <row r="32" spans="1:24" x14ac:dyDescent="0.6">
      <c r="A32" s="12"/>
      <c r="B32" s="21" t="s">
        <v>7</v>
      </c>
      <c r="C32" s="179">
        <v>0.42720000000000002</v>
      </c>
      <c r="D32" s="180">
        <v>0.4672</v>
      </c>
      <c r="E32" s="22"/>
      <c r="F32" s="23"/>
      <c r="G32" s="91"/>
      <c r="H32" s="91"/>
      <c r="I32" s="91"/>
      <c r="J32" s="91"/>
      <c r="K32" s="91"/>
      <c r="L32" s="91"/>
      <c r="M32" s="91"/>
      <c r="N32" s="91"/>
      <c r="O32" s="91"/>
      <c r="P32" s="91"/>
      <c r="Q32" s="91"/>
      <c r="R32" s="91"/>
      <c r="S32" s="91"/>
      <c r="T32" s="91"/>
      <c r="U32" s="91"/>
      <c r="V32" s="91"/>
      <c r="W32" s="91"/>
    </row>
    <row r="33" spans="1:32" x14ac:dyDescent="0.6">
      <c r="A33" s="12"/>
      <c r="B33" s="21" t="s">
        <v>8</v>
      </c>
      <c r="C33" s="179">
        <v>0.41449999999999998</v>
      </c>
      <c r="D33" s="180">
        <v>0.47060000000000002</v>
      </c>
      <c r="E33" s="22"/>
      <c r="F33" s="23"/>
      <c r="G33" s="91"/>
      <c r="H33" s="91"/>
      <c r="I33" s="91"/>
      <c r="J33" s="91"/>
      <c r="K33" s="91"/>
      <c r="L33" s="91"/>
      <c r="M33" s="91"/>
      <c r="N33" s="91"/>
      <c r="O33" s="91"/>
      <c r="P33" s="91"/>
      <c r="Q33" s="91"/>
      <c r="R33" s="91"/>
      <c r="S33" s="91"/>
      <c r="T33" s="91"/>
      <c r="U33" s="91"/>
      <c r="V33" s="91"/>
      <c r="W33" s="91"/>
    </row>
    <row r="34" spans="1:32" x14ac:dyDescent="0.6">
      <c r="A34" s="12"/>
      <c r="B34" s="21" t="s">
        <v>9</v>
      </c>
      <c r="C34" s="179">
        <v>0.41499999999999998</v>
      </c>
      <c r="D34" s="180">
        <v>0.47049999999999997</v>
      </c>
      <c r="E34" s="22"/>
      <c r="F34" s="23"/>
      <c r="G34" s="91"/>
      <c r="H34" s="91"/>
      <c r="I34" s="91"/>
      <c r="J34" s="91"/>
      <c r="K34" s="91"/>
      <c r="L34" s="91"/>
      <c r="M34" s="91"/>
      <c r="N34" s="91"/>
      <c r="O34" s="91"/>
      <c r="P34" s="91"/>
      <c r="Q34" s="91"/>
      <c r="R34" s="91"/>
      <c r="S34" s="91"/>
      <c r="T34" s="91"/>
      <c r="U34" s="91"/>
      <c r="V34" s="91"/>
      <c r="W34" s="91"/>
    </row>
    <row r="35" spans="1:32" x14ac:dyDescent="0.6">
      <c r="A35" s="12"/>
      <c r="B35" s="21" t="s">
        <v>10</v>
      </c>
      <c r="C35" s="179">
        <v>0.4269</v>
      </c>
      <c r="D35" s="180">
        <v>0.4708</v>
      </c>
      <c r="E35" s="22"/>
      <c r="F35" s="23"/>
      <c r="G35" s="91"/>
      <c r="H35" s="91"/>
      <c r="I35" s="91"/>
      <c r="J35" s="91"/>
      <c r="K35" s="91"/>
      <c r="L35" s="91"/>
      <c r="M35" s="91"/>
      <c r="N35" s="91"/>
      <c r="O35" s="91"/>
      <c r="P35" s="91"/>
      <c r="Q35" s="91"/>
      <c r="R35" s="91"/>
      <c r="S35" s="91"/>
      <c r="T35" s="91"/>
      <c r="U35" s="91"/>
      <c r="V35" s="91"/>
      <c r="W35" s="91"/>
    </row>
    <row r="36" spans="1:32" x14ac:dyDescent="0.6">
      <c r="A36" s="12"/>
      <c r="B36" s="21" t="s">
        <v>11</v>
      </c>
      <c r="C36" s="179">
        <v>0.43469999999999998</v>
      </c>
      <c r="D36" s="180">
        <v>0.48</v>
      </c>
      <c r="E36" s="22"/>
      <c r="F36" s="27"/>
      <c r="G36" s="91"/>
      <c r="H36" s="91"/>
      <c r="I36" s="91"/>
      <c r="J36" s="91"/>
      <c r="K36" s="91"/>
      <c r="L36" s="91"/>
      <c r="M36" s="91"/>
      <c r="N36" s="91"/>
      <c r="O36" s="91"/>
      <c r="P36" s="91"/>
      <c r="Q36" s="91"/>
      <c r="R36" s="91"/>
      <c r="S36" s="91"/>
      <c r="T36" s="91"/>
      <c r="U36" s="91"/>
      <c r="V36" s="91"/>
      <c r="W36" s="91"/>
    </row>
    <row r="37" spans="1:32" x14ac:dyDescent="0.6">
      <c r="A37" s="12"/>
      <c r="B37" s="21" t="s">
        <v>12</v>
      </c>
      <c r="C37" s="179">
        <v>0.45989999999999998</v>
      </c>
      <c r="D37" s="179">
        <v>0.48949999999999999</v>
      </c>
      <c r="E37" s="22"/>
      <c r="F37" s="27"/>
      <c r="G37" s="91"/>
      <c r="H37" s="91"/>
      <c r="I37" s="91"/>
      <c r="J37" s="91"/>
      <c r="K37" s="91"/>
      <c r="L37" s="91"/>
      <c r="M37" s="91"/>
      <c r="N37" s="91"/>
      <c r="O37" s="91"/>
      <c r="P37" s="91"/>
      <c r="Q37" s="91"/>
      <c r="R37" s="91"/>
      <c r="S37" s="91"/>
      <c r="T37" s="91"/>
      <c r="U37" s="91"/>
      <c r="V37" s="91"/>
      <c r="W37" s="91"/>
    </row>
    <row r="38" spans="1:32" x14ac:dyDescent="0.6">
      <c r="A38" s="12"/>
      <c r="B38" s="21" t="s">
        <v>13</v>
      </c>
      <c r="C38" s="179">
        <v>0.47939999999999999</v>
      </c>
      <c r="D38" s="179">
        <v>0.49099999999999999</v>
      </c>
      <c r="E38" s="22"/>
      <c r="F38" s="27"/>
      <c r="G38" s="91"/>
      <c r="H38" s="91"/>
      <c r="I38" s="91"/>
      <c r="J38" s="91"/>
      <c r="K38" s="91"/>
      <c r="L38" s="91"/>
      <c r="M38" s="91"/>
      <c r="N38" s="91"/>
      <c r="O38" s="91"/>
      <c r="P38" s="91"/>
      <c r="Q38" s="91"/>
      <c r="R38" s="91"/>
      <c r="S38" s="91"/>
      <c r="T38" s="91"/>
      <c r="U38" s="91"/>
      <c r="V38" s="91"/>
      <c r="W38" s="91"/>
    </row>
    <row r="39" spans="1:32" x14ac:dyDescent="0.6">
      <c r="A39" s="12"/>
      <c r="B39" s="21" t="s">
        <v>14</v>
      </c>
      <c r="C39" s="179">
        <v>0.47899999999999998</v>
      </c>
      <c r="D39" s="180">
        <v>0.48959999999999998</v>
      </c>
      <c r="E39" s="22"/>
      <c r="F39" s="27"/>
      <c r="G39" s="91"/>
      <c r="H39" s="91"/>
      <c r="I39" s="91"/>
      <c r="J39" s="91"/>
      <c r="K39" s="91"/>
      <c r="L39" s="91"/>
      <c r="M39" s="91"/>
      <c r="N39" s="91"/>
      <c r="O39" s="91"/>
      <c r="P39" s="91"/>
      <c r="Q39" s="91"/>
      <c r="R39" s="91"/>
      <c r="S39" s="91"/>
      <c r="T39" s="91"/>
      <c r="U39" s="91"/>
      <c r="V39" s="91"/>
      <c r="W39" s="91"/>
    </row>
    <row r="40" spans="1:32" x14ac:dyDescent="0.6">
      <c r="A40" s="12"/>
      <c r="B40" s="21" t="s">
        <v>15</v>
      </c>
      <c r="C40" s="179">
        <v>0.48680000000000001</v>
      </c>
      <c r="D40" s="180">
        <v>0.4924</v>
      </c>
      <c r="E40" s="22"/>
      <c r="F40" s="27"/>
      <c r="G40" s="91"/>
      <c r="H40" s="91"/>
      <c r="I40" s="91"/>
      <c r="J40" s="91"/>
      <c r="K40" s="91"/>
      <c r="L40" s="91"/>
      <c r="M40" s="91"/>
      <c r="N40" s="91"/>
      <c r="O40" s="91"/>
      <c r="P40" s="91"/>
      <c r="Q40" s="91"/>
      <c r="R40" s="91"/>
      <c r="S40" s="91"/>
      <c r="T40" s="91"/>
      <c r="U40" s="91"/>
      <c r="V40" s="91"/>
      <c r="W40" s="91"/>
    </row>
    <row r="41" spans="1:32" x14ac:dyDescent="0.6">
      <c r="A41" s="12"/>
      <c r="B41" s="21" t="s">
        <v>16</v>
      </c>
      <c r="C41" s="179">
        <v>0.45319999999999999</v>
      </c>
      <c r="D41" s="180">
        <v>0.49509999999999998</v>
      </c>
      <c r="E41" s="22"/>
      <c r="F41" s="27"/>
      <c r="G41" s="91"/>
      <c r="H41" s="91"/>
      <c r="I41" s="91"/>
      <c r="J41" s="91"/>
      <c r="K41" s="91"/>
      <c r="L41" s="91"/>
      <c r="M41" s="91"/>
      <c r="N41" s="91"/>
      <c r="O41" s="91"/>
      <c r="P41" s="91"/>
      <c r="Q41" s="91"/>
      <c r="R41" s="91"/>
      <c r="S41" s="91"/>
      <c r="T41" s="91"/>
      <c r="U41" s="91"/>
      <c r="V41" s="91"/>
      <c r="W41" s="91"/>
    </row>
    <row r="42" spans="1:32" x14ac:dyDescent="0.6">
      <c r="A42" s="12"/>
      <c r="B42" s="21" t="s">
        <v>17</v>
      </c>
      <c r="C42" s="179">
        <v>0.42899999999999999</v>
      </c>
      <c r="D42" s="180">
        <v>0.48459999999999998</v>
      </c>
      <c r="E42" s="22"/>
      <c r="F42" s="27"/>
      <c r="G42" s="91"/>
      <c r="H42" s="91"/>
      <c r="I42" s="91"/>
      <c r="J42" s="91"/>
      <c r="K42" s="91"/>
      <c r="L42" s="91"/>
      <c r="M42" s="91"/>
      <c r="N42" s="91"/>
      <c r="O42" s="91"/>
      <c r="P42" s="91"/>
      <c r="Q42" s="91"/>
      <c r="R42" s="91"/>
      <c r="S42" s="91"/>
      <c r="T42" s="91"/>
      <c r="U42" s="91"/>
      <c r="V42" s="91"/>
      <c r="W42" s="91"/>
    </row>
    <row r="43" spans="1:32" x14ac:dyDescent="0.6">
      <c r="A43" s="12"/>
      <c r="B43" s="21" t="s">
        <v>18</v>
      </c>
      <c r="C43" s="179">
        <v>0.42470000000000002</v>
      </c>
      <c r="D43" s="180">
        <v>0.47289999999999999</v>
      </c>
      <c r="E43" s="22"/>
      <c r="F43" s="27"/>
      <c r="G43" s="91"/>
      <c r="H43" s="91"/>
      <c r="I43" s="91"/>
      <c r="J43" s="91"/>
      <c r="K43" s="91"/>
      <c r="L43" s="91"/>
      <c r="M43" s="91"/>
      <c r="N43" s="91"/>
      <c r="O43" s="91"/>
      <c r="P43" s="91"/>
      <c r="Q43" s="91"/>
      <c r="R43" s="91"/>
      <c r="S43" s="91"/>
      <c r="T43" s="91"/>
      <c r="U43" s="91"/>
      <c r="V43" s="91"/>
      <c r="W43" s="91"/>
    </row>
    <row r="44" spans="1:32" x14ac:dyDescent="0.6">
      <c r="A44" s="12"/>
      <c r="B44" s="24"/>
      <c r="C44" s="23"/>
      <c r="D44" s="23"/>
      <c r="E44" s="23"/>
      <c r="F44" s="23"/>
      <c r="G44" s="23"/>
      <c r="H44" s="23"/>
      <c r="I44" s="26"/>
      <c r="J44" s="26"/>
      <c r="K44" s="23"/>
      <c r="L44" s="23"/>
      <c r="M44" s="23"/>
      <c r="N44" s="91"/>
      <c r="O44" s="91"/>
      <c r="P44" s="91"/>
      <c r="Q44" s="91"/>
      <c r="R44" s="91"/>
      <c r="S44" s="91"/>
      <c r="T44" s="91"/>
      <c r="U44" s="91"/>
      <c r="V44" s="91"/>
      <c r="W44" s="91"/>
      <c r="X44" s="91"/>
    </row>
    <row r="45" spans="1:32" x14ac:dyDescent="0.6">
      <c r="A45" s="12"/>
      <c r="B45" s="24"/>
      <c r="C45" s="23"/>
      <c r="D45" s="23"/>
      <c r="E45" s="23"/>
      <c r="F45" s="23"/>
      <c r="G45" s="23"/>
      <c r="H45" s="23"/>
      <c r="I45" s="26"/>
      <c r="J45" s="26"/>
      <c r="K45" s="23"/>
      <c r="L45" s="23"/>
      <c r="M45" s="23"/>
      <c r="N45" s="91"/>
      <c r="O45" s="91"/>
      <c r="P45" s="91"/>
      <c r="Q45" s="91"/>
      <c r="R45" s="91"/>
      <c r="S45" s="91"/>
      <c r="T45" s="91"/>
      <c r="U45" s="91"/>
      <c r="V45" s="91"/>
      <c r="W45" s="91"/>
      <c r="X45" s="91"/>
    </row>
    <row r="46" spans="1:32" x14ac:dyDescent="0.6">
      <c r="A46" s="10" t="s">
        <v>75</v>
      </c>
      <c r="B46" s="28" t="s">
        <v>131</v>
      </c>
      <c r="C46" s="6"/>
      <c r="D46" s="6"/>
      <c r="E46" s="6"/>
      <c r="F46" s="6"/>
      <c r="G46" s="6"/>
      <c r="H46" s="6"/>
      <c r="I46" s="6"/>
      <c r="J46" s="6"/>
      <c r="K46" s="6"/>
      <c r="L46" s="6"/>
      <c r="N46" s="91"/>
      <c r="O46" s="91"/>
      <c r="P46" s="91"/>
      <c r="Q46" s="91"/>
      <c r="R46" s="91"/>
      <c r="S46" s="91"/>
      <c r="T46" s="91"/>
      <c r="U46" s="91"/>
      <c r="V46" s="91"/>
      <c r="W46" s="91"/>
    </row>
    <row r="47" spans="1:32" x14ac:dyDescent="0.6">
      <c r="A47" s="12"/>
      <c r="B47" s="29" t="s">
        <v>412</v>
      </c>
      <c r="G47" s="30"/>
      <c r="L47" s="6"/>
      <c r="N47" s="91"/>
      <c r="O47" s="91"/>
      <c r="P47" s="91"/>
      <c r="Q47" s="91"/>
      <c r="R47" s="91"/>
      <c r="S47" s="91"/>
      <c r="T47" s="91"/>
      <c r="U47" s="91"/>
      <c r="V47" s="91"/>
      <c r="W47" s="91"/>
      <c r="AB47" s="31"/>
    </row>
    <row r="48" spans="1:32" x14ac:dyDescent="0.6">
      <c r="A48" s="12"/>
      <c r="B48" s="14" t="s">
        <v>78</v>
      </c>
      <c r="C48" s="17" t="s">
        <v>0</v>
      </c>
      <c r="D48" s="17" t="s">
        <v>1</v>
      </c>
      <c r="E48" s="17" t="s">
        <v>2</v>
      </c>
      <c r="F48" s="17" t="s">
        <v>3</v>
      </c>
      <c r="G48" s="17" t="s">
        <v>4</v>
      </c>
      <c r="H48" s="17" t="s">
        <v>6</v>
      </c>
      <c r="I48" s="17" t="s">
        <v>37</v>
      </c>
      <c r="J48" s="17" t="s">
        <v>38</v>
      </c>
      <c r="K48" s="17" t="s">
        <v>5</v>
      </c>
      <c r="L48" s="17" t="s">
        <v>36</v>
      </c>
      <c r="N48" s="91"/>
      <c r="O48" s="91"/>
      <c r="P48" s="91"/>
      <c r="Q48" s="91"/>
      <c r="R48" s="91"/>
      <c r="S48" s="91"/>
      <c r="T48" s="91"/>
      <c r="U48" s="91"/>
      <c r="V48" s="91"/>
      <c r="W48" s="91"/>
      <c r="X48" s="6"/>
      <c r="Y48" s="6"/>
      <c r="Z48" s="6"/>
      <c r="AB48" s="31"/>
      <c r="AF48" s="31"/>
    </row>
    <row r="49" spans="1:32" x14ac:dyDescent="0.6">
      <c r="A49" s="12"/>
      <c r="B49" s="20"/>
      <c r="C49" s="17"/>
      <c r="D49" s="17"/>
      <c r="E49" s="17"/>
      <c r="F49" s="17"/>
      <c r="G49" s="17"/>
      <c r="H49" s="17"/>
      <c r="I49" s="17"/>
      <c r="J49" s="17"/>
      <c r="K49" s="17"/>
      <c r="L49" s="17"/>
      <c r="N49" s="91"/>
      <c r="O49" s="91"/>
      <c r="P49" s="91"/>
      <c r="Q49" s="91"/>
      <c r="R49" s="91"/>
      <c r="S49" s="91"/>
      <c r="T49" s="91"/>
      <c r="U49" s="91"/>
      <c r="V49" s="91"/>
      <c r="W49" s="91"/>
      <c r="Y49" s="32"/>
      <c r="AB49" s="31"/>
      <c r="AF49" s="31"/>
    </row>
    <row r="50" spans="1:32" x14ac:dyDescent="0.6">
      <c r="A50" s="12"/>
      <c r="B50" s="21" t="s">
        <v>7</v>
      </c>
      <c r="C50" s="181">
        <v>1216087.3903839088</v>
      </c>
      <c r="D50" s="181">
        <v>15162.288629820538</v>
      </c>
      <c r="E50" s="181">
        <v>16087.070984129185</v>
      </c>
      <c r="F50" s="181">
        <v>58</v>
      </c>
      <c r="G50" s="181">
        <v>1</v>
      </c>
      <c r="H50" s="181">
        <v>1322.3750968838106</v>
      </c>
      <c r="I50" s="181">
        <v>15557</v>
      </c>
      <c r="J50" s="181">
        <v>32676</v>
      </c>
      <c r="K50" s="181">
        <v>539551.08550429414</v>
      </c>
      <c r="L50" s="181">
        <v>630912.6819358971</v>
      </c>
      <c r="N50" s="91"/>
      <c r="O50" s="91"/>
      <c r="P50" s="91"/>
      <c r="Q50" s="91"/>
      <c r="R50" s="91"/>
      <c r="S50" s="91"/>
      <c r="T50" s="91"/>
      <c r="U50" s="91"/>
      <c r="V50" s="91"/>
      <c r="W50" s="91"/>
      <c r="X50" s="35"/>
      <c r="Y50" s="32"/>
      <c r="Z50" s="36"/>
      <c r="AB50" s="93"/>
      <c r="AF50" s="94"/>
    </row>
    <row r="51" spans="1:32" x14ac:dyDescent="0.6">
      <c r="A51" s="12"/>
      <c r="B51" s="21" t="s">
        <v>8</v>
      </c>
      <c r="C51" s="181">
        <v>985026.01259489742</v>
      </c>
      <c r="D51" s="181">
        <v>11612.315086336917</v>
      </c>
      <c r="E51" s="181">
        <v>13979.84890266052</v>
      </c>
      <c r="F51" s="181">
        <v>57</v>
      </c>
      <c r="G51" s="181">
        <v>1</v>
      </c>
      <c r="H51" s="181">
        <v>1184.5406742774753</v>
      </c>
      <c r="I51" s="181">
        <v>12802</v>
      </c>
      <c r="J51" s="181">
        <v>29367</v>
      </c>
      <c r="K51" s="181">
        <v>491622.40219823888</v>
      </c>
      <c r="L51" s="181">
        <v>571613.29446467315</v>
      </c>
      <c r="N51" s="91"/>
      <c r="O51" s="91"/>
      <c r="P51" s="91"/>
      <c r="Q51" s="91"/>
      <c r="R51" s="91"/>
      <c r="S51" s="91"/>
      <c r="T51" s="91"/>
      <c r="U51" s="91"/>
      <c r="V51" s="91"/>
      <c r="W51" s="91"/>
      <c r="X51" s="35"/>
      <c r="Y51" s="32"/>
      <c r="Z51" s="36"/>
      <c r="AB51" s="93"/>
      <c r="AD51" s="95"/>
    </row>
    <row r="52" spans="1:32" x14ac:dyDescent="0.6">
      <c r="A52" s="12"/>
      <c r="B52" s="21" t="s">
        <v>9</v>
      </c>
      <c r="C52" s="181">
        <v>925032.09485644195</v>
      </c>
      <c r="D52" s="181">
        <v>9121.071780109336</v>
      </c>
      <c r="E52" s="181">
        <v>13458.212749576174</v>
      </c>
      <c r="F52" s="181">
        <v>64</v>
      </c>
      <c r="G52" s="181">
        <v>1</v>
      </c>
      <c r="H52" s="181">
        <v>920.56687098291798</v>
      </c>
      <c r="I52" s="181">
        <v>12379</v>
      </c>
      <c r="J52" s="181">
        <v>27322</v>
      </c>
      <c r="K52" s="181">
        <v>506418.06853839813</v>
      </c>
      <c r="L52" s="181">
        <v>590948.77573203819</v>
      </c>
      <c r="M52" s="37"/>
      <c r="N52" s="91"/>
      <c r="O52" s="91"/>
      <c r="P52" s="91"/>
      <c r="Q52" s="91"/>
      <c r="R52" s="91"/>
      <c r="S52" s="91"/>
      <c r="T52" s="91"/>
      <c r="U52" s="91"/>
      <c r="V52" s="91"/>
      <c r="W52" s="91"/>
      <c r="X52" s="35"/>
      <c r="Y52" s="32"/>
      <c r="Z52" s="39"/>
      <c r="AB52" s="93"/>
    </row>
    <row r="53" spans="1:32" x14ac:dyDescent="0.6">
      <c r="A53" s="12"/>
      <c r="B53" s="21" t="s">
        <v>10</v>
      </c>
      <c r="C53" s="181">
        <v>785315.88981283526</v>
      </c>
      <c r="D53" s="181">
        <v>4791.741765342611</v>
      </c>
      <c r="E53" s="181">
        <v>11188.390569938876</v>
      </c>
      <c r="F53" s="181">
        <v>53</v>
      </c>
      <c r="G53" s="181">
        <v>1</v>
      </c>
      <c r="H53" s="181">
        <v>618.16650138598845</v>
      </c>
      <c r="I53" s="181">
        <v>10748</v>
      </c>
      <c r="J53" s="181">
        <v>26105</v>
      </c>
      <c r="K53" s="181">
        <v>453938.84717225574</v>
      </c>
      <c r="L53" s="181">
        <v>526170.10647873802</v>
      </c>
      <c r="M53" s="37"/>
      <c r="N53" s="91"/>
      <c r="O53" s="91"/>
      <c r="P53" s="91"/>
      <c r="Q53" s="91"/>
      <c r="R53" s="91"/>
      <c r="S53" s="91"/>
      <c r="T53" s="91"/>
      <c r="U53" s="91"/>
      <c r="V53" s="91"/>
      <c r="W53" s="91"/>
      <c r="Y53" s="32"/>
      <c r="AB53" s="93"/>
    </row>
    <row r="54" spans="1:32" x14ac:dyDescent="0.6">
      <c r="A54" s="12"/>
      <c r="B54" s="21" t="s">
        <v>11</v>
      </c>
      <c r="C54" s="181">
        <v>823496.12149140681</v>
      </c>
      <c r="D54" s="181">
        <v>3321.6577416367759</v>
      </c>
      <c r="E54" s="181">
        <v>11535.208120367928</v>
      </c>
      <c r="F54" s="181">
        <v>61</v>
      </c>
      <c r="G54" s="181">
        <v>1</v>
      </c>
      <c r="H54" s="181">
        <v>303.2357297339376</v>
      </c>
      <c r="I54" s="181">
        <v>9616</v>
      </c>
      <c r="J54" s="181">
        <v>21208</v>
      </c>
      <c r="K54" s="181">
        <v>462605.2348128279</v>
      </c>
      <c r="L54" s="181">
        <v>624992.99342562677</v>
      </c>
      <c r="N54" s="91"/>
      <c r="O54" s="91"/>
      <c r="P54" s="91"/>
      <c r="Q54" s="91"/>
      <c r="R54" s="91"/>
      <c r="S54" s="91"/>
      <c r="T54" s="91"/>
      <c r="U54" s="91"/>
      <c r="V54" s="91"/>
      <c r="W54" s="91"/>
      <c r="X54" s="35"/>
      <c r="Y54" s="32"/>
      <c r="Z54" s="39"/>
      <c r="AB54" s="93"/>
    </row>
    <row r="55" spans="1:32" x14ac:dyDescent="0.6">
      <c r="A55" s="12"/>
      <c r="B55" s="21" t="s">
        <v>12</v>
      </c>
      <c r="C55" s="181">
        <v>1289629.1010947914</v>
      </c>
      <c r="D55" s="181">
        <v>4453.6031727339951</v>
      </c>
      <c r="E55" s="181">
        <v>18771.382431352424</v>
      </c>
      <c r="F55" s="181">
        <v>46</v>
      </c>
      <c r="G55" s="181">
        <v>1</v>
      </c>
      <c r="H55" s="181">
        <v>400.97286576388444</v>
      </c>
      <c r="I55" s="181">
        <v>8470</v>
      </c>
      <c r="J55" s="181">
        <v>19103</v>
      </c>
      <c r="K55" s="181">
        <v>500814.18103266088</v>
      </c>
      <c r="L55" s="181">
        <v>591728.50064567907</v>
      </c>
      <c r="M55" s="37"/>
      <c r="N55" s="91"/>
      <c r="O55" s="91"/>
      <c r="P55" s="91"/>
      <c r="Q55" s="91"/>
      <c r="R55" s="91"/>
      <c r="S55" s="91"/>
      <c r="T55" s="91"/>
      <c r="U55" s="91"/>
      <c r="V55" s="91"/>
      <c r="W55" s="91"/>
      <c r="X55" s="35"/>
      <c r="Y55" s="32"/>
      <c r="Z55" s="36"/>
      <c r="AB55" s="93"/>
    </row>
    <row r="56" spans="1:32" x14ac:dyDescent="0.6">
      <c r="A56" s="12"/>
      <c r="B56" s="21" t="s">
        <v>13</v>
      </c>
      <c r="C56" s="181">
        <v>1730060.8931312968</v>
      </c>
      <c r="D56" s="181">
        <v>6211.7311827360581</v>
      </c>
      <c r="E56" s="181">
        <v>22503.665609546919</v>
      </c>
      <c r="F56" s="181">
        <v>36</v>
      </c>
      <c r="G56" s="181">
        <v>1</v>
      </c>
      <c r="H56" s="181">
        <v>433.5519111072</v>
      </c>
      <c r="I56" s="181">
        <v>9055</v>
      </c>
      <c r="J56" s="181">
        <v>18825</v>
      </c>
      <c r="K56" s="181">
        <v>607447.20123459422</v>
      </c>
      <c r="L56" s="181">
        <v>644778.77820159495</v>
      </c>
      <c r="M56" s="37"/>
      <c r="N56" s="91"/>
      <c r="O56" s="91"/>
      <c r="P56" s="91"/>
      <c r="Q56" s="91"/>
      <c r="R56" s="91"/>
      <c r="S56" s="91"/>
      <c r="T56" s="91"/>
      <c r="U56" s="91"/>
      <c r="V56" s="91"/>
      <c r="W56" s="91"/>
      <c r="X56" s="35"/>
      <c r="Y56" s="32"/>
      <c r="Z56" s="39"/>
      <c r="AB56" s="93"/>
    </row>
    <row r="57" spans="1:32" x14ac:dyDescent="0.6">
      <c r="A57" s="12"/>
      <c r="B57" s="21" t="s">
        <v>14</v>
      </c>
      <c r="C57" s="181">
        <v>1592140.1088682017</v>
      </c>
      <c r="D57" s="181">
        <v>5891.8963885877374</v>
      </c>
      <c r="E57" s="181">
        <v>21380.503081734674</v>
      </c>
      <c r="F57" s="181">
        <v>40</v>
      </c>
      <c r="G57" s="181">
        <v>0</v>
      </c>
      <c r="H57" s="181">
        <v>505.39288288989599</v>
      </c>
      <c r="I57" s="181">
        <v>10329</v>
      </c>
      <c r="J57" s="181">
        <v>19965</v>
      </c>
      <c r="K57" s="181">
        <v>614016.30252968427</v>
      </c>
      <c r="L57" s="181">
        <v>668001.57343098253</v>
      </c>
      <c r="M57" s="37"/>
      <c r="N57" s="91"/>
      <c r="O57" s="91"/>
      <c r="P57" s="91"/>
      <c r="Q57" s="91"/>
      <c r="R57" s="91"/>
      <c r="S57" s="91"/>
      <c r="T57" s="91"/>
      <c r="U57" s="91"/>
      <c r="V57" s="91"/>
      <c r="W57" s="91"/>
      <c r="AB57" s="93"/>
    </row>
    <row r="58" spans="1:32" x14ac:dyDescent="0.6">
      <c r="A58" s="12"/>
      <c r="B58" s="21" t="s">
        <v>15</v>
      </c>
      <c r="C58" s="181">
        <v>908260.66155904916</v>
      </c>
      <c r="D58" s="181">
        <v>4027.7990190787004</v>
      </c>
      <c r="E58" s="181">
        <v>14022.143725883576</v>
      </c>
      <c r="F58" s="181">
        <v>42</v>
      </c>
      <c r="G58" s="181">
        <v>1</v>
      </c>
      <c r="H58" s="181">
        <v>365.05237987253645</v>
      </c>
      <c r="I58" s="181">
        <v>10991</v>
      </c>
      <c r="J58" s="181">
        <v>21876</v>
      </c>
      <c r="K58" s="181">
        <v>523119.34756374249</v>
      </c>
      <c r="L58" s="181">
        <v>609735.69259959797</v>
      </c>
      <c r="M58" s="37"/>
      <c r="N58" s="91"/>
      <c r="O58" s="91"/>
      <c r="P58" s="91"/>
      <c r="Q58" s="91"/>
      <c r="R58" s="91"/>
      <c r="S58" s="91"/>
      <c r="T58" s="91"/>
      <c r="U58" s="91"/>
      <c r="V58" s="91"/>
      <c r="W58" s="91"/>
      <c r="AB58" s="93"/>
    </row>
    <row r="59" spans="1:32" x14ac:dyDescent="0.6">
      <c r="A59" s="12"/>
      <c r="B59" s="21" t="s">
        <v>16</v>
      </c>
      <c r="C59" s="181">
        <v>658694.27411083784</v>
      </c>
      <c r="D59" s="181">
        <v>5547.0142912832234</v>
      </c>
      <c r="E59" s="181">
        <v>10506.034088606919</v>
      </c>
      <c r="F59" s="181">
        <v>20</v>
      </c>
      <c r="G59" s="181">
        <v>1</v>
      </c>
      <c r="H59" s="181">
        <v>434.38727124420814</v>
      </c>
      <c r="I59" s="181">
        <v>13089</v>
      </c>
      <c r="J59" s="181">
        <v>26616</v>
      </c>
      <c r="K59" s="181">
        <v>480021.86732035218</v>
      </c>
      <c r="L59" s="181">
        <v>611219.50274804048</v>
      </c>
      <c r="M59" s="37"/>
      <c r="N59" s="91"/>
      <c r="O59" s="91"/>
      <c r="P59" s="91"/>
      <c r="Q59" s="91"/>
      <c r="R59" s="91"/>
      <c r="S59" s="91"/>
      <c r="T59" s="91"/>
      <c r="U59" s="91"/>
      <c r="V59" s="91"/>
      <c r="W59" s="91"/>
      <c r="AB59" s="93"/>
    </row>
    <row r="60" spans="1:32" x14ac:dyDescent="0.6">
      <c r="A60" s="12"/>
      <c r="B60" s="21" t="s">
        <v>17</v>
      </c>
      <c r="C60" s="181">
        <v>720914.59092265088</v>
      </c>
      <c r="D60" s="181">
        <v>8253.0863899658525</v>
      </c>
      <c r="E60" s="181">
        <v>9564.2693581735548</v>
      </c>
      <c r="F60" s="181">
        <v>43</v>
      </c>
      <c r="G60" s="181">
        <v>1</v>
      </c>
      <c r="H60" s="181">
        <v>526.2768863150983</v>
      </c>
      <c r="I60" s="181">
        <v>13505</v>
      </c>
      <c r="J60" s="181">
        <v>27571</v>
      </c>
      <c r="K60" s="181">
        <v>435570.69185111416</v>
      </c>
      <c r="L60" s="181">
        <v>537678.64826846833</v>
      </c>
      <c r="M60" s="37"/>
      <c r="N60" s="91"/>
      <c r="O60" s="91"/>
      <c r="P60" s="91"/>
      <c r="Q60" s="91"/>
      <c r="R60" s="91"/>
      <c r="S60" s="91"/>
      <c r="T60" s="91"/>
      <c r="U60" s="91"/>
      <c r="V60" s="91"/>
      <c r="W60" s="91"/>
      <c r="AB60" s="93"/>
    </row>
    <row r="61" spans="1:32" x14ac:dyDescent="0.6">
      <c r="A61" s="12"/>
      <c r="B61" s="21" t="s">
        <v>18</v>
      </c>
      <c r="C61" s="181">
        <v>1003678.8690675624</v>
      </c>
      <c r="D61" s="181">
        <v>12043.899386874411</v>
      </c>
      <c r="E61" s="181">
        <v>12558.742842365866</v>
      </c>
      <c r="F61" s="181">
        <v>55</v>
      </c>
      <c r="G61" s="181">
        <v>1</v>
      </c>
      <c r="H61" s="181">
        <v>1039.1880104380671</v>
      </c>
      <c r="I61" s="181">
        <v>15040</v>
      </c>
      <c r="J61" s="181">
        <v>29607</v>
      </c>
      <c r="K61" s="181">
        <v>503719.23494653753</v>
      </c>
      <c r="L61" s="181">
        <v>613437.79538539751</v>
      </c>
      <c r="M61" s="37"/>
      <c r="N61" s="91"/>
      <c r="O61" s="91"/>
      <c r="P61" s="91"/>
      <c r="Q61" s="91"/>
      <c r="R61" s="91"/>
      <c r="S61" s="91"/>
      <c r="T61" s="91"/>
      <c r="U61" s="91"/>
      <c r="V61" s="91"/>
      <c r="W61" s="91"/>
      <c r="AB61" s="93"/>
    </row>
    <row r="62" spans="1:32" x14ac:dyDescent="0.6">
      <c r="A62" s="12"/>
      <c r="B62" s="40"/>
      <c r="C62" s="35">
        <f>SUM(C50:C61)</f>
        <v>12638336.007893881</v>
      </c>
      <c r="D62" s="35">
        <f t="shared" ref="D62:L62" si="0">SUM(D50:D61)</f>
        <v>90438.104834506172</v>
      </c>
      <c r="E62" s="35">
        <f t="shared" si="0"/>
        <v>175555.47246433664</v>
      </c>
      <c r="F62" s="35">
        <f t="shared" si="0"/>
        <v>575</v>
      </c>
      <c r="G62" s="35">
        <f t="shared" si="0"/>
        <v>11</v>
      </c>
      <c r="H62" s="35">
        <f t="shared" si="0"/>
        <v>8053.7070808950202</v>
      </c>
      <c r="I62" s="35">
        <f t="shared" si="0"/>
        <v>141581</v>
      </c>
      <c r="J62" s="35">
        <f t="shared" si="0"/>
        <v>300241</v>
      </c>
      <c r="K62" s="35">
        <f t="shared" si="0"/>
        <v>6118844.4647047007</v>
      </c>
      <c r="L62" s="35">
        <f t="shared" si="0"/>
        <v>7221218.3433167357</v>
      </c>
      <c r="M62" s="35"/>
      <c r="N62" s="91"/>
      <c r="O62" s="91"/>
      <c r="P62" s="91"/>
      <c r="Q62" s="91"/>
      <c r="R62" s="91"/>
      <c r="S62" s="91"/>
      <c r="T62" s="91"/>
      <c r="U62" s="91"/>
      <c r="V62" s="91"/>
      <c r="W62" s="91"/>
      <c r="AB62" s="35"/>
    </row>
    <row r="63" spans="1:32" x14ac:dyDescent="0.6">
      <c r="A63" s="12"/>
      <c r="B63" s="24"/>
      <c r="I63" s="41"/>
      <c r="J63" s="41"/>
      <c r="N63" s="91"/>
      <c r="O63" s="91"/>
      <c r="P63" s="91"/>
      <c r="Q63" s="91"/>
      <c r="R63" s="91"/>
      <c r="S63" s="91"/>
      <c r="T63" s="91"/>
      <c r="U63" s="91"/>
      <c r="V63" s="91"/>
      <c r="W63" s="91"/>
      <c r="AB63" s="42"/>
    </row>
    <row r="64" spans="1:32" x14ac:dyDescent="0.6">
      <c r="A64" s="12"/>
      <c r="B64" s="8" t="s">
        <v>299</v>
      </c>
      <c r="C64" s="92" t="s">
        <v>195</v>
      </c>
      <c r="D64" s="92" t="s">
        <v>195</v>
      </c>
      <c r="L64" s="35"/>
      <c r="N64" s="91"/>
      <c r="O64" s="91"/>
      <c r="P64" s="91"/>
      <c r="Q64" s="91"/>
      <c r="R64" s="91"/>
      <c r="S64" s="91"/>
      <c r="T64" s="91"/>
      <c r="U64" s="91"/>
      <c r="V64" s="91"/>
      <c r="W64" s="91"/>
      <c r="Y64" s="6"/>
      <c r="Z64" s="6"/>
      <c r="AB64" s="42"/>
    </row>
    <row r="65" spans="1:26" x14ac:dyDescent="0.6">
      <c r="A65" s="12"/>
      <c r="B65" s="65"/>
      <c r="C65" s="33" t="s">
        <v>194</v>
      </c>
      <c r="D65" s="33" t="s">
        <v>196</v>
      </c>
      <c r="E65" s="104"/>
      <c r="F65" s="104"/>
      <c r="G65" s="104"/>
      <c r="H65" s="104"/>
      <c r="I65" s="104"/>
      <c r="J65" s="104"/>
      <c r="N65" s="91"/>
      <c r="O65" s="91"/>
      <c r="P65" s="91"/>
      <c r="Q65" s="91"/>
      <c r="R65" s="91"/>
      <c r="S65" s="91"/>
      <c r="T65" s="91"/>
      <c r="U65" s="91"/>
      <c r="V65" s="91"/>
      <c r="W65" s="91"/>
    </row>
    <row r="66" spans="1:26" x14ac:dyDescent="0.6">
      <c r="A66" s="12"/>
      <c r="C66" s="182">
        <v>0.34373936182892689</v>
      </c>
      <c r="D66" s="182">
        <v>0.33906007095308333</v>
      </c>
      <c r="E66" s="104"/>
      <c r="F66" s="104"/>
      <c r="G66" s="104"/>
      <c r="H66" s="104"/>
      <c r="I66" s="104"/>
      <c r="J66" s="104"/>
      <c r="N66" s="91"/>
      <c r="O66" s="91"/>
      <c r="P66" s="91"/>
      <c r="Q66" s="91"/>
      <c r="R66" s="91"/>
      <c r="S66" s="91"/>
      <c r="T66" s="91"/>
      <c r="U66" s="91"/>
      <c r="V66" s="91"/>
      <c r="W66" s="91"/>
    </row>
    <row r="67" spans="1:26" x14ac:dyDescent="0.6">
      <c r="A67" s="12"/>
      <c r="C67" s="104"/>
      <c r="D67" s="104"/>
      <c r="E67" s="104"/>
      <c r="F67" s="104"/>
      <c r="G67" s="104"/>
      <c r="H67" s="104"/>
      <c r="I67" s="104"/>
      <c r="J67" s="104"/>
      <c r="K67" s="104"/>
      <c r="N67" s="91"/>
      <c r="O67" s="91"/>
      <c r="P67" s="91"/>
      <c r="Q67" s="91"/>
      <c r="R67" s="91"/>
      <c r="S67" s="91"/>
      <c r="T67" s="91"/>
      <c r="U67" s="91"/>
      <c r="V67" s="91"/>
      <c r="W67" s="91"/>
    </row>
    <row r="68" spans="1:26" x14ac:dyDescent="0.6">
      <c r="A68" s="12"/>
      <c r="C68" s="104"/>
      <c r="D68" s="104"/>
      <c r="E68" s="104"/>
      <c r="F68" s="104"/>
      <c r="G68" s="104"/>
      <c r="H68" s="104"/>
      <c r="I68" s="104"/>
      <c r="J68" s="104"/>
      <c r="K68" s="104"/>
      <c r="N68" s="91"/>
      <c r="O68" s="91"/>
      <c r="P68" s="91"/>
      <c r="Q68" s="91"/>
      <c r="R68" s="91"/>
      <c r="S68" s="91"/>
      <c r="T68" s="91"/>
      <c r="U68" s="91"/>
      <c r="V68" s="91"/>
      <c r="W68" s="91"/>
    </row>
    <row r="69" spans="1:26" x14ac:dyDescent="0.6">
      <c r="A69" s="12"/>
      <c r="B69" s="8"/>
      <c r="N69" s="91"/>
      <c r="O69" s="91"/>
      <c r="P69" s="91"/>
      <c r="Q69" s="91"/>
      <c r="R69" s="91"/>
      <c r="S69" s="91"/>
      <c r="T69" s="91"/>
      <c r="U69" s="91"/>
      <c r="V69" s="91"/>
      <c r="W69" s="91"/>
    </row>
    <row r="70" spans="1:26" x14ac:dyDescent="0.6">
      <c r="A70" s="10" t="s">
        <v>76</v>
      </c>
      <c r="B70" s="8" t="s">
        <v>39</v>
      </c>
      <c r="E70" s="43" t="s">
        <v>66</v>
      </c>
      <c r="F70" s="8" t="s">
        <v>178</v>
      </c>
      <c r="N70" s="91"/>
      <c r="O70" s="91"/>
      <c r="P70" s="91"/>
      <c r="Q70" s="91"/>
      <c r="R70" s="91"/>
      <c r="S70" s="91"/>
      <c r="T70" s="91"/>
      <c r="U70" s="91"/>
      <c r="V70" s="91"/>
      <c r="W70" s="91"/>
    </row>
    <row r="71" spans="1:26" s="44" customFormat="1" x14ac:dyDescent="0.6">
      <c r="A71" s="12"/>
      <c r="B71" s="9" t="s">
        <v>232</v>
      </c>
      <c r="F71" s="6" t="s">
        <v>177</v>
      </c>
      <c r="G71" s="58"/>
      <c r="N71" s="91"/>
      <c r="O71" s="91"/>
      <c r="P71" s="91"/>
      <c r="Q71" s="91"/>
      <c r="R71" s="91"/>
      <c r="S71" s="91"/>
      <c r="T71" s="91"/>
      <c r="U71" s="91"/>
      <c r="V71" s="91"/>
      <c r="W71" s="91"/>
      <c r="X71" s="34"/>
      <c r="Y71" s="32"/>
      <c r="Z71" s="36"/>
    </row>
    <row r="72" spans="1:26" x14ac:dyDescent="0.6">
      <c r="A72" s="12"/>
      <c r="C72" s="6" t="s">
        <v>20</v>
      </c>
      <c r="F72" s="6" t="s">
        <v>175</v>
      </c>
      <c r="N72" s="91"/>
      <c r="O72" s="91"/>
      <c r="P72" s="91"/>
      <c r="Q72" s="91"/>
      <c r="R72" s="91"/>
      <c r="S72" s="91"/>
      <c r="T72" s="91"/>
      <c r="U72" s="91"/>
      <c r="V72" s="91"/>
      <c r="W72" s="91"/>
      <c r="X72" s="35"/>
      <c r="Y72" s="32"/>
      <c r="Z72" s="39"/>
    </row>
    <row r="73" spans="1:26" ht="13.25" x14ac:dyDescent="0.6">
      <c r="A73" s="12"/>
      <c r="B73" s="21" t="s">
        <v>7</v>
      </c>
      <c r="C73" s="183">
        <v>112.5</v>
      </c>
      <c r="E73" s="128" t="s">
        <v>53</v>
      </c>
      <c r="F73" s="184">
        <v>0.66819484240687688</v>
      </c>
      <c r="K73" s="45"/>
      <c r="N73" s="91"/>
      <c r="O73" s="91"/>
      <c r="P73" s="91"/>
      <c r="Q73" s="91"/>
      <c r="R73" s="91"/>
      <c r="S73" s="91"/>
      <c r="T73" s="91"/>
      <c r="U73" s="91"/>
      <c r="V73" s="91"/>
      <c r="W73" s="91"/>
      <c r="Y73" s="32"/>
    </row>
    <row r="74" spans="1:26" ht="13.25" x14ac:dyDescent="0.6">
      <c r="A74" s="12"/>
      <c r="B74" s="21" t="s">
        <v>8</v>
      </c>
      <c r="C74" s="183">
        <v>105.9</v>
      </c>
      <c r="D74" s="97"/>
      <c r="E74" s="128" t="s">
        <v>54</v>
      </c>
      <c r="F74" s="184">
        <v>0.78454133635334089</v>
      </c>
      <c r="K74" s="45"/>
      <c r="N74" s="91"/>
      <c r="O74" s="91"/>
      <c r="P74" s="91"/>
      <c r="Q74" s="91"/>
      <c r="R74" s="91"/>
      <c r="S74" s="91"/>
      <c r="T74" s="91"/>
      <c r="U74" s="91"/>
      <c r="V74" s="91"/>
      <c r="W74" s="91"/>
      <c r="Y74" s="32"/>
    </row>
    <row r="75" spans="1:26" x14ac:dyDescent="0.6">
      <c r="A75" s="12"/>
      <c r="B75" s="21" t="s">
        <v>9</v>
      </c>
      <c r="C75" s="183">
        <v>65</v>
      </c>
      <c r="D75" s="97"/>
      <c r="E75" s="96"/>
      <c r="H75" s="98"/>
      <c r="I75" s="98"/>
      <c r="J75" s="45"/>
      <c r="N75" s="91"/>
      <c r="O75" s="91"/>
      <c r="P75" s="91"/>
      <c r="Q75" s="91"/>
      <c r="R75" s="91"/>
      <c r="S75" s="91"/>
      <c r="T75" s="91"/>
      <c r="U75" s="91"/>
      <c r="V75" s="91"/>
      <c r="W75" s="91"/>
      <c r="X75" s="34"/>
      <c r="Y75" s="32"/>
      <c r="Z75" s="36"/>
    </row>
    <row r="76" spans="1:26" x14ac:dyDescent="0.6">
      <c r="A76" s="12"/>
      <c r="B76" s="21" t="s">
        <v>10</v>
      </c>
      <c r="C76" s="183">
        <v>48.15</v>
      </c>
      <c r="D76" s="97"/>
      <c r="E76" s="96"/>
      <c r="H76" s="98"/>
      <c r="I76" s="98"/>
      <c r="J76" s="45"/>
      <c r="N76" s="91"/>
      <c r="O76" s="91"/>
      <c r="P76" s="91"/>
      <c r="Q76" s="91"/>
      <c r="R76" s="91"/>
      <c r="S76" s="91"/>
      <c r="T76" s="91"/>
      <c r="U76" s="91"/>
      <c r="V76" s="91"/>
      <c r="W76" s="91"/>
      <c r="X76" s="35"/>
      <c r="Y76" s="32"/>
      <c r="Z76" s="39"/>
    </row>
    <row r="77" spans="1:26" x14ac:dyDescent="0.6">
      <c r="A77" s="12"/>
      <c r="B77" s="21" t="s">
        <v>11</v>
      </c>
      <c r="C77" s="183">
        <v>48.25</v>
      </c>
      <c r="D77" s="97"/>
      <c r="E77" s="96"/>
      <c r="H77" s="98"/>
      <c r="I77" s="98"/>
      <c r="N77" s="91"/>
      <c r="O77" s="91"/>
      <c r="P77" s="91"/>
      <c r="Q77" s="91"/>
      <c r="R77" s="91"/>
      <c r="S77" s="91"/>
      <c r="T77" s="91"/>
      <c r="U77" s="91"/>
      <c r="V77" s="91"/>
      <c r="W77" s="91"/>
      <c r="Y77" s="32"/>
    </row>
    <row r="78" spans="1:26" x14ac:dyDescent="0.6">
      <c r="A78" s="12"/>
      <c r="B78" s="21" t="s">
        <v>12</v>
      </c>
      <c r="C78" s="183">
        <v>64.599999999999994</v>
      </c>
      <c r="F78" s="493" t="s">
        <v>318</v>
      </c>
      <c r="G78" s="494"/>
      <c r="N78" s="91"/>
      <c r="O78" s="91"/>
      <c r="P78" s="91"/>
      <c r="Q78" s="91"/>
      <c r="R78" s="91"/>
      <c r="S78" s="91"/>
      <c r="T78" s="91"/>
      <c r="U78" s="91"/>
      <c r="V78" s="91"/>
      <c r="W78" s="91"/>
      <c r="X78" s="35"/>
      <c r="Y78" s="32"/>
      <c r="Z78" s="36"/>
    </row>
    <row r="79" spans="1:26" x14ac:dyDescent="0.6">
      <c r="A79" s="12"/>
      <c r="B79" s="21" t="s">
        <v>13</v>
      </c>
      <c r="C79" s="183">
        <v>81.599999999999994</v>
      </c>
      <c r="D79" s="46"/>
      <c r="E79" s="17"/>
      <c r="F79" s="17" t="s">
        <v>20</v>
      </c>
      <c r="G79" s="17" t="s">
        <v>21</v>
      </c>
      <c r="H79" s="47"/>
      <c r="I79" s="47"/>
      <c r="N79" s="91"/>
      <c r="O79" s="91"/>
      <c r="P79" s="91"/>
      <c r="Q79" s="91"/>
      <c r="R79" s="91"/>
      <c r="S79" s="91"/>
      <c r="T79" s="91"/>
      <c r="U79" s="91"/>
      <c r="V79" s="91"/>
      <c r="W79" s="91"/>
      <c r="X79" s="35"/>
      <c r="Y79" s="32"/>
      <c r="Z79" s="39"/>
    </row>
    <row r="80" spans="1:26" ht="13.25" x14ac:dyDescent="0.6">
      <c r="A80" s="12"/>
      <c r="B80" s="21" t="s">
        <v>14</v>
      </c>
      <c r="C80" s="183">
        <v>76.5</v>
      </c>
      <c r="D80" s="46"/>
      <c r="E80" s="128" t="s">
        <v>53</v>
      </c>
      <c r="F80" s="185">
        <v>0.85206453377085045</v>
      </c>
      <c r="G80" s="185">
        <v>0.90409836065573768</v>
      </c>
      <c r="H80" s="47"/>
      <c r="I80" s="47"/>
      <c r="N80" s="91"/>
      <c r="O80" s="91"/>
      <c r="P80" s="91"/>
      <c r="Q80" s="91"/>
      <c r="R80" s="91"/>
      <c r="S80" s="91"/>
      <c r="T80" s="91"/>
      <c r="U80" s="91"/>
      <c r="V80" s="91"/>
      <c r="W80" s="91"/>
    </row>
    <row r="81" spans="1:23" ht="13.25" x14ac:dyDescent="0.6">
      <c r="A81" s="12"/>
      <c r="B81" s="21" t="s">
        <v>15</v>
      </c>
      <c r="C81" s="183">
        <v>64.900000000000006</v>
      </c>
      <c r="D81" s="46"/>
      <c r="E81" s="128" t="s">
        <v>54</v>
      </c>
      <c r="F81" s="185">
        <v>0.8745519713261648</v>
      </c>
      <c r="G81" s="185">
        <v>0.9300382875043508</v>
      </c>
      <c r="H81" s="47"/>
      <c r="I81" s="47"/>
      <c r="N81" s="91"/>
      <c r="O81" s="91"/>
      <c r="P81" s="91"/>
      <c r="Q81" s="91"/>
      <c r="R81" s="91"/>
      <c r="S81" s="91"/>
      <c r="T81" s="91"/>
      <c r="U81" s="91"/>
      <c r="V81" s="91"/>
      <c r="W81" s="91"/>
    </row>
    <row r="82" spans="1:23" x14ac:dyDescent="0.6">
      <c r="A82" s="12"/>
      <c r="B82" s="21" t="s">
        <v>16</v>
      </c>
      <c r="C82" s="183">
        <v>56.45</v>
      </c>
      <c r="D82" s="46"/>
      <c r="E82" s="96"/>
      <c r="H82" s="98"/>
      <c r="I82" s="98"/>
      <c r="N82" s="91"/>
      <c r="O82" s="91"/>
      <c r="P82" s="91"/>
      <c r="Q82" s="91"/>
      <c r="R82" s="91"/>
      <c r="S82" s="91"/>
      <c r="T82" s="91"/>
      <c r="U82" s="91"/>
      <c r="V82" s="91"/>
      <c r="W82" s="91"/>
    </row>
    <row r="83" spans="1:23" x14ac:dyDescent="0.6">
      <c r="A83" s="12"/>
      <c r="B83" s="21" t="s">
        <v>17</v>
      </c>
      <c r="C83" s="183">
        <v>57.25</v>
      </c>
      <c r="D83" s="97"/>
      <c r="E83" s="96"/>
      <c r="H83" s="98"/>
      <c r="I83" s="98"/>
      <c r="N83" s="91"/>
      <c r="O83" s="91"/>
      <c r="P83" s="91"/>
      <c r="Q83" s="91"/>
      <c r="R83" s="91"/>
      <c r="S83" s="91"/>
      <c r="T83" s="91"/>
      <c r="U83" s="91"/>
      <c r="V83" s="91"/>
      <c r="W83" s="91"/>
    </row>
    <row r="84" spans="1:23" x14ac:dyDescent="0.6">
      <c r="A84" s="12"/>
      <c r="B84" s="21" t="s">
        <v>18</v>
      </c>
      <c r="C84" s="183">
        <v>70</v>
      </c>
      <c r="D84" s="97"/>
      <c r="E84" s="96"/>
      <c r="H84" s="98"/>
      <c r="I84" s="98"/>
      <c r="N84" s="91"/>
      <c r="O84" s="91"/>
      <c r="P84" s="91"/>
      <c r="Q84" s="91"/>
      <c r="R84" s="91"/>
      <c r="S84" s="91"/>
      <c r="T84" s="91"/>
      <c r="U84" s="91"/>
      <c r="V84" s="91"/>
      <c r="W84" s="91"/>
    </row>
    <row r="85" spans="1:23" x14ac:dyDescent="0.6">
      <c r="A85" s="12"/>
      <c r="B85" s="24"/>
      <c r="C85" s="48"/>
      <c r="D85" s="48"/>
      <c r="G85" s="49"/>
      <c r="K85" s="49"/>
      <c r="N85" s="91"/>
      <c r="O85" s="91"/>
      <c r="P85" s="91"/>
      <c r="Q85" s="91"/>
      <c r="R85" s="91"/>
      <c r="S85" s="91"/>
      <c r="T85" s="91"/>
      <c r="U85" s="91"/>
      <c r="V85" s="91"/>
      <c r="W85" s="91"/>
    </row>
    <row r="86" spans="1:23" x14ac:dyDescent="0.6">
      <c r="A86" s="12"/>
      <c r="B86" s="50"/>
      <c r="C86" s="50"/>
      <c r="D86" s="48"/>
      <c r="G86" s="49"/>
      <c r="K86" s="49"/>
      <c r="N86" s="91"/>
      <c r="O86" s="91"/>
      <c r="P86" s="91"/>
      <c r="Q86" s="91"/>
      <c r="R86" s="91"/>
      <c r="S86" s="91"/>
      <c r="T86" s="91"/>
      <c r="U86" s="91"/>
      <c r="V86" s="91"/>
      <c r="W86" s="91"/>
    </row>
    <row r="87" spans="1:23" x14ac:dyDescent="0.6">
      <c r="A87" s="12"/>
      <c r="E87" s="53"/>
      <c r="F87" s="53"/>
      <c r="G87" s="53"/>
      <c r="H87" s="53"/>
      <c r="I87" s="53"/>
      <c r="J87" s="53"/>
      <c r="K87" s="53"/>
      <c r="L87" s="53"/>
      <c r="M87" s="53"/>
      <c r="N87" s="91"/>
      <c r="O87" s="91"/>
      <c r="P87" s="91"/>
      <c r="Q87" s="91"/>
      <c r="R87" s="91"/>
      <c r="S87" s="91"/>
      <c r="T87" s="91"/>
      <c r="U87" s="91"/>
      <c r="V87" s="91"/>
      <c r="W87" s="91"/>
    </row>
    <row r="88" spans="1:23" x14ac:dyDescent="0.6">
      <c r="A88" s="10" t="s">
        <v>67</v>
      </c>
      <c r="B88" s="20" t="s">
        <v>293</v>
      </c>
      <c r="C88" s="20" t="s">
        <v>294</v>
      </c>
      <c r="D88" s="20" t="s">
        <v>292</v>
      </c>
      <c r="E88" s="53"/>
      <c r="F88" s="53"/>
      <c r="G88" s="53"/>
      <c r="H88" s="53"/>
      <c r="I88" s="53"/>
      <c r="J88" s="53"/>
      <c r="K88" s="53"/>
      <c r="L88" s="53"/>
      <c r="M88" s="53"/>
      <c r="N88" s="91"/>
      <c r="O88" s="91"/>
      <c r="P88" s="91"/>
      <c r="Q88" s="91"/>
      <c r="R88" s="91"/>
      <c r="S88" s="91"/>
      <c r="T88" s="91"/>
      <c r="U88" s="91"/>
      <c r="V88" s="91"/>
      <c r="W88" s="91"/>
    </row>
    <row r="89" spans="1:23" x14ac:dyDescent="0.6">
      <c r="A89" s="12"/>
      <c r="B89" s="20" t="s">
        <v>290</v>
      </c>
      <c r="C89" s="129">
        <v>5.8326999999999997E-2</v>
      </c>
      <c r="D89" s="88" t="s">
        <v>324</v>
      </c>
      <c r="E89" s="99"/>
      <c r="F89" s="99"/>
      <c r="G89" s="99"/>
      <c r="H89" s="99"/>
      <c r="I89" s="99"/>
      <c r="J89" s="99"/>
      <c r="K89" s="99"/>
      <c r="L89" s="99"/>
      <c r="M89" s="53"/>
      <c r="N89" s="91"/>
      <c r="O89" s="91"/>
      <c r="P89" s="91"/>
      <c r="Q89" s="91"/>
      <c r="R89" s="91"/>
      <c r="S89" s="91"/>
      <c r="T89" s="91"/>
      <c r="U89" s="91"/>
      <c r="V89" s="91"/>
      <c r="W89" s="91"/>
    </row>
    <row r="90" spans="1:23" x14ac:dyDescent="0.6">
      <c r="A90" s="12"/>
      <c r="B90" s="20" t="s">
        <v>291</v>
      </c>
      <c r="C90" s="194">
        <v>4.5599999999999998E-3</v>
      </c>
      <c r="D90" s="88" t="s">
        <v>371</v>
      </c>
      <c r="E90" s="52"/>
      <c r="F90" s="52"/>
      <c r="G90" s="52"/>
      <c r="H90" s="52"/>
      <c r="I90" s="52"/>
      <c r="J90" s="52"/>
      <c r="K90" s="52"/>
      <c r="L90" s="52"/>
      <c r="M90" s="53"/>
      <c r="N90" s="91"/>
      <c r="O90" s="91"/>
      <c r="P90" s="91"/>
      <c r="Q90" s="91"/>
      <c r="R90" s="91"/>
      <c r="S90" s="91"/>
      <c r="T90" s="91"/>
      <c r="U90" s="91"/>
      <c r="V90" s="91"/>
      <c r="W90" s="91"/>
    </row>
    <row r="91" spans="1:23" x14ac:dyDescent="0.6">
      <c r="A91" s="12"/>
      <c r="B91" s="20" t="s">
        <v>297</v>
      </c>
      <c r="C91" s="186">
        <v>1.2492669629485992E-2</v>
      </c>
      <c r="D91" s="20" t="s">
        <v>296</v>
      </c>
      <c r="E91" s="52"/>
      <c r="F91" s="52"/>
      <c r="G91" s="52"/>
      <c r="H91" s="52"/>
      <c r="I91" s="52"/>
      <c r="J91" s="52"/>
      <c r="K91" s="52"/>
      <c r="L91" s="52"/>
      <c r="M91" s="53"/>
      <c r="N91" s="91"/>
      <c r="O91" s="91"/>
      <c r="P91" s="91"/>
      <c r="Q91" s="91"/>
      <c r="R91" s="91"/>
      <c r="S91" s="91"/>
      <c r="T91" s="91"/>
      <c r="U91" s="91"/>
      <c r="V91" s="91"/>
      <c r="W91" s="91"/>
    </row>
    <row r="92" spans="1:23" x14ac:dyDescent="0.6">
      <c r="A92" s="12"/>
      <c r="C92" s="54"/>
      <c r="D92" s="53"/>
      <c r="E92" s="53"/>
      <c r="F92" s="53"/>
      <c r="G92" s="53"/>
      <c r="H92" s="53"/>
      <c r="I92" s="53"/>
      <c r="J92" s="53"/>
      <c r="K92" s="53"/>
      <c r="L92" s="53"/>
      <c r="M92" s="53"/>
      <c r="N92" s="91"/>
      <c r="O92" s="91"/>
      <c r="P92" s="91"/>
      <c r="Q92" s="91"/>
      <c r="R92" s="91"/>
      <c r="S92" s="91"/>
      <c r="T92" s="91"/>
      <c r="U92" s="91"/>
      <c r="V92" s="91"/>
      <c r="W92" s="91"/>
    </row>
    <row r="93" spans="1:23" x14ac:dyDescent="0.6">
      <c r="A93" s="12"/>
      <c r="N93" s="91"/>
      <c r="O93" s="91"/>
      <c r="P93" s="91"/>
      <c r="Q93" s="91"/>
      <c r="R93" s="91"/>
      <c r="S93" s="91"/>
      <c r="T93" s="91"/>
      <c r="U93" s="91"/>
      <c r="V93" s="91"/>
      <c r="W93" s="91"/>
    </row>
    <row r="94" spans="1:23" x14ac:dyDescent="0.6">
      <c r="A94" s="12"/>
      <c r="N94" s="91"/>
      <c r="O94" s="91"/>
      <c r="P94" s="91"/>
      <c r="Q94" s="91"/>
      <c r="R94" s="91"/>
      <c r="S94" s="91"/>
      <c r="T94" s="91"/>
      <c r="U94" s="91"/>
      <c r="V94" s="91"/>
      <c r="W94" s="91"/>
    </row>
    <row r="95" spans="1:23" x14ac:dyDescent="0.6">
      <c r="A95" s="12"/>
      <c r="N95" s="91"/>
      <c r="O95" s="91"/>
      <c r="P95" s="91"/>
      <c r="Q95" s="91"/>
      <c r="R95" s="91"/>
      <c r="S95" s="91"/>
      <c r="T95" s="91"/>
      <c r="U95" s="91"/>
      <c r="V95" s="91"/>
      <c r="W95" s="91"/>
    </row>
    <row r="96" spans="1:23" x14ac:dyDescent="0.6">
      <c r="A96" s="10" t="s">
        <v>71</v>
      </c>
      <c r="B96" s="8" t="s">
        <v>158</v>
      </c>
      <c r="L96" s="6"/>
      <c r="N96" s="91"/>
      <c r="O96" s="91"/>
      <c r="P96" s="91"/>
      <c r="Q96" s="91"/>
      <c r="R96" s="91"/>
      <c r="S96" s="91"/>
      <c r="T96" s="91"/>
      <c r="U96" s="91"/>
      <c r="V96" s="91"/>
      <c r="W96" s="91"/>
    </row>
    <row r="97" spans="1:23" x14ac:dyDescent="0.6">
      <c r="A97" s="12"/>
      <c r="B97" s="187" t="s">
        <v>404</v>
      </c>
      <c r="L97" s="6"/>
      <c r="N97" s="91"/>
      <c r="O97" s="91"/>
      <c r="P97" s="91"/>
      <c r="Q97" s="91"/>
      <c r="R97" s="91"/>
      <c r="S97" s="91"/>
      <c r="T97" s="91"/>
      <c r="U97" s="91"/>
      <c r="V97" s="91"/>
      <c r="W97" s="91"/>
    </row>
    <row r="98" spans="1:23" x14ac:dyDescent="0.6">
      <c r="A98" s="12"/>
      <c r="B98" s="9" t="s">
        <v>77</v>
      </c>
      <c r="C98" s="6"/>
      <c r="D98" s="6"/>
      <c r="E98" s="6"/>
      <c r="F98" s="6"/>
      <c r="G98" s="6"/>
      <c r="H98" s="6"/>
      <c r="I98" s="6"/>
      <c r="J98" s="6"/>
      <c r="K98" s="6"/>
      <c r="L98" s="6"/>
      <c r="M98" s="6"/>
      <c r="N98" s="91"/>
      <c r="O98" s="91"/>
      <c r="P98" s="91"/>
      <c r="Q98" s="91"/>
      <c r="R98" s="91"/>
      <c r="S98" s="91"/>
      <c r="T98" s="91"/>
      <c r="U98" s="91"/>
      <c r="V98" s="91"/>
      <c r="W98" s="91"/>
    </row>
    <row r="99" spans="1:23" ht="12.75" customHeight="1" x14ac:dyDescent="0.6">
      <c r="A99" s="12"/>
      <c r="B99" s="9"/>
      <c r="C99" s="6"/>
      <c r="D99" s="6"/>
      <c r="E99" s="6"/>
      <c r="F99" s="6"/>
      <c r="G99" s="6"/>
      <c r="H99" s="6"/>
      <c r="I99" s="6"/>
      <c r="J99" s="6"/>
      <c r="K99" s="6"/>
      <c r="M99" s="6"/>
      <c r="N99" s="91"/>
      <c r="O99" s="91"/>
      <c r="P99" s="91"/>
      <c r="Q99" s="91"/>
      <c r="R99" s="91"/>
      <c r="S99" s="91"/>
      <c r="T99" s="91"/>
      <c r="U99" s="91"/>
      <c r="V99" s="91"/>
      <c r="W99" s="91"/>
    </row>
    <row r="100" spans="1:23" x14ac:dyDescent="0.6">
      <c r="A100" s="12"/>
      <c r="B100" s="20"/>
      <c r="C100" s="17" t="s">
        <v>0</v>
      </c>
      <c r="D100" s="17" t="s">
        <v>1</v>
      </c>
      <c r="E100" s="17" t="s">
        <v>2</v>
      </c>
      <c r="F100" s="17" t="s">
        <v>3</v>
      </c>
      <c r="G100" s="17" t="s">
        <v>4</v>
      </c>
      <c r="H100" s="17" t="s">
        <v>6</v>
      </c>
      <c r="I100" s="17" t="s">
        <v>37</v>
      </c>
      <c r="J100" s="17" t="s">
        <v>38</v>
      </c>
      <c r="K100" s="17" t="s">
        <v>5</v>
      </c>
      <c r="L100" s="17" t="s">
        <v>36</v>
      </c>
      <c r="N100" s="91"/>
      <c r="O100" s="91"/>
      <c r="P100" s="91"/>
      <c r="Q100" s="91"/>
      <c r="R100" s="91"/>
      <c r="S100" s="91"/>
      <c r="T100" s="91"/>
      <c r="U100" s="91"/>
      <c r="V100" s="91"/>
      <c r="W100" s="91"/>
    </row>
    <row r="101" spans="1:23" x14ac:dyDescent="0.6">
      <c r="A101" s="55"/>
      <c r="B101" s="177" t="s">
        <v>302</v>
      </c>
      <c r="C101" s="188">
        <v>4301.1486338380355</v>
      </c>
      <c r="D101" s="188">
        <v>17.594271730170394</v>
      </c>
      <c r="E101" s="188">
        <v>57.617459314069976</v>
      </c>
      <c r="F101" s="188">
        <v>0</v>
      </c>
      <c r="G101" s="188">
        <v>0</v>
      </c>
      <c r="H101" s="188">
        <v>2.7838318964466953</v>
      </c>
      <c r="I101" s="188">
        <v>0</v>
      </c>
      <c r="J101" s="188">
        <v>0</v>
      </c>
      <c r="K101" s="188">
        <v>1578.0102650290635</v>
      </c>
      <c r="L101" s="188">
        <v>1264.8204320369362</v>
      </c>
      <c r="M101" s="56"/>
      <c r="N101" s="91"/>
      <c r="O101" s="91"/>
      <c r="P101" s="91"/>
      <c r="Q101" s="91"/>
      <c r="R101" s="91"/>
      <c r="S101" s="91"/>
      <c r="T101" s="91"/>
      <c r="U101" s="91"/>
      <c r="V101" s="91"/>
      <c r="W101" s="91"/>
    </row>
    <row r="102" spans="1:23" x14ac:dyDescent="0.6">
      <c r="A102" s="5"/>
      <c r="B102" s="177" t="s">
        <v>286</v>
      </c>
      <c r="C102" s="188">
        <v>4773.2263926587857</v>
      </c>
      <c r="D102" s="188">
        <v>19.716739692485959</v>
      </c>
      <c r="E102" s="188">
        <v>64.846768801356319</v>
      </c>
      <c r="F102" s="188">
        <v>0</v>
      </c>
      <c r="G102" s="188">
        <v>0</v>
      </c>
      <c r="H102" s="188">
        <v>3.1118460419414049</v>
      </c>
      <c r="I102" s="188">
        <v>0</v>
      </c>
      <c r="J102" s="188">
        <v>0</v>
      </c>
      <c r="K102" s="188">
        <v>1694.5838255724541</v>
      </c>
      <c r="L102" s="188">
        <v>1324.5594542755998</v>
      </c>
      <c r="N102" s="91"/>
      <c r="O102" s="91"/>
      <c r="P102" s="91"/>
      <c r="Q102" s="91"/>
      <c r="R102" s="91"/>
      <c r="S102" s="91"/>
      <c r="T102" s="91"/>
      <c r="U102" s="91"/>
      <c r="V102" s="91"/>
      <c r="W102" s="91"/>
    </row>
    <row r="103" spans="1:23" x14ac:dyDescent="0.6">
      <c r="A103" s="55"/>
      <c r="C103" s="100"/>
      <c r="D103" s="100"/>
      <c r="E103" s="100"/>
      <c r="F103" s="100"/>
      <c r="G103" s="100"/>
      <c r="H103" s="100"/>
      <c r="I103" s="100"/>
      <c r="J103" s="100"/>
      <c r="K103" s="100"/>
      <c r="L103" s="100"/>
      <c r="M103" s="56"/>
      <c r="N103" s="91"/>
      <c r="O103" s="91"/>
      <c r="P103" s="91"/>
      <c r="Q103" s="91"/>
      <c r="R103" s="91"/>
      <c r="S103" s="91"/>
      <c r="T103" s="91"/>
      <c r="U103" s="91"/>
      <c r="V103" s="91"/>
      <c r="W103" s="91"/>
    </row>
    <row r="104" spans="1:23" x14ac:dyDescent="0.6">
      <c r="A104" s="5"/>
      <c r="B104" s="177" t="s">
        <v>287</v>
      </c>
      <c r="C104" s="189">
        <v>1.0978092211019459</v>
      </c>
      <c r="D104" s="57"/>
      <c r="E104" s="57"/>
      <c r="F104" s="57"/>
      <c r="G104" s="57"/>
      <c r="H104" s="57"/>
      <c r="I104" s="57"/>
      <c r="J104" s="57"/>
      <c r="K104" s="57"/>
      <c r="M104" s="57"/>
      <c r="N104" s="91"/>
      <c r="O104" s="91"/>
      <c r="P104" s="91"/>
      <c r="Q104" s="91"/>
      <c r="R104" s="91"/>
      <c r="S104" s="91"/>
      <c r="T104" s="91"/>
      <c r="U104" s="91"/>
      <c r="V104" s="91"/>
      <c r="W104" s="91"/>
    </row>
    <row r="105" spans="1:23" x14ac:dyDescent="0.6">
      <c r="A105" s="12"/>
      <c r="B105" s="88" t="str">
        <f>"PJM June 1, "&amp;(Input!D2-1)&amp;" (through May 31, "&amp;(Input!D2)&amp;") Forecast Pool Requirement"</f>
        <v>PJM June 1, 2022 (through May 31, 2023) Forecast Pool Requirement</v>
      </c>
      <c r="C105" s="189">
        <v>1.0906</v>
      </c>
      <c r="I105" s="57"/>
      <c r="K105" s="6"/>
      <c r="M105" s="57"/>
      <c r="N105" s="91"/>
      <c r="O105" s="91"/>
      <c r="P105" s="91"/>
      <c r="Q105" s="91"/>
      <c r="R105" s="91"/>
      <c r="S105" s="91"/>
      <c r="T105" s="91"/>
      <c r="U105" s="91"/>
      <c r="V105" s="91"/>
      <c r="W105" s="91"/>
    </row>
    <row r="106" spans="1:23" x14ac:dyDescent="0.6">
      <c r="A106" s="12"/>
      <c r="D106" s="38"/>
      <c r="E106" s="101"/>
      <c r="G106" s="38"/>
      <c r="H106" s="58"/>
      <c r="I106" s="57"/>
      <c r="M106" s="57"/>
      <c r="N106" s="91"/>
      <c r="O106" s="91"/>
      <c r="P106" s="91"/>
      <c r="Q106" s="91"/>
      <c r="R106" s="91"/>
      <c r="S106" s="91"/>
      <c r="T106" s="91"/>
      <c r="U106" s="91"/>
      <c r="V106" s="91"/>
      <c r="W106" s="91"/>
    </row>
    <row r="107" spans="1:23" x14ac:dyDescent="0.6">
      <c r="A107" s="12"/>
      <c r="B107" s="58"/>
      <c r="D107" s="58"/>
      <c r="G107" s="38"/>
      <c r="H107" s="58"/>
      <c r="I107" s="57"/>
      <c r="M107" s="57"/>
      <c r="N107" s="91"/>
      <c r="O107" s="91"/>
      <c r="P107" s="91"/>
      <c r="Q107" s="91"/>
      <c r="R107" s="91"/>
      <c r="S107" s="91"/>
      <c r="T107" s="91"/>
      <c r="U107" s="91"/>
      <c r="V107" s="91"/>
      <c r="W107" s="91"/>
    </row>
    <row r="108" spans="1:23" x14ac:dyDescent="0.6">
      <c r="A108" s="12"/>
      <c r="B108" s="176"/>
      <c r="C108" s="130"/>
      <c r="E108" s="131"/>
      <c r="F108" s="38"/>
      <c r="G108" s="38"/>
      <c r="H108" s="58"/>
      <c r="I108" s="57"/>
      <c r="K108" s="91"/>
      <c r="L108" s="91"/>
      <c r="M108" s="91"/>
      <c r="N108" s="91"/>
      <c r="O108" s="91"/>
      <c r="P108" s="91"/>
      <c r="Q108" s="91"/>
      <c r="R108" s="91"/>
      <c r="S108" s="91"/>
      <c r="T108" s="91"/>
    </row>
    <row r="109" spans="1:23" x14ac:dyDescent="0.6">
      <c r="A109" s="12"/>
      <c r="B109" s="12"/>
      <c r="C109" s="130"/>
      <c r="E109" s="131"/>
      <c r="F109" s="38"/>
      <c r="G109" s="38"/>
      <c r="H109" s="130"/>
      <c r="J109" s="131"/>
      <c r="K109" s="91"/>
      <c r="L109" s="91"/>
      <c r="M109" s="91"/>
      <c r="N109" s="91"/>
      <c r="O109" s="91"/>
      <c r="P109" s="91"/>
      <c r="Q109" s="91"/>
      <c r="R109" s="91"/>
      <c r="S109" s="91"/>
      <c r="T109" s="91"/>
    </row>
    <row r="110" spans="1:23" x14ac:dyDescent="0.6">
      <c r="A110" s="12"/>
      <c r="C110" s="130"/>
      <c r="E110" s="131"/>
      <c r="F110" s="59"/>
      <c r="G110" s="59"/>
      <c r="H110" s="58"/>
      <c r="I110" s="57"/>
      <c r="K110" s="91"/>
      <c r="L110" s="91"/>
      <c r="M110" s="91"/>
      <c r="N110" s="91"/>
      <c r="O110" s="91"/>
      <c r="P110" s="91"/>
      <c r="Q110" s="91"/>
      <c r="R110" s="91"/>
      <c r="S110" s="91"/>
      <c r="T110" s="91"/>
    </row>
    <row r="111" spans="1:23" x14ac:dyDescent="0.6">
      <c r="A111" s="12"/>
      <c r="C111" s="130"/>
      <c r="E111" s="131"/>
      <c r="F111" s="38"/>
      <c r="G111" s="38"/>
      <c r="I111" s="57"/>
      <c r="J111" s="102"/>
      <c r="K111" s="91"/>
      <c r="L111" s="91"/>
      <c r="M111" s="91"/>
      <c r="N111" s="91"/>
      <c r="O111" s="91"/>
      <c r="P111" s="91"/>
      <c r="Q111" s="91"/>
      <c r="R111" s="91"/>
      <c r="S111" s="91"/>
      <c r="T111" s="91"/>
    </row>
    <row r="112" spans="1:23" x14ac:dyDescent="0.6">
      <c r="A112" s="12"/>
      <c r="B112" s="58"/>
      <c r="C112" s="38"/>
      <c r="E112" s="495" t="s">
        <v>327</v>
      </c>
      <c r="F112" s="495"/>
      <c r="I112" s="57"/>
      <c r="J112" s="102"/>
      <c r="K112" s="91"/>
      <c r="L112" s="91"/>
      <c r="M112" s="91"/>
      <c r="N112" s="91"/>
      <c r="O112" s="91"/>
      <c r="P112" s="91"/>
      <c r="Q112" s="91"/>
      <c r="R112" s="91"/>
      <c r="S112" s="91"/>
      <c r="T112" s="91"/>
    </row>
    <row r="113" spans="1:23" x14ac:dyDescent="0.6">
      <c r="A113" s="12"/>
      <c r="B113" s="58" t="s">
        <v>102</v>
      </c>
      <c r="C113" s="490" t="s">
        <v>150</v>
      </c>
      <c r="D113" s="490"/>
      <c r="E113" s="190">
        <v>53.53</v>
      </c>
      <c r="F113" s="83" t="s">
        <v>98</v>
      </c>
      <c r="I113" s="57"/>
      <c r="J113" s="102"/>
      <c r="K113" s="91"/>
      <c r="L113" s="91"/>
      <c r="M113" s="91"/>
      <c r="N113" s="91"/>
      <c r="O113" s="91"/>
      <c r="P113" s="91"/>
      <c r="Q113" s="91"/>
      <c r="R113" s="91"/>
      <c r="S113" s="91"/>
      <c r="T113" s="91"/>
    </row>
    <row r="114" spans="1:23" x14ac:dyDescent="0.6">
      <c r="A114" s="12"/>
      <c r="C114" s="490" t="s">
        <v>151</v>
      </c>
      <c r="D114" s="490"/>
      <c r="E114" s="190">
        <v>53.53</v>
      </c>
      <c r="F114" s="83" t="s">
        <v>98</v>
      </c>
      <c r="N114" s="91"/>
      <c r="O114" s="91"/>
      <c r="P114" s="91"/>
      <c r="Q114" s="91"/>
      <c r="R114" s="91"/>
      <c r="S114" s="91"/>
      <c r="T114" s="91"/>
      <c r="U114" s="91"/>
      <c r="V114" s="91"/>
      <c r="W114" s="91"/>
    </row>
    <row r="115" spans="1:23" ht="18" customHeight="1" x14ac:dyDescent="0.6">
      <c r="A115" s="12"/>
      <c r="F115" s="58"/>
      <c r="G115" s="58"/>
      <c r="H115" s="58"/>
      <c r="I115" s="58"/>
      <c r="N115" s="91"/>
      <c r="O115" s="91"/>
      <c r="P115" s="91"/>
      <c r="Q115" s="91"/>
      <c r="R115" s="91"/>
      <c r="S115" s="91"/>
      <c r="T115" s="91"/>
      <c r="U115" s="91"/>
      <c r="V115" s="91"/>
      <c r="W115" s="91"/>
    </row>
    <row r="116" spans="1:23" x14ac:dyDescent="0.6">
      <c r="A116" s="12"/>
      <c r="F116" s="58"/>
      <c r="G116" s="58"/>
      <c r="H116" s="58"/>
      <c r="I116" s="58"/>
      <c r="J116" s="58"/>
      <c r="N116" s="91"/>
      <c r="O116" s="91"/>
      <c r="P116" s="91"/>
      <c r="Q116" s="91"/>
      <c r="R116" s="91"/>
      <c r="S116" s="91"/>
      <c r="T116" s="91"/>
      <c r="U116" s="91"/>
      <c r="V116" s="91"/>
      <c r="W116" s="91"/>
    </row>
    <row r="117" spans="1:23" x14ac:dyDescent="0.6">
      <c r="A117" s="12"/>
      <c r="F117" s="58"/>
      <c r="G117" s="58"/>
      <c r="H117" s="58"/>
      <c r="I117" s="58"/>
      <c r="J117" s="58"/>
      <c r="N117" s="91"/>
      <c r="O117" s="91"/>
      <c r="P117" s="91"/>
      <c r="Q117" s="91"/>
      <c r="R117" s="91"/>
      <c r="S117" s="91"/>
      <c r="T117" s="91"/>
      <c r="U117" s="91"/>
      <c r="V117" s="91"/>
      <c r="W117" s="91"/>
    </row>
    <row r="118" spans="1:23" x14ac:dyDescent="0.6">
      <c r="A118" s="10"/>
      <c r="B118" s="20"/>
      <c r="C118" s="17" t="s">
        <v>0</v>
      </c>
      <c r="D118" s="17" t="s">
        <v>1</v>
      </c>
      <c r="F118" s="58"/>
      <c r="G118" s="58"/>
      <c r="H118" s="58"/>
      <c r="I118" s="58"/>
      <c r="J118" s="103"/>
      <c r="N118" s="91"/>
      <c r="O118" s="91"/>
      <c r="P118" s="91"/>
      <c r="Q118" s="91"/>
      <c r="R118" s="91"/>
      <c r="S118" s="91"/>
      <c r="T118" s="91"/>
      <c r="U118" s="91"/>
      <c r="V118" s="91"/>
      <c r="W118" s="91"/>
    </row>
    <row r="119" spans="1:23" x14ac:dyDescent="0.6">
      <c r="A119" s="10"/>
      <c r="B119" s="127" t="s">
        <v>184</v>
      </c>
      <c r="C119" s="184">
        <v>0.86519999999999975</v>
      </c>
      <c r="D119" s="184">
        <v>1.1569000000000003</v>
      </c>
      <c r="E119" s="58" t="s">
        <v>161</v>
      </c>
      <c r="F119" s="61" t="s">
        <v>187</v>
      </c>
      <c r="I119" s="58"/>
      <c r="J119" s="103"/>
      <c r="K119" s="62"/>
      <c r="N119" s="91"/>
      <c r="O119" s="91"/>
      <c r="P119" s="91"/>
      <c r="Q119" s="91"/>
      <c r="R119" s="91"/>
      <c r="S119" s="91"/>
      <c r="T119" s="91"/>
      <c r="U119" s="91"/>
      <c r="V119" s="91"/>
      <c r="W119" s="91"/>
    </row>
    <row r="120" spans="1:23" x14ac:dyDescent="0.6">
      <c r="A120" s="10"/>
      <c r="F120" s="58"/>
      <c r="H120" s="58"/>
      <c r="I120" s="58"/>
      <c r="J120" s="103"/>
      <c r="K120" s="62"/>
      <c r="N120" s="91"/>
      <c r="O120" s="91"/>
      <c r="P120" s="91"/>
      <c r="Q120" s="91"/>
      <c r="R120" s="91"/>
      <c r="S120" s="91"/>
      <c r="T120" s="91"/>
      <c r="U120" s="91"/>
      <c r="V120" s="91"/>
      <c r="W120" s="91"/>
    </row>
    <row r="121" spans="1:23" x14ac:dyDescent="0.6">
      <c r="A121" s="5"/>
      <c r="B121" s="58"/>
      <c r="C121" s="58"/>
      <c r="D121" s="58"/>
      <c r="E121" s="58"/>
      <c r="F121" s="58"/>
      <c r="G121" s="58"/>
      <c r="H121" s="58"/>
      <c r="I121" s="58"/>
      <c r="J121" s="58"/>
      <c r="N121" s="91"/>
      <c r="O121" s="91"/>
      <c r="P121" s="91"/>
      <c r="Q121" s="91"/>
      <c r="R121" s="91"/>
      <c r="S121" s="91"/>
      <c r="T121" s="91"/>
      <c r="U121" s="91"/>
      <c r="V121" s="91"/>
      <c r="W121" s="91"/>
    </row>
    <row r="122" spans="1:23" x14ac:dyDescent="0.6">
      <c r="A122" s="10" t="s">
        <v>72</v>
      </c>
      <c r="B122" s="8" t="s">
        <v>314</v>
      </c>
      <c r="D122" s="58"/>
      <c r="I122" s="58"/>
      <c r="J122" s="58"/>
      <c r="N122" s="91"/>
      <c r="O122" s="91"/>
      <c r="P122" s="91"/>
      <c r="Q122" s="91"/>
      <c r="R122" s="91"/>
      <c r="S122" s="91"/>
      <c r="T122" s="91"/>
      <c r="U122" s="91"/>
      <c r="V122" s="91"/>
      <c r="W122" s="91"/>
    </row>
    <row r="123" spans="1:23" x14ac:dyDescent="0.6">
      <c r="A123" s="10"/>
      <c r="B123" s="58" t="s">
        <v>315</v>
      </c>
      <c r="D123" s="190">
        <v>2</v>
      </c>
      <c r="E123" s="51" t="s">
        <v>142</v>
      </c>
      <c r="I123" s="58"/>
      <c r="J123" s="58"/>
      <c r="N123" s="91"/>
      <c r="O123" s="91"/>
      <c r="P123" s="91"/>
      <c r="Q123" s="91"/>
      <c r="R123" s="91"/>
      <c r="S123" s="91"/>
      <c r="T123" s="91"/>
      <c r="U123" s="91"/>
      <c r="V123" s="91"/>
      <c r="W123" s="91"/>
    </row>
    <row r="124" spans="1:23" x14ac:dyDescent="0.6">
      <c r="A124" s="10"/>
      <c r="B124" s="58" t="s">
        <v>316</v>
      </c>
      <c r="D124" s="190">
        <v>17.21</v>
      </c>
      <c r="E124" s="51" t="s">
        <v>142</v>
      </c>
      <c r="I124" s="58"/>
      <c r="J124" s="58"/>
      <c r="N124" s="91"/>
      <c r="O124" s="91"/>
      <c r="P124" s="91"/>
      <c r="Q124" s="91"/>
      <c r="R124" s="91"/>
      <c r="S124" s="91"/>
      <c r="T124" s="91"/>
      <c r="U124" s="91"/>
      <c r="V124" s="91"/>
      <c r="W124" s="91"/>
    </row>
    <row r="125" spans="1:23" x14ac:dyDescent="0.6">
      <c r="A125" s="12"/>
      <c r="B125" s="9"/>
      <c r="E125" s="51"/>
      <c r="N125" s="91"/>
      <c r="O125" s="91"/>
      <c r="P125" s="91"/>
      <c r="Q125" s="91"/>
      <c r="R125" s="91"/>
      <c r="S125" s="91"/>
      <c r="T125" s="91"/>
      <c r="U125" s="91"/>
      <c r="V125" s="91"/>
      <c r="W125" s="91"/>
    </row>
    <row r="126" spans="1:23" x14ac:dyDescent="0.6">
      <c r="A126" s="12"/>
      <c r="B126" s="9"/>
      <c r="F126" s="51"/>
      <c r="N126" s="91"/>
      <c r="O126" s="91"/>
      <c r="P126" s="91"/>
      <c r="Q126" s="91"/>
      <c r="R126" s="91"/>
      <c r="S126" s="91"/>
      <c r="T126" s="91"/>
      <c r="U126" s="91"/>
      <c r="V126" s="91"/>
      <c r="W126" s="91"/>
    </row>
    <row r="127" spans="1:23" x14ac:dyDescent="0.6">
      <c r="A127" s="12"/>
      <c r="B127" s="8"/>
      <c r="E127" s="63"/>
      <c r="F127" s="51"/>
      <c r="N127" s="91"/>
      <c r="O127" s="91"/>
      <c r="P127" s="91"/>
      <c r="Q127" s="91"/>
      <c r="R127" s="91"/>
      <c r="S127" s="91"/>
      <c r="T127" s="91"/>
      <c r="U127" s="91"/>
      <c r="V127" s="91"/>
      <c r="W127" s="91"/>
    </row>
    <row r="128" spans="1:23" x14ac:dyDescent="0.6">
      <c r="A128" s="10"/>
      <c r="B128" s="8"/>
      <c r="N128" s="91"/>
      <c r="O128" s="91"/>
      <c r="P128" s="91"/>
      <c r="Q128" s="91"/>
      <c r="R128" s="91"/>
      <c r="S128" s="91"/>
      <c r="T128" s="91"/>
      <c r="U128" s="91"/>
      <c r="V128" s="91"/>
      <c r="W128" s="91"/>
    </row>
    <row r="129" spans="1:23" x14ac:dyDescent="0.6">
      <c r="A129" s="10" t="s">
        <v>310</v>
      </c>
      <c r="B129" s="8" t="s">
        <v>308</v>
      </c>
      <c r="N129" s="91"/>
      <c r="O129" s="91"/>
      <c r="P129" s="91"/>
      <c r="Q129" s="91"/>
      <c r="R129" s="91"/>
      <c r="S129" s="91"/>
      <c r="T129" s="91"/>
      <c r="U129" s="91"/>
      <c r="V129" s="91"/>
      <c r="W129" s="91"/>
    </row>
    <row r="130" spans="1:23" x14ac:dyDescent="0.6">
      <c r="A130" s="10"/>
      <c r="B130" s="8" t="s">
        <v>309</v>
      </c>
      <c r="C130" s="6"/>
      <c r="D130" s="190">
        <v>276.26</v>
      </c>
      <c r="E130" s="6" t="s">
        <v>141</v>
      </c>
      <c r="F130" s="6"/>
      <c r="G130" s="6"/>
      <c r="H130" s="6"/>
      <c r="I130" s="6"/>
      <c r="J130" s="6"/>
      <c r="N130" s="91"/>
      <c r="O130" s="91"/>
      <c r="P130" s="91"/>
      <c r="Q130" s="91"/>
      <c r="R130" s="91"/>
      <c r="S130" s="91"/>
      <c r="T130" s="91"/>
      <c r="U130" s="91"/>
      <c r="V130" s="91"/>
      <c r="W130" s="91"/>
    </row>
    <row r="131" spans="1:23" x14ac:dyDescent="0.6">
      <c r="A131" s="10"/>
      <c r="B131" s="8"/>
      <c r="N131" s="91"/>
      <c r="O131" s="91"/>
      <c r="P131" s="91"/>
      <c r="Q131" s="91"/>
      <c r="R131" s="91"/>
      <c r="S131" s="91"/>
      <c r="T131" s="91"/>
      <c r="U131" s="91"/>
      <c r="V131" s="91"/>
      <c r="W131" s="91"/>
    </row>
    <row r="132" spans="1:23" x14ac:dyDescent="0.6">
      <c r="A132" s="12"/>
      <c r="B132" s="38"/>
      <c r="C132" s="60"/>
      <c r="D132" s="60"/>
      <c r="E132" s="60"/>
      <c r="F132" s="60"/>
      <c r="G132" s="60"/>
      <c r="H132" s="60"/>
      <c r="I132" s="60"/>
      <c r="J132" s="60"/>
      <c r="K132" s="60"/>
      <c r="L132" s="60"/>
      <c r="M132" s="60"/>
      <c r="N132" s="91"/>
      <c r="O132" s="91"/>
      <c r="P132" s="91"/>
      <c r="Q132" s="91"/>
      <c r="R132" s="91"/>
      <c r="S132" s="91"/>
      <c r="T132" s="91"/>
      <c r="U132" s="91"/>
      <c r="V132" s="91"/>
      <c r="W132" s="91"/>
    </row>
    <row r="133" spans="1:23" x14ac:dyDescent="0.6">
      <c r="A133" s="12"/>
      <c r="B133" s="38"/>
      <c r="C133" s="104"/>
      <c r="D133" s="104"/>
      <c r="E133" s="60"/>
      <c r="F133" s="60"/>
      <c r="G133" s="60"/>
      <c r="H133" s="60"/>
      <c r="I133" s="60"/>
      <c r="J133" s="60"/>
      <c r="K133" s="60"/>
      <c r="L133" s="60"/>
      <c r="M133" s="60"/>
      <c r="N133" s="91"/>
      <c r="O133" s="91"/>
      <c r="P133" s="91"/>
      <c r="Q133" s="91"/>
      <c r="R133" s="91"/>
      <c r="S133" s="91"/>
      <c r="T133" s="91"/>
      <c r="U133" s="91"/>
      <c r="V133" s="91"/>
      <c r="W133" s="91"/>
    </row>
    <row r="134" spans="1:23" x14ac:dyDescent="0.6">
      <c r="A134" s="12"/>
      <c r="B134" s="38"/>
      <c r="C134" s="58"/>
      <c r="D134" s="58"/>
      <c r="E134" s="58"/>
      <c r="G134" s="60"/>
      <c r="H134" s="60"/>
      <c r="I134" s="60"/>
      <c r="K134" s="60"/>
      <c r="L134" s="60"/>
      <c r="M134" s="60"/>
      <c r="N134" s="91"/>
      <c r="O134" s="91"/>
      <c r="P134" s="91"/>
      <c r="Q134" s="91"/>
      <c r="R134" s="91"/>
      <c r="S134" s="91"/>
      <c r="T134" s="91"/>
      <c r="U134" s="91"/>
      <c r="V134" s="91"/>
      <c r="W134" s="91"/>
    </row>
    <row r="135" spans="1:23" ht="65" x14ac:dyDescent="0.6">
      <c r="A135" s="86" t="s">
        <v>311</v>
      </c>
      <c r="B135" s="88" t="s">
        <v>355</v>
      </c>
      <c r="C135" s="132" t="s">
        <v>356</v>
      </c>
      <c r="D135" s="132" t="s">
        <v>364</v>
      </c>
      <c r="E135" s="132" t="s">
        <v>365</v>
      </c>
      <c r="G135" s="60"/>
      <c r="H135" s="60"/>
      <c r="I135" s="60"/>
      <c r="J135" s="104"/>
      <c r="K135" s="196"/>
      <c r="L135" s="196"/>
      <c r="M135" s="196"/>
      <c r="N135" s="196"/>
      <c r="O135" s="196"/>
      <c r="P135" s="196"/>
      <c r="Q135" s="196"/>
      <c r="R135" s="196"/>
      <c r="S135" s="91"/>
      <c r="T135" s="91"/>
      <c r="U135" s="91"/>
      <c r="V135" s="91"/>
      <c r="W135" s="91"/>
    </row>
    <row r="136" spans="1:23" x14ac:dyDescent="0.6">
      <c r="A136" s="12"/>
      <c r="B136" s="88" t="s">
        <v>204</v>
      </c>
      <c r="C136" s="133">
        <f>64.8</f>
        <v>64.8</v>
      </c>
      <c r="D136" s="133">
        <v>76.3</v>
      </c>
      <c r="E136" s="133">
        <v>67.06</v>
      </c>
      <c r="F136" s="134"/>
      <c r="G136" s="60"/>
      <c r="H136" s="60"/>
      <c r="I136" s="60"/>
      <c r="J136" s="64"/>
      <c r="K136" s="197"/>
      <c r="L136" s="197"/>
      <c r="M136" s="197"/>
      <c r="N136" s="197"/>
      <c r="O136" s="197"/>
      <c r="P136" s="197"/>
      <c r="Q136" s="197"/>
      <c r="R136" s="104"/>
      <c r="S136" s="91"/>
      <c r="T136" s="91"/>
      <c r="U136" s="91"/>
      <c r="V136" s="91"/>
      <c r="W136" s="91"/>
    </row>
    <row r="137" spans="1:23" x14ac:dyDescent="0.6">
      <c r="A137" s="12"/>
      <c r="B137" s="88" t="s">
        <v>303</v>
      </c>
      <c r="C137" s="135">
        <v>29</v>
      </c>
      <c r="D137" s="135">
        <v>28</v>
      </c>
      <c r="E137" s="135">
        <v>28</v>
      </c>
      <c r="F137" s="172"/>
      <c r="G137" s="60"/>
      <c r="H137" s="60"/>
      <c r="I137" s="60"/>
      <c r="K137" s="198"/>
      <c r="L137" s="198"/>
      <c r="M137" s="198"/>
      <c r="N137" s="198"/>
      <c r="O137" s="198"/>
      <c r="P137" s="198"/>
      <c r="Q137" s="198"/>
      <c r="R137" s="198"/>
      <c r="S137" s="91"/>
      <c r="T137" s="91"/>
      <c r="U137" s="91"/>
      <c r="V137" s="91"/>
      <c r="W137" s="91"/>
    </row>
    <row r="138" spans="1:23" x14ac:dyDescent="0.6">
      <c r="A138" s="12"/>
      <c r="B138" s="88" t="s">
        <v>323</v>
      </c>
      <c r="C138" s="20"/>
      <c r="D138" s="20"/>
      <c r="E138" s="136" t="s">
        <v>370</v>
      </c>
      <c r="G138" s="60"/>
      <c r="H138" s="60"/>
      <c r="I138" s="60"/>
      <c r="M138" s="199"/>
      <c r="N138" s="199"/>
      <c r="O138" s="199"/>
      <c r="P138" s="199"/>
      <c r="Q138" s="199"/>
      <c r="R138" s="199"/>
      <c r="S138" s="91"/>
      <c r="T138" s="91"/>
      <c r="U138" s="91"/>
      <c r="V138" s="91"/>
      <c r="W138" s="91"/>
    </row>
    <row r="139" spans="1:23" x14ac:dyDescent="0.6">
      <c r="A139" s="12"/>
      <c r="B139" s="8" t="s">
        <v>206</v>
      </c>
      <c r="F139" s="60"/>
      <c r="G139" s="60"/>
      <c r="H139" s="60"/>
      <c r="I139" s="60"/>
      <c r="N139" s="66"/>
      <c r="O139" s="66"/>
      <c r="S139" s="91"/>
      <c r="T139" s="91"/>
      <c r="U139" s="91"/>
      <c r="V139" s="91"/>
      <c r="W139" s="91"/>
    </row>
    <row r="140" spans="1:23" x14ac:dyDescent="0.6">
      <c r="A140" s="10"/>
      <c r="B140" s="171" t="s">
        <v>207</v>
      </c>
      <c r="C140" s="137">
        <v>1</v>
      </c>
      <c r="D140" s="137">
        <v>1</v>
      </c>
      <c r="E140" s="137">
        <v>1</v>
      </c>
      <c r="F140" s="60"/>
      <c r="G140" s="60"/>
      <c r="H140" s="60"/>
      <c r="I140" s="60"/>
      <c r="K140" s="200"/>
      <c r="L140" s="200"/>
      <c r="M140" s="200"/>
      <c r="N140" s="200"/>
      <c r="O140" s="200"/>
      <c r="P140" s="200"/>
      <c r="Q140" s="200"/>
      <c r="R140" s="200"/>
      <c r="S140" s="91"/>
      <c r="T140" s="91"/>
      <c r="U140" s="91"/>
      <c r="V140" s="91"/>
      <c r="W140" s="91"/>
    </row>
    <row r="141" spans="1:23" x14ac:dyDescent="0.6">
      <c r="A141" s="12"/>
      <c r="B141" s="171" t="s">
        <v>208</v>
      </c>
      <c r="C141" s="137">
        <v>1</v>
      </c>
      <c r="D141" s="137">
        <v>1</v>
      </c>
      <c r="E141" s="137">
        <v>1</v>
      </c>
      <c r="F141" s="60"/>
      <c r="G141" s="60"/>
      <c r="H141" s="60"/>
      <c r="I141" s="60"/>
      <c r="K141" s="200"/>
      <c r="L141" s="200"/>
      <c r="M141" s="200"/>
      <c r="N141" s="200"/>
      <c r="O141" s="200"/>
      <c r="P141" s="200"/>
      <c r="Q141" s="200"/>
      <c r="R141" s="200"/>
      <c r="S141" s="91"/>
      <c r="T141" s="91"/>
      <c r="U141" s="91"/>
      <c r="V141" s="91"/>
      <c r="W141" s="91"/>
    </row>
    <row r="142" spans="1:23" x14ac:dyDescent="0.6">
      <c r="A142" s="12"/>
      <c r="B142" s="8"/>
    </row>
    <row r="143" spans="1:23" x14ac:dyDescent="0.6">
      <c r="A143" s="12"/>
      <c r="B143" s="9"/>
      <c r="G143" s="60"/>
    </row>
    <row r="144" spans="1:23" x14ac:dyDescent="0.6">
      <c r="A144" s="12"/>
      <c r="B144" s="9"/>
      <c r="D144" s="103"/>
      <c r="E144" s="174"/>
      <c r="H144" s="103"/>
    </row>
    <row r="145" spans="1:40" x14ac:dyDescent="0.6">
      <c r="A145" s="12"/>
      <c r="C145" s="6"/>
      <c r="D145" s="103"/>
      <c r="E145" s="175"/>
      <c r="F145" s="6"/>
      <c r="G145" s="6"/>
      <c r="H145" s="103"/>
      <c r="I145" s="6"/>
      <c r="J145" s="6"/>
    </row>
    <row r="146" spans="1:40" x14ac:dyDescent="0.6">
      <c r="A146" s="12"/>
      <c r="C146" s="6"/>
      <c r="D146" s="103"/>
      <c r="E146" s="62"/>
      <c r="F146" s="126"/>
      <c r="G146" s="6"/>
      <c r="H146" s="103"/>
    </row>
    <row r="147" spans="1:40" x14ac:dyDescent="0.6">
      <c r="A147" s="12"/>
      <c r="B147" s="447"/>
      <c r="C147" s="104"/>
      <c r="D147" s="103"/>
      <c r="E147" s="104"/>
      <c r="F147" s="104"/>
      <c r="G147" s="104"/>
      <c r="H147" s="173"/>
      <c r="I147" s="104"/>
      <c r="J147" s="104"/>
      <c r="K147" s="104"/>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row>
    <row r="148" spans="1:40" x14ac:dyDescent="0.6">
      <c r="A148" s="12"/>
      <c r="B148" s="448"/>
      <c r="C148" s="104"/>
      <c r="D148" s="173"/>
      <c r="E148" s="104"/>
      <c r="F148" s="104"/>
      <c r="G148" s="104"/>
      <c r="H148" s="173"/>
      <c r="I148" s="104"/>
      <c r="J148" s="104"/>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row>
    <row r="149" spans="1:40" x14ac:dyDescent="0.6">
      <c r="A149" s="12"/>
      <c r="B149" s="448"/>
      <c r="C149" s="104"/>
      <c r="D149" s="173"/>
      <c r="E149" s="104"/>
      <c r="F149" s="104"/>
      <c r="G149" s="104"/>
      <c r="H149" s="173"/>
      <c r="I149" s="104"/>
      <c r="J149" s="104"/>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row>
    <row r="150" spans="1:40" x14ac:dyDescent="0.6">
      <c r="A150" s="12"/>
      <c r="B150" s="103"/>
      <c r="C150" s="104"/>
      <c r="D150" s="173"/>
      <c r="E150" s="104"/>
      <c r="F150" s="104"/>
      <c r="G150" s="104"/>
      <c r="H150" s="173"/>
      <c r="I150" s="104"/>
      <c r="J150" s="104"/>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row>
    <row r="151" spans="1:40" x14ac:dyDescent="0.6">
      <c r="A151" s="12"/>
      <c r="B151" s="103"/>
      <c r="C151" s="104"/>
      <c r="D151" s="173"/>
      <c r="E151" s="104"/>
      <c r="F151" s="104"/>
      <c r="G151" s="104"/>
      <c r="H151" s="173"/>
      <c r="I151" s="104"/>
      <c r="J151" s="104"/>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row>
    <row r="152" spans="1:40" x14ac:dyDescent="0.6">
      <c r="A152" s="12"/>
      <c r="B152" s="58"/>
      <c r="C152" s="104"/>
      <c r="D152" s="173"/>
      <c r="E152" s="104"/>
      <c r="F152" s="104"/>
      <c r="G152" s="104"/>
      <c r="H152" s="173"/>
      <c r="I152" s="104"/>
      <c r="J152" s="104"/>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row>
    <row r="153" spans="1:40" x14ac:dyDescent="0.6">
      <c r="A153" s="12"/>
      <c r="B153" s="447"/>
      <c r="C153" s="104"/>
      <c r="D153" s="173"/>
      <c r="E153" s="104"/>
      <c r="F153" s="104"/>
      <c r="G153" s="104"/>
      <c r="H153" s="173"/>
      <c r="I153" s="104"/>
      <c r="J153" s="104"/>
      <c r="K153" s="104"/>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row>
    <row r="154" spans="1:40" x14ac:dyDescent="0.6">
      <c r="A154" s="12"/>
      <c r="B154" s="448"/>
      <c r="C154" s="104"/>
      <c r="D154" s="173"/>
      <c r="E154" s="104"/>
      <c r="F154" s="104"/>
      <c r="G154" s="104"/>
      <c r="H154" s="173"/>
      <c r="I154" s="104"/>
      <c r="J154" s="104"/>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row>
    <row r="155" spans="1:40" x14ac:dyDescent="0.6">
      <c r="A155" s="12"/>
      <c r="B155" s="448"/>
      <c r="C155" s="104"/>
      <c r="D155" s="173"/>
      <c r="E155" s="104"/>
      <c r="F155" s="104"/>
      <c r="G155" s="104"/>
      <c r="H155" s="173"/>
      <c r="I155" s="104"/>
      <c r="J155" s="104"/>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row>
    <row r="156" spans="1:40" x14ac:dyDescent="0.6">
      <c r="A156" s="12"/>
      <c r="B156" s="58"/>
      <c r="C156" s="104"/>
      <c r="D156" s="173"/>
      <c r="E156" s="104"/>
      <c r="F156" s="104"/>
      <c r="G156" s="104"/>
      <c r="H156" s="173"/>
      <c r="I156" s="104"/>
      <c r="J156" s="104"/>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row>
    <row r="157" spans="1:40" x14ac:dyDescent="0.6">
      <c r="A157" s="12"/>
      <c r="B157" s="58"/>
      <c r="C157" s="104"/>
      <c r="D157" s="173"/>
      <c r="E157" s="104"/>
      <c r="F157" s="104"/>
      <c r="G157" s="104"/>
      <c r="H157" s="173"/>
      <c r="I157" s="104"/>
      <c r="J157" s="104"/>
      <c r="K157" s="104"/>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row>
    <row r="158" spans="1:40" x14ac:dyDescent="0.6">
      <c r="A158" s="12"/>
      <c r="B158" s="58"/>
      <c r="C158" s="104"/>
      <c r="D158" s="173"/>
      <c r="E158" s="104"/>
      <c r="F158" s="104"/>
      <c r="G158" s="104"/>
      <c r="H158" s="173"/>
      <c r="I158" s="104"/>
      <c r="J158" s="104"/>
      <c r="K158" s="104"/>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row>
    <row r="159" spans="1:40" x14ac:dyDescent="0.6">
      <c r="A159" s="12"/>
      <c r="B159" s="58"/>
      <c r="C159" s="104"/>
      <c r="D159" s="173"/>
      <c r="E159" s="104"/>
      <c r="F159" s="104"/>
      <c r="G159" s="58"/>
      <c r="H159" s="103"/>
      <c r="I159" s="104"/>
      <c r="J159" s="104"/>
      <c r="K159" s="104"/>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row>
    <row r="160" spans="1:40" s="195" customFormat="1" x14ac:dyDescent="0.6">
      <c r="A160" s="12"/>
      <c r="B160" s="8"/>
      <c r="C160" s="58"/>
      <c r="D160" s="103"/>
      <c r="E160" s="174"/>
      <c r="F160" s="104"/>
      <c r="G160" s="58"/>
      <c r="H160" s="103"/>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row>
    <row r="161" spans="1:40" s="195" customFormat="1" x14ac:dyDescent="0.6">
      <c r="A161" s="12"/>
      <c r="B161" s="9"/>
      <c r="C161" s="58"/>
      <c r="D161" s="58"/>
      <c r="E161" s="58"/>
      <c r="F161" s="104"/>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row>
    <row r="162" spans="1:40" x14ac:dyDescent="0.6">
      <c r="A162" s="12"/>
      <c r="B162" s="9"/>
      <c r="C162" s="58"/>
      <c r="D162" s="58"/>
      <c r="E162" s="125"/>
      <c r="F162" s="104"/>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row>
    <row r="163" spans="1:40" x14ac:dyDescent="0.6">
      <c r="A163" s="12"/>
      <c r="B163" s="58"/>
      <c r="C163" s="6"/>
      <c r="D163" s="6"/>
      <c r="E163" s="6"/>
      <c r="F163" s="58"/>
      <c r="G163" s="58"/>
      <c r="H163" s="8"/>
      <c r="I163" s="6"/>
      <c r="J163" s="6"/>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row>
    <row r="164" spans="1:40" x14ac:dyDescent="0.6">
      <c r="A164" s="12"/>
      <c r="B164" s="58"/>
      <c r="C164" s="6"/>
      <c r="D164" s="6"/>
      <c r="E164" s="125"/>
      <c r="F164" s="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row>
    <row r="165" spans="1:40" x14ac:dyDescent="0.6">
      <c r="A165" s="12"/>
      <c r="B165" s="447"/>
      <c r="C165" s="104"/>
      <c r="D165" s="104"/>
      <c r="E165" s="81"/>
      <c r="F165" s="58"/>
      <c r="G165" s="58"/>
      <c r="H165" s="67"/>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row>
    <row r="166" spans="1:40" x14ac:dyDescent="0.6">
      <c r="A166" s="12"/>
      <c r="B166" s="448"/>
      <c r="C166" s="104"/>
      <c r="D166" s="104"/>
      <c r="E166" s="125"/>
      <c r="F166" s="58"/>
      <c r="G166" s="58"/>
      <c r="H166" s="103"/>
      <c r="I166" s="105"/>
      <c r="J166" s="105"/>
      <c r="K166" s="95"/>
      <c r="L166" s="58"/>
      <c r="M166" s="58"/>
      <c r="N166" s="58"/>
      <c r="O166" s="440"/>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row>
    <row r="167" spans="1:40" x14ac:dyDescent="0.6">
      <c r="A167" s="12"/>
      <c r="B167" s="448"/>
      <c r="C167" s="104"/>
      <c r="D167" s="104"/>
      <c r="E167" s="58"/>
      <c r="F167" s="58"/>
      <c r="G167" s="58"/>
      <c r="H167" s="103"/>
      <c r="I167" s="105"/>
      <c r="J167" s="105"/>
      <c r="K167" s="95"/>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row>
    <row r="168" spans="1:40" x14ac:dyDescent="0.6">
      <c r="A168" s="12"/>
      <c r="B168" s="58"/>
      <c r="C168" s="104"/>
      <c r="D168" s="104"/>
      <c r="E168" s="58"/>
      <c r="F168" s="58"/>
      <c r="G168" s="58"/>
      <c r="H168" s="103"/>
      <c r="I168" s="105"/>
      <c r="J168" s="105"/>
      <c r="K168" s="95"/>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row>
    <row r="169" spans="1:40" x14ac:dyDescent="0.6">
      <c r="A169" s="12"/>
      <c r="B169" s="447"/>
      <c r="C169" s="104"/>
      <c r="D169" s="104"/>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row>
    <row r="170" spans="1:40" x14ac:dyDescent="0.6">
      <c r="A170" s="12"/>
      <c r="B170" s="448"/>
      <c r="C170" s="104"/>
      <c r="D170" s="104"/>
      <c r="E170" s="58"/>
      <c r="F170" s="58"/>
      <c r="G170" s="58"/>
      <c r="H170" s="67"/>
      <c r="I170" s="439"/>
      <c r="J170" s="439"/>
      <c r="K170" s="95"/>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row>
    <row r="171" spans="1:40" x14ac:dyDescent="0.6">
      <c r="A171" s="12"/>
      <c r="B171" s="448"/>
      <c r="C171" s="104"/>
      <c r="D171" s="104"/>
      <c r="E171" s="58"/>
      <c r="F171" s="58"/>
      <c r="G171" s="58"/>
      <c r="H171" s="103"/>
      <c r="I171" s="105"/>
      <c r="J171" s="105"/>
      <c r="K171" s="95"/>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row>
    <row r="172" spans="1:40" x14ac:dyDescent="0.6">
      <c r="A172" s="12"/>
      <c r="B172" s="448"/>
      <c r="C172" s="104"/>
      <c r="D172" s="104"/>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row>
    <row r="173" spans="1:40" x14ac:dyDescent="0.6">
      <c r="A173" s="12"/>
      <c r="B173" s="58"/>
      <c r="C173" s="104"/>
      <c r="D173" s="104"/>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row>
    <row r="174" spans="1:40" x14ac:dyDescent="0.6">
      <c r="A174" s="12"/>
      <c r="B174" s="58"/>
      <c r="C174" s="104"/>
      <c r="D174" s="104"/>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row>
    <row r="175" spans="1:40" x14ac:dyDescent="0.6">
      <c r="A175" s="12"/>
      <c r="B175" s="68"/>
      <c r="C175" s="104"/>
      <c r="D175" s="104"/>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row>
    <row r="176" spans="1:40" x14ac:dyDescent="0.6">
      <c r="A176" s="12"/>
      <c r="B176" s="447"/>
      <c r="C176" s="104"/>
      <c r="D176" s="104"/>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row>
    <row r="177" spans="1:40" x14ac:dyDescent="0.6">
      <c r="A177" s="12"/>
      <c r="B177" s="448"/>
      <c r="C177" s="104"/>
      <c r="D177" s="104"/>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row>
    <row r="178" spans="1:40" x14ac:dyDescent="0.6">
      <c r="A178" s="12"/>
      <c r="B178" s="448"/>
      <c r="C178" s="104"/>
      <c r="D178" s="104"/>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row>
    <row r="179" spans="1:40" x14ac:dyDescent="0.6">
      <c r="A179" s="12"/>
      <c r="B179" s="58"/>
      <c r="C179" s="104"/>
      <c r="D179" s="104"/>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row>
    <row r="180" spans="1:40" x14ac:dyDescent="0.6">
      <c r="A180" s="12"/>
      <c r="B180" s="447"/>
      <c r="C180" s="104"/>
      <c r="D180" s="104"/>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row>
    <row r="181" spans="1:40" x14ac:dyDescent="0.6">
      <c r="A181" s="12"/>
      <c r="B181" s="448"/>
      <c r="C181" s="104"/>
      <c r="D181" s="104"/>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row>
    <row r="182" spans="1:40" x14ac:dyDescent="0.6">
      <c r="A182" s="12"/>
      <c r="B182" s="448"/>
      <c r="C182" s="104"/>
      <c r="D182" s="104"/>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row>
    <row r="183" spans="1:40" x14ac:dyDescent="0.6">
      <c r="A183" s="12"/>
      <c r="B183" s="448"/>
      <c r="C183" s="104"/>
      <c r="D183" s="104"/>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row>
    <row r="184" spans="1:40" x14ac:dyDescent="0.6">
      <c r="A184" s="12"/>
      <c r="B184" s="58"/>
      <c r="C184" s="104"/>
      <c r="D184" s="104"/>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row>
    <row r="185" spans="1:40" x14ac:dyDescent="0.6">
      <c r="A185" s="12"/>
      <c r="B185" s="58"/>
      <c r="C185" s="106"/>
      <c r="D185" s="106"/>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row>
    <row r="186" spans="1:40" x14ac:dyDescent="0.6">
      <c r="A186" s="12"/>
      <c r="B186" s="8"/>
      <c r="C186" s="104"/>
      <c r="D186" s="104"/>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row>
    <row r="187" spans="1:40" x14ac:dyDescent="0.6">
      <c r="A187" s="12"/>
      <c r="B187" s="103"/>
      <c r="C187" s="112"/>
      <c r="D187" s="58"/>
      <c r="E187" s="58"/>
      <c r="F187" s="58"/>
      <c r="G187" s="441"/>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row>
    <row r="188" spans="1:40" x14ac:dyDescent="0.6">
      <c r="A188" s="12"/>
      <c r="B188" s="58"/>
      <c r="C188" s="103"/>
      <c r="D188" s="104"/>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row>
    <row r="189" spans="1:40" x14ac:dyDescent="0.6">
      <c r="A189" s="12"/>
      <c r="B189" s="58"/>
      <c r="C189" s="103"/>
      <c r="D189" s="104"/>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row>
    <row r="190" spans="1:40" x14ac:dyDescent="0.6">
      <c r="A190" s="12"/>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row>
    <row r="191" spans="1:40" x14ac:dyDescent="0.6">
      <c r="A191" s="12"/>
      <c r="B191" s="58"/>
      <c r="C191" s="58"/>
      <c r="D191" s="58"/>
      <c r="E191" s="439"/>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row>
    <row r="192" spans="1:40" x14ac:dyDescent="0.6">
      <c r="A192" s="10"/>
      <c r="B192" s="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row>
    <row r="193" spans="1:40" x14ac:dyDescent="0.6">
      <c r="A193" s="12"/>
      <c r="B193" s="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row>
    <row r="194" spans="1:40" x14ac:dyDescent="0.6">
      <c r="A194" s="12"/>
      <c r="B194" s="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row>
    <row r="195" spans="1:40" x14ac:dyDescent="0.6">
      <c r="A195" s="12"/>
      <c r="B195" s="9"/>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row>
    <row r="196" spans="1:40" x14ac:dyDescent="0.6">
      <c r="A196" s="12"/>
      <c r="B196" s="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row>
    <row r="197" spans="1:40" x14ac:dyDescent="0.6">
      <c r="A197" s="12"/>
      <c r="B197" s="58"/>
      <c r="C197" s="6"/>
      <c r="D197" s="6"/>
      <c r="E197" s="6"/>
      <c r="F197" s="6"/>
      <c r="G197" s="6"/>
      <c r="H197" s="6"/>
      <c r="I197" s="6"/>
      <c r="J197" s="6"/>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row>
    <row r="198" spans="1:40" x14ac:dyDescent="0.6">
      <c r="A198" s="12"/>
      <c r="B198" s="58"/>
      <c r="C198" s="6"/>
      <c r="D198" s="6"/>
      <c r="E198" s="6"/>
      <c r="F198" s="6"/>
      <c r="G198" s="6"/>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row>
    <row r="199" spans="1:40" x14ac:dyDescent="0.6">
      <c r="A199" s="12"/>
      <c r="B199" s="447"/>
      <c r="C199" s="58"/>
      <c r="D199" s="58"/>
      <c r="E199" s="107"/>
      <c r="F199" s="69"/>
      <c r="G199" s="69"/>
      <c r="H199" s="69"/>
      <c r="I199" s="107"/>
      <c r="J199" s="107"/>
      <c r="K199" s="108"/>
      <c r="L199" s="108"/>
      <c r="M199" s="10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row>
    <row r="200" spans="1:40" x14ac:dyDescent="0.6">
      <c r="A200" s="12"/>
      <c r="B200" s="448"/>
      <c r="C200" s="70"/>
      <c r="D200" s="109"/>
      <c r="E200" s="69"/>
      <c r="F200" s="107"/>
      <c r="G200" s="107"/>
      <c r="H200" s="107"/>
      <c r="I200" s="58"/>
      <c r="J200" s="110"/>
      <c r="K200" s="108"/>
      <c r="L200" s="108"/>
      <c r="M200" s="10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row>
    <row r="201" spans="1:40" x14ac:dyDescent="0.6">
      <c r="A201" s="12"/>
      <c r="B201" s="448"/>
      <c r="C201" s="70"/>
      <c r="D201" s="109"/>
      <c r="E201" s="69"/>
      <c r="F201" s="107"/>
      <c r="G201" s="107"/>
      <c r="H201" s="449"/>
      <c r="I201" s="58"/>
      <c r="J201" s="110"/>
      <c r="K201" s="71"/>
      <c r="L201" s="108"/>
      <c r="M201" s="10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row>
    <row r="202" spans="1:40" x14ac:dyDescent="0.6">
      <c r="A202" s="12"/>
      <c r="B202" s="58"/>
      <c r="C202" s="58"/>
      <c r="D202" s="58"/>
      <c r="E202" s="70"/>
      <c r="F202" s="109"/>
      <c r="G202" s="109"/>
      <c r="H202" s="58"/>
      <c r="I202" s="58"/>
      <c r="J202" s="58"/>
      <c r="K202" s="58"/>
      <c r="L202" s="108"/>
      <c r="M202" s="10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row>
    <row r="203" spans="1:40" x14ac:dyDescent="0.6">
      <c r="A203" s="12"/>
      <c r="B203" s="72"/>
      <c r="C203" s="69"/>
      <c r="D203" s="69"/>
      <c r="E203" s="70"/>
      <c r="F203" s="109"/>
      <c r="G203" s="109"/>
      <c r="H203" s="109"/>
      <c r="I203" s="109"/>
      <c r="J203" s="109"/>
      <c r="K203" s="108"/>
      <c r="L203" s="108"/>
      <c r="M203" s="10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row>
    <row r="204" spans="1:40" x14ac:dyDescent="0.6">
      <c r="A204" s="10"/>
      <c r="B204" s="72"/>
      <c r="C204" s="73"/>
      <c r="D204" s="73"/>
      <c r="E204" s="193"/>
      <c r="F204" s="109"/>
      <c r="G204" s="109"/>
      <c r="H204" s="109"/>
      <c r="I204" s="109"/>
      <c r="J204" s="109"/>
      <c r="K204" s="108"/>
      <c r="L204" s="108"/>
      <c r="M204" s="10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row>
    <row r="205" spans="1:40" x14ac:dyDescent="0.6">
      <c r="A205" s="10"/>
      <c r="B205" s="72"/>
      <c r="C205" s="73"/>
      <c r="D205" s="73"/>
      <c r="E205" s="193"/>
      <c r="F205" s="109"/>
      <c r="G205" s="109"/>
      <c r="H205" s="109"/>
      <c r="I205" s="109"/>
      <c r="J205" s="109"/>
      <c r="K205" s="108"/>
      <c r="L205" s="108"/>
      <c r="M205" s="10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row>
    <row r="206" spans="1:40" x14ac:dyDescent="0.6">
      <c r="A206" s="12"/>
      <c r="B206" s="58"/>
      <c r="C206" s="58"/>
      <c r="D206" s="58"/>
      <c r="E206" s="58"/>
      <c r="F206" s="58"/>
      <c r="G206" s="109"/>
      <c r="H206" s="109"/>
      <c r="I206" s="109"/>
      <c r="J206" s="109"/>
      <c r="K206" s="108"/>
      <c r="L206" s="108"/>
      <c r="M206" s="10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row>
    <row r="207" spans="1:40" x14ac:dyDescent="0.6">
      <c r="A207" s="12"/>
      <c r="B207" s="58"/>
      <c r="C207" s="58"/>
      <c r="D207" s="58"/>
      <c r="E207" s="58"/>
      <c r="F207" s="58"/>
      <c r="G207" s="58"/>
      <c r="H207" s="109"/>
      <c r="I207" s="109"/>
      <c r="J207" s="109"/>
      <c r="K207" s="108"/>
      <c r="L207" s="108"/>
      <c r="M207" s="10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row>
    <row r="208" spans="1:40" x14ac:dyDescent="0.6">
      <c r="A208" s="12"/>
      <c r="B208" s="58"/>
      <c r="C208" s="109"/>
      <c r="D208" s="109"/>
      <c r="E208" s="109"/>
      <c r="F208" s="109"/>
      <c r="G208" s="109"/>
      <c r="H208" s="109"/>
      <c r="I208" s="109"/>
      <c r="J208" s="109"/>
      <c r="K208" s="108"/>
      <c r="L208" s="108"/>
      <c r="M208" s="10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row>
    <row r="209" spans="1:40" x14ac:dyDescent="0.6">
      <c r="A209" s="12"/>
      <c r="B209" s="447"/>
      <c r="C209" s="69"/>
      <c r="D209" s="69"/>
      <c r="E209" s="107"/>
      <c r="F209" s="69"/>
      <c r="G209" s="69"/>
      <c r="H209" s="69"/>
      <c r="I209" s="107"/>
      <c r="J209" s="107"/>
      <c r="K209" s="108"/>
      <c r="L209" s="108"/>
      <c r="M209" s="10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row>
    <row r="210" spans="1:40" x14ac:dyDescent="0.6">
      <c r="A210" s="12"/>
      <c r="B210" s="448"/>
      <c r="C210" s="109"/>
      <c r="D210" s="109"/>
      <c r="E210" s="69"/>
      <c r="F210" s="109"/>
      <c r="G210" s="109"/>
      <c r="H210" s="109"/>
      <c r="I210" s="58"/>
      <c r="J210" s="110"/>
      <c r="K210" s="108"/>
      <c r="L210" s="108"/>
      <c r="M210" s="10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row>
    <row r="211" spans="1:40" x14ac:dyDescent="0.6">
      <c r="A211" s="12"/>
      <c r="B211" s="448"/>
      <c r="C211" s="109"/>
      <c r="D211" s="109"/>
      <c r="E211" s="69"/>
      <c r="F211" s="109"/>
      <c r="G211" s="109"/>
      <c r="H211" s="58"/>
      <c r="I211" s="58"/>
      <c r="J211" s="110"/>
      <c r="K211" s="71"/>
      <c r="L211" s="108"/>
      <c r="M211" s="10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row>
    <row r="212" spans="1:40" x14ac:dyDescent="0.6">
      <c r="A212" s="12"/>
      <c r="B212" s="58"/>
      <c r="C212" s="109"/>
      <c r="D212" s="109"/>
      <c r="E212" s="109"/>
      <c r="F212" s="109"/>
      <c r="G212" s="109"/>
      <c r="H212" s="58"/>
      <c r="I212" s="58"/>
      <c r="J212" s="58"/>
      <c r="K212" s="108"/>
      <c r="L212" s="108"/>
      <c r="M212" s="10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row>
    <row r="213" spans="1:40" x14ac:dyDescent="0.6">
      <c r="A213" s="12"/>
      <c r="B213" s="58"/>
      <c r="C213" s="107"/>
      <c r="D213" s="107"/>
      <c r="E213" s="107"/>
      <c r="F213" s="107"/>
      <c r="G213" s="107"/>
      <c r="H213" s="107"/>
      <c r="I213" s="107"/>
      <c r="J213" s="107"/>
      <c r="K213" s="108"/>
      <c r="L213" s="108"/>
      <c r="M213" s="10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row>
    <row r="214" spans="1:40" x14ac:dyDescent="0.6">
      <c r="A214" s="12"/>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row>
    <row r="215" spans="1:40" x14ac:dyDescent="0.6">
      <c r="A215" s="12"/>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row>
    <row r="216" spans="1:40" x14ac:dyDescent="0.6">
      <c r="A216" s="12"/>
      <c r="B216" s="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row>
    <row r="217" spans="1:40" x14ac:dyDescent="0.6">
      <c r="A217" s="12"/>
      <c r="B217" s="9"/>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row>
    <row r="218" spans="1:40" x14ac:dyDescent="0.6">
      <c r="A218" s="12"/>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row>
    <row r="219" spans="1:40" x14ac:dyDescent="0.6">
      <c r="A219" s="12"/>
      <c r="B219" s="58"/>
      <c r="C219" s="6"/>
      <c r="D219" s="6"/>
      <c r="E219" s="6"/>
      <c r="F219" s="6"/>
      <c r="G219" s="58"/>
      <c r="H219" s="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row>
    <row r="220" spans="1:40" x14ac:dyDescent="0.6">
      <c r="A220" s="12"/>
      <c r="B220" s="58"/>
      <c r="C220" s="6"/>
      <c r="D220" s="74"/>
      <c r="E220" s="6"/>
      <c r="F220" s="74"/>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row>
    <row r="221" spans="1:40" x14ac:dyDescent="0.6">
      <c r="A221" s="12"/>
      <c r="B221" s="447"/>
      <c r="C221" s="69"/>
      <c r="D221" s="71"/>
      <c r="E221" s="449"/>
      <c r="F221" s="449"/>
      <c r="G221" s="58"/>
      <c r="H221" s="67"/>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row>
    <row r="222" spans="1:40" x14ac:dyDescent="0.6">
      <c r="A222" s="12"/>
      <c r="B222" s="448"/>
      <c r="C222" s="107"/>
      <c r="D222" s="71"/>
      <c r="E222" s="69"/>
      <c r="F222" s="71"/>
      <c r="G222" s="58"/>
      <c r="H222" s="103"/>
      <c r="I222" s="111"/>
      <c r="J222" s="111"/>
      <c r="K222" s="95"/>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row>
    <row r="223" spans="1:40" x14ac:dyDescent="0.6">
      <c r="A223" s="12"/>
      <c r="B223" s="448"/>
      <c r="C223" s="107"/>
      <c r="D223" s="71"/>
      <c r="E223" s="69"/>
      <c r="F223" s="71"/>
      <c r="G223" s="58"/>
      <c r="H223" s="103"/>
      <c r="I223" s="111"/>
      <c r="J223" s="111"/>
      <c r="K223" s="95"/>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row>
    <row r="224" spans="1:40" x14ac:dyDescent="0.6">
      <c r="A224" s="12"/>
      <c r="B224" s="58"/>
      <c r="C224" s="107"/>
      <c r="D224" s="71"/>
      <c r="E224" s="107"/>
      <c r="F224" s="71"/>
      <c r="G224" s="58"/>
      <c r="H224" s="103"/>
      <c r="I224" s="111"/>
      <c r="J224" s="111"/>
      <c r="K224" s="95"/>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row>
    <row r="225" spans="1:40" x14ac:dyDescent="0.6">
      <c r="A225" s="12"/>
      <c r="B225" s="447"/>
      <c r="C225" s="69"/>
      <c r="D225" s="71"/>
      <c r="E225" s="69"/>
      <c r="F225" s="71"/>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row>
    <row r="226" spans="1:40" x14ac:dyDescent="0.6">
      <c r="A226" s="12"/>
      <c r="B226" s="448"/>
      <c r="C226" s="107"/>
      <c r="D226" s="449"/>
      <c r="E226" s="69"/>
      <c r="F226" s="71"/>
      <c r="G226" s="58"/>
      <c r="H226" s="67"/>
      <c r="I226" s="439"/>
      <c r="J226" s="439"/>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row>
    <row r="227" spans="1:40" x14ac:dyDescent="0.6">
      <c r="A227" s="12"/>
      <c r="B227" s="448"/>
      <c r="C227" s="107"/>
      <c r="D227" s="449"/>
      <c r="E227" s="69"/>
      <c r="F227" s="71"/>
      <c r="G227" s="58"/>
      <c r="H227" s="103"/>
      <c r="I227" s="111"/>
      <c r="J227" s="111"/>
      <c r="K227" s="95"/>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row>
    <row r="228" spans="1:40" x14ac:dyDescent="0.6">
      <c r="A228" s="12"/>
      <c r="B228" s="58"/>
      <c r="C228" s="107"/>
      <c r="D228" s="449"/>
      <c r="E228" s="107"/>
      <c r="F228" s="449"/>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row>
    <row r="229" spans="1:40" x14ac:dyDescent="0.6">
      <c r="A229" s="12"/>
      <c r="B229" s="58"/>
      <c r="C229" s="107"/>
      <c r="D229" s="449"/>
      <c r="E229" s="107"/>
      <c r="F229" s="449"/>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row>
    <row r="230" spans="1:40" x14ac:dyDescent="0.6">
      <c r="A230" s="12"/>
      <c r="B230" s="58"/>
      <c r="C230" s="108"/>
      <c r="D230" s="58"/>
      <c r="E230" s="10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row>
    <row r="231" spans="1:40" x14ac:dyDescent="0.6">
      <c r="A231" s="12"/>
      <c r="B231" s="58"/>
      <c r="C231" s="108"/>
      <c r="D231" s="58"/>
      <c r="E231" s="10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row>
    <row r="232" spans="1:40" x14ac:dyDescent="0.6">
      <c r="A232" s="193"/>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row>
    <row r="233" spans="1:40" x14ac:dyDescent="0.6">
      <c r="A233" s="8"/>
      <c r="B233" s="58"/>
      <c r="C233" s="58"/>
      <c r="D233" s="58"/>
      <c r="E233" s="174"/>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row>
    <row r="234" spans="1:40" x14ac:dyDescent="0.6">
      <c r="A234" s="12"/>
      <c r="B234" s="103"/>
      <c r="C234" s="81"/>
      <c r="D234" s="95"/>
      <c r="E234" s="193"/>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row>
    <row r="235" spans="1:40" x14ac:dyDescent="0.6">
      <c r="A235" s="12"/>
      <c r="B235" s="103"/>
      <c r="C235" s="81"/>
      <c r="D235" s="95"/>
      <c r="E235" s="193"/>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row>
    <row r="236" spans="1:40" x14ac:dyDescent="0.6">
      <c r="A236" s="12"/>
      <c r="B236" s="103"/>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row>
    <row r="237" spans="1:40" x14ac:dyDescent="0.6">
      <c r="A237" s="12"/>
      <c r="B237" s="103"/>
      <c r="C237" s="81"/>
      <c r="D237" s="95"/>
      <c r="E237" s="112"/>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row>
    <row r="238" spans="1:40" x14ac:dyDescent="0.6">
      <c r="A238" s="12"/>
      <c r="B238" s="103"/>
      <c r="C238" s="450"/>
      <c r="D238" s="58"/>
      <c r="E238" s="112"/>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row>
    <row r="239" spans="1:40" x14ac:dyDescent="0.6">
      <c r="A239" s="12"/>
      <c r="B239" s="103"/>
      <c r="C239" s="450"/>
      <c r="D239" s="58"/>
      <c r="E239" s="112"/>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row>
    <row r="240" spans="1:40" x14ac:dyDescent="0.6">
      <c r="A240" s="12"/>
      <c r="B240" s="103"/>
      <c r="C240" s="81"/>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row>
    <row r="241" spans="1:40" x14ac:dyDescent="0.6">
      <c r="A241" s="12"/>
      <c r="B241" s="103"/>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row>
    <row r="242" spans="1:40" x14ac:dyDescent="0.6">
      <c r="A242" s="12"/>
      <c r="B242" s="103"/>
      <c r="C242" s="193"/>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row>
    <row r="243" spans="1:40" x14ac:dyDescent="0.6">
      <c r="A243" s="12"/>
      <c r="B243" s="103"/>
      <c r="C243" s="193"/>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row>
    <row r="244" spans="1:40" x14ac:dyDescent="0.6">
      <c r="A244" s="12"/>
      <c r="B244" s="103"/>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row>
    <row r="245" spans="1:40" x14ac:dyDescent="0.6">
      <c r="A245" s="12"/>
      <c r="B245" s="103"/>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row>
    <row r="246" spans="1:40" x14ac:dyDescent="0.6">
      <c r="A246" s="12"/>
      <c r="B246" s="103"/>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row>
    <row r="247" spans="1:40" x14ac:dyDescent="0.6">
      <c r="A247" s="193"/>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row>
    <row r="248" spans="1:40" x14ac:dyDescent="0.6">
      <c r="A248" s="193"/>
      <c r="B248" s="103"/>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row>
    <row r="249" spans="1:40" x14ac:dyDescent="0.6">
      <c r="A249" s="12"/>
      <c r="B249" s="58"/>
      <c r="C249" s="108"/>
      <c r="D249" s="58"/>
      <c r="E249" s="10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row>
    <row r="250" spans="1:40" x14ac:dyDescent="0.6">
      <c r="A250" s="12"/>
      <c r="B250" s="58"/>
      <c r="C250" s="108"/>
      <c r="D250" s="58"/>
      <c r="E250" s="10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row>
    <row r="251" spans="1:40" x14ac:dyDescent="0.6">
      <c r="A251" s="12"/>
      <c r="B251" s="58"/>
      <c r="C251" s="108"/>
      <c r="D251" s="58"/>
      <c r="E251" s="10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row>
    <row r="252" spans="1:40" x14ac:dyDescent="0.6">
      <c r="A252" s="10"/>
      <c r="B252" s="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row>
    <row r="253" spans="1:40" x14ac:dyDescent="0.6">
      <c r="A253" s="12"/>
      <c r="B253" s="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row>
    <row r="254" spans="1:40" x14ac:dyDescent="0.6">
      <c r="A254" s="12"/>
      <c r="B254" s="58"/>
      <c r="C254" s="6"/>
      <c r="D254" s="6"/>
      <c r="E254" s="6"/>
      <c r="F254" s="6"/>
      <c r="G254" s="6"/>
      <c r="H254" s="6"/>
      <c r="I254" s="6"/>
      <c r="J254" s="6"/>
      <c r="K254" s="6"/>
      <c r="L254" s="6"/>
      <c r="M254" s="6"/>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row>
    <row r="255" spans="1:40" x14ac:dyDescent="0.6">
      <c r="A255" s="12"/>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row>
    <row r="256" spans="1:40" x14ac:dyDescent="0.6">
      <c r="A256" s="12"/>
      <c r="B256" s="437"/>
      <c r="C256" s="112"/>
      <c r="D256" s="112"/>
      <c r="E256" s="112"/>
      <c r="F256" s="112"/>
      <c r="G256" s="112"/>
      <c r="H256" s="112"/>
      <c r="I256" s="112"/>
      <c r="J256" s="112"/>
      <c r="K256" s="112"/>
      <c r="L256" s="112"/>
      <c r="M256" s="112"/>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row>
    <row r="257" spans="1:40" x14ac:dyDescent="0.6">
      <c r="A257" s="12"/>
      <c r="B257" s="437"/>
      <c r="C257" s="112"/>
      <c r="D257" s="112"/>
      <c r="E257" s="112"/>
      <c r="F257" s="112"/>
      <c r="G257" s="112"/>
      <c r="H257" s="112"/>
      <c r="I257" s="112"/>
      <c r="J257" s="112"/>
      <c r="K257" s="112"/>
      <c r="L257" s="112"/>
      <c r="M257" s="112"/>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row>
    <row r="258" spans="1:40" x14ac:dyDescent="0.6">
      <c r="A258" s="12"/>
      <c r="B258" s="437"/>
      <c r="C258" s="441"/>
      <c r="D258" s="441"/>
      <c r="E258" s="441"/>
      <c r="F258" s="441"/>
      <c r="G258" s="441"/>
      <c r="H258" s="441"/>
      <c r="I258" s="441"/>
      <c r="J258" s="112"/>
      <c r="K258" s="112"/>
      <c r="L258" s="112"/>
      <c r="M258" s="112"/>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row>
    <row r="259" spans="1:40" x14ac:dyDescent="0.6">
      <c r="A259" s="12"/>
      <c r="B259" s="437"/>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row>
    <row r="260" spans="1:40" x14ac:dyDescent="0.6">
      <c r="A260" s="12"/>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row>
    <row r="261" spans="1:40" x14ac:dyDescent="0.6">
      <c r="A261" s="12"/>
      <c r="B261" s="437"/>
      <c r="C261" s="451"/>
      <c r="D261" s="451"/>
      <c r="E261" s="451"/>
      <c r="F261" s="451"/>
      <c r="G261" s="451"/>
      <c r="H261" s="451"/>
      <c r="I261" s="451"/>
      <c r="J261" s="451"/>
      <c r="K261" s="451"/>
      <c r="L261" s="451"/>
      <c r="M261" s="451"/>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row>
    <row r="262" spans="1:40" x14ac:dyDescent="0.6">
      <c r="A262" s="12"/>
      <c r="B262" s="437"/>
      <c r="C262" s="451"/>
      <c r="D262" s="451"/>
      <c r="E262" s="451"/>
      <c r="F262" s="451"/>
      <c r="G262" s="451"/>
      <c r="H262" s="451"/>
      <c r="I262" s="451"/>
      <c r="J262" s="451"/>
      <c r="K262" s="451"/>
      <c r="L262" s="451"/>
      <c r="M262" s="451"/>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row>
    <row r="263" spans="1:40" x14ac:dyDescent="0.6">
      <c r="A263" s="12"/>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row>
    <row r="264" spans="1:40" x14ac:dyDescent="0.6">
      <c r="A264" s="12"/>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row>
    <row r="265" spans="1:40" x14ac:dyDescent="0.6">
      <c r="A265" s="12"/>
      <c r="B265" s="437"/>
      <c r="C265" s="452"/>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row>
    <row r="266" spans="1:40" x14ac:dyDescent="0.6">
      <c r="A266" s="12"/>
      <c r="B266" s="437"/>
      <c r="C266" s="452"/>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row>
    <row r="267" spans="1:40" x14ac:dyDescent="0.6">
      <c r="A267" s="12"/>
      <c r="B267" s="437"/>
      <c r="C267" s="441"/>
      <c r="D267" s="440"/>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row>
    <row r="268" spans="1:40" x14ac:dyDescent="0.6">
      <c r="A268" s="12"/>
      <c r="B268" s="58"/>
      <c r="C268" s="58"/>
      <c r="D268" s="58"/>
      <c r="E268" s="58"/>
      <c r="F268" s="58"/>
      <c r="G268" s="58"/>
      <c r="H268" s="58"/>
      <c r="I268" s="58"/>
      <c r="J268" s="58"/>
      <c r="K268" s="58"/>
      <c r="L268" s="76"/>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row>
    <row r="269" spans="1:40" x14ac:dyDescent="0.6">
      <c r="A269" s="12"/>
      <c r="B269" s="58"/>
      <c r="C269" s="58"/>
      <c r="D269" s="58"/>
      <c r="E269" s="58"/>
      <c r="F269" s="58"/>
      <c r="G269" s="58"/>
      <c r="H269" s="58"/>
      <c r="I269" s="58"/>
      <c r="J269" s="58"/>
      <c r="K269" s="437"/>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row>
    <row r="270" spans="1:40" x14ac:dyDescent="0.6">
      <c r="A270" s="12"/>
      <c r="B270" s="437"/>
      <c r="C270" s="451"/>
      <c r="D270" s="58"/>
      <c r="E270" s="174"/>
      <c r="F270" s="58"/>
      <c r="G270" s="58"/>
      <c r="H270" s="58"/>
      <c r="I270" s="58"/>
      <c r="J270" s="58"/>
      <c r="K270" s="437"/>
      <c r="L270" s="97"/>
      <c r="M270" s="77"/>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row>
    <row r="271" spans="1:40" x14ac:dyDescent="0.6">
      <c r="A271" s="12"/>
      <c r="B271" s="437"/>
      <c r="C271" s="451"/>
      <c r="D271" s="58"/>
      <c r="E271" s="174"/>
      <c r="F271" s="58"/>
      <c r="G271" s="58"/>
      <c r="H271" s="58"/>
      <c r="I271" s="58"/>
      <c r="J271" s="58"/>
      <c r="K271" s="437"/>
      <c r="L271" s="97"/>
      <c r="M271" s="77"/>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row>
    <row r="272" spans="1:40" x14ac:dyDescent="0.6">
      <c r="A272" s="12"/>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row>
    <row r="273" spans="1:40" x14ac:dyDescent="0.6">
      <c r="A273" s="12"/>
      <c r="B273" s="58"/>
      <c r="C273" s="108"/>
      <c r="D273" s="58"/>
      <c r="E273" s="10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row>
    <row r="274" spans="1:40" x14ac:dyDescent="0.6">
      <c r="A274" s="10"/>
      <c r="B274" s="8"/>
      <c r="C274" s="108"/>
      <c r="D274" s="58"/>
      <c r="E274" s="10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row>
    <row r="275" spans="1:40" x14ac:dyDescent="0.6">
      <c r="A275" s="12"/>
      <c r="B275" s="58"/>
      <c r="C275" s="108"/>
      <c r="D275" s="58"/>
      <c r="E275" s="10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row>
    <row r="276" spans="1:40" x14ac:dyDescent="0.6">
      <c r="A276" s="12"/>
      <c r="B276" s="103"/>
      <c r="C276" s="104"/>
      <c r="D276" s="58"/>
      <c r="E276" s="7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row>
    <row r="277" spans="1:40" x14ac:dyDescent="0.6">
      <c r="A277" s="12"/>
      <c r="B277" s="103"/>
      <c r="C277" s="113"/>
      <c r="D277" s="58"/>
      <c r="E277" s="10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row>
    <row r="278" spans="1:40" x14ac:dyDescent="0.6">
      <c r="A278" s="12"/>
      <c r="B278" s="103"/>
      <c r="C278" s="113"/>
      <c r="D278" s="58"/>
      <c r="E278" s="10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row>
    <row r="279" spans="1:40" x14ac:dyDescent="0.6">
      <c r="A279" s="12"/>
      <c r="B279" s="58"/>
      <c r="C279" s="108"/>
      <c r="D279" s="58"/>
      <c r="E279" s="10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row>
    <row r="280" spans="1:40" x14ac:dyDescent="0.6">
      <c r="A280" s="12"/>
      <c r="B280" s="58"/>
      <c r="C280" s="6"/>
      <c r="D280" s="6"/>
      <c r="E280" s="6"/>
      <c r="F280" s="6"/>
      <c r="G280" s="6"/>
      <c r="H280" s="6"/>
      <c r="I280" s="6"/>
      <c r="J280" s="6"/>
      <c r="K280" s="6"/>
      <c r="L280" s="6"/>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row>
    <row r="281" spans="1:40" x14ac:dyDescent="0.6">
      <c r="A281" s="12"/>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row>
    <row r="282" spans="1:40" x14ac:dyDescent="0.6">
      <c r="A282" s="12"/>
      <c r="B282" s="437"/>
      <c r="C282" s="112"/>
      <c r="D282" s="112"/>
      <c r="E282" s="106"/>
      <c r="F282" s="112"/>
      <c r="G282" s="112"/>
      <c r="H282" s="112"/>
      <c r="I282" s="112"/>
      <c r="J282" s="112"/>
      <c r="K282" s="106"/>
      <c r="L282" s="106"/>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row>
    <row r="283" spans="1:40" x14ac:dyDescent="0.6">
      <c r="A283" s="12"/>
      <c r="B283" s="437"/>
      <c r="C283" s="112"/>
      <c r="D283" s="112"/>
      <c r="E283" s="106"/>
      <c r="F283" s="112"/>
      <c r="G283" s="112"/>
      <c r="H283" s="112"/>
      <c r="I283" s="112"/>
      <c r="J283" s="112"/>
      <c r="K283" s="106"/>
      <c r="L283" s="106"/>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row>
    <row r="284" spans="1:40" x14ac:dyDescent="0.6">
      <c r="A284" s="12"/>
      <c r="B284" s="437"/>
      <c r="C284" s="441"/>
      <c r="D284" s="441"/>
      <c r="E284" s="441"/>
      <c r="F284" s="441"/>
      <c r="G284" s="441"/>
      <c r="H284" s="441"/>
      <c r="I284" s="441"/>
      <c r="J284" s="441"/>
      <c r="K284" s="441"/>
      <c r="L284" s="441"/>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row>
    <row r="285" spans="1:40" x14ac:dyDescent="0.6">
      <c r="A285" s="12"/>
      <c r="B285" s="437"/>
      <c r="C285" s="441"/>
      <c r="D285" s="441"/>
      <c r="E285" s="441"/>
      <c r="F285" s="441"/>
      <c r="G285" s="441"/>
      <c r="H285" s="441"/>
      <c r="I285" s="441"/>
      <c r="J285" s="441"/>
      <c r="K285" s="441"/>
      <c r="L285" s="441"/>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row>
    <row r="286" spans="1:40" x14ac:dyDescent="0.6">
      <c r="A286" s="12"/>
      <c r="B286" s="437"/>
      <c r="C286" s="441"/>
      <c r="D286" s="441"/>
      <c r="E286" s="441"/>
      <c r="F286" s="441"/>
      <c r="G286" s="441"/>
      <c r="H286" s="441"/>
      <c r="I286" s="441"/>
      <c r="J286" s="441"/>
      <c r="K286" s="441"/>
      <c r="L286" s="441"/>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row>
    <row r="287" spans="1:40" x14ac:dyDescent="0.6">
      <c r="A287" s="12"/>
      <c r="B287" s="437"/>
      <c r="C287" s="441"/>
      <c r="D287" s="58"/>
      <c r="E287" s="10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row>
    <row r="288" spans="1:40" x14ac:dyDescent="0.6">
      <c r="A288" s="12"/>
      <c r="B288" s="437"/>
      <c r="C288" s="441"/>
      <c r="D288" s="58"/>
      <c r="E288" s="10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row>
    <row r="289" spans="1:40" x14ac:dyDescent="0.6">
      <c r="A289" s="12"/>
      <c r="B289" s="437"/>
      <c r="C289" s="108"/>
      <c r="D289" s="58"/>
      <c r="E289" s="10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row>
    <row r="290" spans="1:40" x14ac:dyDescent="0.6">
      <c r="A290" s="12"/>
      <c r="B290" s="58"/>
      <c r="C290" s="6"/>
      <c r="D290" s="6"/>
      <c r="E290" s="6"/>
      <c r="F290" s="6"/>
      <c r="G290" s="6"/>
      <c r="H290" s="6"/>
      <c r="I290" s="6"/>
      <c r="J290" s="6"/>
      <c r="K290" s="6"/>
      <c r="L290" s="6"/>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row>
    <row r="291" spans="1:40" x14ac:dyDescent="0.6">
      <c r="A291" s="12"/>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row>
    <row r="292" spans="1:40" x14ac:dyDescent="0.6">
      <c r="A292" s="12"/>
      <c r="B292" s="437"/>
      <c r="C292" s="112"/>
      <c r="D292" s="112"/>
      <c r="E292" s="112"/>
      <c r="F292" s="112"/>
      <c r="G292" s="112"/>
      <c r="H292" s="112"/>
      <c r="I292" s="112"/>
      <c r="J292" s="112"/>
      <c r="K292" s="112"/>
      <c r="L292" s="112"/>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row>
    <row r="293" spans="1:40" x14ac:dyDescent="0.6">
      <c r="A293" s="12"/>
      <c r="B293" s="437"/>
      <c r="C293" s="112"/>
      <c r="D293" s="112"/>
      <c r="E293" s="112"/>
      <c r="F293" s="112"/>
      <c r="G293" s="112"/>
      <c r="H293" s="112"/>
      <c r="I293" s="112"/>
      <c r="J293" s="112"/>
      <c r="K293" s="112"/>
      <c r="L293" s="112"/>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row>
    <row r="294" spans="1:40" x14ac:dyDescent="0.6">
      <c r="A294" s="12"/>
      <c r="B294" s="437"/>
      <c r="C294" s="441"/>
      <c r="D294" s="441"/>
      <c r="E294" s="441"/>
      <c r="F294" s="441"/>
      <c r="G294" s="441"/>
      <c r="H294" s="441"/>
      <c r="I294" s="441"/>
      <c r="J294" s="112"/>
      <c r="K294" s="112"/>
      <c r="L294" s="112"/>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row>
    <row r="295" spans="1:40" x14ac:dyDescent="0.6">
      <c r="A295" s="12"/>
      <c r="B295" s="58"/>
      <c r="C295" s="108"/>
      <c r="D295" s="108"/>
      <c r="E295" s="108"/>
      <c r="F295" s="108"/>
      <c r="G295" s="108"/>
      <c r="H295" s="108"/>
      <c r="I295" s="108"/>
      <c r="J295" s="108"/>
      <c r="K295" s="108"/>
      <c r="L295" s="10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row>
    <row r="296" spans="1:40" x14ac:dyDescent="0.6">
      <c r="A296" s="12"/>
      <c r="B296" s="437"/>
      <c r="C296" s="441"/>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row>
    <row r="297" spans="1:40" x14ac:dyDescent="0.6">
      <c r="A297" s="12"/>
      <c r="B297" s="437"/>
      <c r="C297" s="441"/>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row>
    <row r="298" spans="1:40" x14ac:dyDescent="0.6">
      <c r="A298" s="12"/>
      <c r="B298" s="437"/>
      <c r="C298" s="441"/>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row>
    <row r="299" spans="1:40" x14ac:dyDescent="0.6">
      <c r="A299" s="12"/>
      <c r="B299" s="58"/>
      <c r="C299" s="108"/>
      <c r="D299" s="58"/>
      <c r="E299" s="10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row>
    <row r="300" spans="1:40" x14ac:dyDescent="0.6">
      <c r="A300" s="193"/>
      <c r="B300" s="103"/>
      <c r="C300" s="441"/>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row>
    <row r="301" spans="1:40" x14ac:dyDescent="0.6">
      <c r="A301" s="193"/>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row>
    <row r="302" spans="1:40" x14ac:dyDescent="0.6">
      <c r="A302" s="193"/>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row>
    <row r="303" spans="1:40" x14ac:dyDescent="0.6">
      <c r="A303" s="193"/>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row>
    <row r="304" spans="1:40" x14ac:dyDescent="0.6">
      <c r="A304" s="10"/>
      <c r="B304" s="8"/>
      <c r="C304" s="61"/>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row>
    <row r="305" spans="1:40" x14ac:dyDescent="0.6">
      <c r="A305" s="193"/>
      <c r="B305" s="9"/>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row>
    <row r="306" spans="1:40" x14ac:dyDescent="0.6">
      <c r="A306" s="193"/>
      <c r="B306" s="437"/>
      <c r="C306" s="43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row>
    <row r="307" spans="1:40" x14ac:dyDescent="0.6">
      <c r="A307" s="193"/>
      <c r="B307" s="437"/>
      <c r="C307" s="79"/>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row>
    <row r="308" spans="1:40" s="58" customFormat="1" x14ac:dyDescent="0.6">
      <c r="A308" s="193"/>
      <c r="B308" s="437"/>
      <c r="C308" s="438"/>
    </row>
    <row r="309" spans="1:40" s="58" customFormat="1" x14ac:dyDescent="0.6">
      <c r="A309" s="193"/>
    </row>
    <row r="310" spans="1:40" s="58" customFormat="1" outlineLevel="1" x14ac:dyDescent="0.6">
      <c r="A310" s="80"/>
    </row>
    <row r="311" spans="1:40" s="58" customFormat="1" outlineLevel="1" x14ac:dyDescent="0.6">
      <c r="A311" s="10"/>
      <c r="B311" s="8"/>
    </row>
    <row r="312" spans="1:40" s="58" customFormat="1" outlineLevel="1" x14ac:dyDescent="0.6">
      <c r="A312" s="193"/>
    </row>
    <row r="313" spans="1:40" s="58" customFormat="1" outlineLevel="1" x14ac:dyDescent="0.6">
      <c r="C313" s="196"/>
      <c r="D313" s="196"/>
      <c r="E313" s="196"/>
    </row>
    <row r="314" spans="1:40" s="58" customFormat="1" outlineLevel="1" x14ac:dyDescent="0.6">
      <c r="C314" s="81"/>
      <c r="D314" s="81"/>
      <c r="E314" s="81"/>
    </row>
    <row r="315" spans="1:40" s="58" customFormat="1" outlineLevel="1" x14ac:dyDescent="0.6">
      <c r="C315" s="81"/>
      <c r="D315" s="81"/>
      <c r="E315" s="81"/>
      <c r="F315" s="81"/>
      <c r="G315" s="81"/>
    </row>
    <row r="316" spans="1:40" s="58" customFormat="1" outlineLevel="1" x14ac:dyDescent="0.6"/>
    <row r="317" spans="1:40" s="58" customFormat="1" outlineLevel="1" x14ac:dyDescent="0.6">
      <c r="C317" s="81"/>
      <c r="D317" s="81"/>
      <c r="E317" s="81"/>
      <c r="F317" s="81"/>
    </row>
    <row r="318" spans="1:40" s="58" customFormat="1" outlineLevel="1" x14ac:dyDescent="0.6"/>
    <row r="319" spans="1:40" s="58" customFormat="1" outlineLevel="1" x14ac:dyDescent="0.6">
      <c r="C319" s="6"/>
      <c r="D319" s="6"/>
      <c r="E319" s="6"/>
      <c r="F319" s="6"/>
      <c r="G319" s="6"/>
      <c r="H319" s="6"/>
      <c r="I319" s="6"/>
      <c r="J319" s="6"/>
    </row>
    <row r="320" spans="1:40" s="58" customFormat="1" outlineLevel="1" x14ac:dyDescent="0.6">
      <c r="C320" s="102"/>
      <c r="D320" s="102"/>
      <c r="E320" s="102"/>
      <c r="F320" s="102"/>
      <c r="G320" s="102"/>
      <c r="H320" s="102"/>
      <c r="I320" s="102"/>
      <c r="J320" s="102"/>
    </row>
    <row r="321" spans="1:10" s="58" customFormat="1" outlineLevel="1" x14ac:dyDescent="0.6">
      <c r="C321" s="438"/>
      <c r="D321" s="438"/>
      <c r="E321" s="438"/>
      <c r="F321" s="438"/>
      <c r="G321" s="438"/>
      <c r="H321" s="438"/>
      <c r="I321" s="438"/>
      <c r="J321" s="438"/>
    </row>
    <row r="322" spans="1:10" s="58" customFormat="1" outlineLevel="1" x14ac:dyDescent="0.6"/>
    <row r="323" spans="1:10" s="58" customFormat="1" outlineLevel="1" x14ac:dyDescent="0.6"/>
    <row r="324" spans="1:10" s="58" customFormat="1" outlineLevel="1" x14ac:dyDescent="0.6"/>
    <row r="325" spans="1:10" s="58" customFormat="1" outlineLevel="1" x14ac:dyDescent="0.6">
      <c r="C325" s="6"/>
      <c r="D325" s="6"/>
    </row>
    <row r="326" spans="1:10" s="58" customFormat="1" outlineLevel="1" x14ac:dyDescent="0.6">
      <c r="C326" s="81"/>
      <c r="D326" s="81"/>
    </row>
    <row r="327" spans="1:10" s="58" customFormat="1" outlineLevel="1" x14ac:dyDescent="0.6">
      <c r="C327" s="439"/>
      <c r="D327" s="439"/>
    </row>
    <row r="328" spans="1:10" s="58" customFormat="1" outlineLevel="1" x14ac:dyDescent="0.6">
      <c r="C328" s="81"/>
      <c r="D328" s="81"/>
    </row>
    <row r="329" spans="1:10" s="58" customFormat="1" outlineLevel="1" x14ac:dyDescent="0.6">
      <c r="A329" s="193"/>
      <c r="C329" s="81"/>
      <c r="D329" s="81"/>
    </row>
    <row r="330" spans="1:10" s="58" customFormat="1" outlineLevel="1" x14ac:dyDescent="0.6">
      <c r="A330" s="193"/>
      <c r="C330" s="439"/>
      <c r="D330" s="439"/>
    </row>
    <row r="331" spans="1:10" s="58" customFormat="1" outlineLevel="1" x14ac:dyDescent="0.6">
      <c r="A331" s="193"/>
    </row>
    <row r="332" spans="1:10" s="58" customFormat="1" outlineLevel="1" x14ac:dyDescent="0.6">
      <c r="A332" s="193"/>
      <c r="C332" s="439"/>
      <c r="D332" s="439"/>
    </row>
    <row r="333" spans="1:10" s="58" customFormat="1" outlineLevel="1" x14ac:dyDescent="0.6">
      <c r="A333" s="193"/>
    </row>
    <row r="334" spans="1:10" s="58" customFormat="1" outlineLevel="1" x14ac:dyDescent="0.6">
      <c r="A334" s="193"/>
      <c r="C334" s="439"/>
    </row>
    <row r="335" spans="1:10" s="58" customFormat="1" outlineLevel="1" x14ac:dyDescent="0.6">
      <c r="A335" s="10"/>
      <c r="B335" s="8"/>
    </row>
    <row r="336" spans="1:10" s="58" customFormat="1" outlineLevel="1" x14ac:dyDescent="0.6">
      <c r="A336" s="193"/>
    </row>
    <row r="337" spans="1:12" s="58" customFormat="1" outlineLevel="1" x14ac:dyDescent="0.6">
      <c r="A337" s="193"/>
      <c r="C337" s="6"/>
      <c r="D337" s="6"/>
      <c r="E337" s="6"/>
      <c r="F337" s="6"/>
      <c r="G337" s="6"/>
      <c r="H337" s="6"/>
      <c r="I337" s="6"/>
      <c r="J337" s="6"/>
      <c r="K337" s="6"/>
      <c r="L337" s="6"/>
    </row>
    <row r="338" spans="1:12" s="58" customFormat="1" outlineLevel="1" x14ac:dyDescent="0.6">
      <c r="A338" s="193"/>
      <c r="C338" s="6"/>
      <c r="D338" s="6"/>
      <c r="E338" s="6"/>
      <c r="F338" s="6"/>
      <c r="G338" s="6"/>
      <c r="H338" s="6"/>
      <c r="I338" s="6"/>
      <c r="J338" s="6"/>
      <c r="K338" s="6"/>
      <c r="L338" s="6"/>
    </row>
    <row r="339" spans="1:12" s="58" customFormat="1" outlineLevel="1" x14ac:dyDescent="0.6">
      <c r="A339" s="193"/>
      <c r="B339" s="437"/>
    </row>
    <row r="340" spans="1:12" s="58" customFormat="1" outlineLevel="1" x14ac:dyDescent="0.6">
      <c r="A340" s="193"/>
      <c r="B340" s="437"/>
      <c r="C340" s="81"/>
      <c r="D340" s="81"/>
      <c r="E340" s="81"/>
      <c r="F340" s="81"/>
      <c r="G340" s="81"/>
      <c r="H340" s="81"/>
      <c r="I340" s="81"/>
      <c r="J340" s="81"/>
    </row>
    <row r="341" spans="1:12" s="58" customFormat="1" outlineLevel="1" x14ac:dyDescent="0.6">
      <c r="A341" s="193"/>
      <c r="B341" s="437"/>
    </row>
    <row r="342" spans="1:12" s="58" customFormat="1" outlineLevel="1" x14ac:dyDescent="0.6">
      <c r="B342" s="437"/>
      <c r="C342" s="6"/>
      <c r="D342" s="6"/>
    </row>
    <row r="343" spans="1:12" s="58" customFormat="1" outlineLevel="1" x14ac:dyDescent="0.6">
      <c r="B343" s="437"/>
      <c r="C343" s="100"/>
      <c r="D343" s="100"/>
    </row>
    <row r="344" spans="1:12" s="58" customFormat="1" outlineLevel="1" x14ac:dyDescent="0.6">
      <c r="B344" s="437"/>
      <c r="C344" s="439"/>
      <c r="D344" s="439"/>
    </row>
    <row r="345" spans="1:12" s="58" customFormat="1" outlineLevel="1" x14ac:dyDescent="0.6">
      <c r="B345" s="437"/>
      <c r="C345" s="440"/>
      <c r="D345" s="440"/>
    </row>
    <row r="346" spans="1:12" s="58" customFormat="1" outlineLevel="1" x14ac:dyDescent="0.6">
      <c r="B346" s="437"/>
    </row>
    <row r="347" spans="1:12" s="58" customFormat="1" outlineLevel="1" x14ac:dyDescent="0.6">
      <c r="B347" s="437"/>
    </row>
    <row r="348" spans="1:12" s="58" customFormat="1" outlineLevel="1" x14ac:dyDescent="0.6">
      <c r="B348" s="437"/>
      <c r="C348" s="81"/>
    </row>
    <row r="349" spans="1:12" s="58" customFormat="1" outlineLevel="1" x14ac:dyDescent="0.6">
      <c r="B349" s="437"/>
      <c r="C349" s="81"/>
    </row>
    <row r="350" spans="1:12" s="58" customFormat="1" outlineLevel="1" x14ac:dyDescent="0.6">
      <c r="B350" s="437"/>
      <c r="C350" s="81"/>
    </row>
    <row r="351" spans="1:12" s="58" customFormat="1" outlineLevel="1" x14ac:dyDescent="0.6">
      <c r="B351" s="437"/>
      <c r="C351" s="81"/>
    </row>
    <row r="352" spans="1:12" s="58" customFormat="1" outlineLevel="1" x14ac:dyDescent="0.6">
      <c r="C352" s="6"/>
      <c r="D352" s="6"/>
      <c r="E352" s="6"/>
      <c r="F352" s="6"/>
      <c r="G352" s="6"/>
      <c r="H352" s="6"/>
      <c r="I352" s="6"/>
      <c r="J352" s="6"/>
      <c r="K352" s="6"/>
      <c r="L352" s="6"/>
    </row>
    <row r="353" spans="1:12" s="58" customFormat="1" outlineLevel="1" x14ac:dyDescent="0.6">
      <c r="C353" s="6"/>
      <c r="D353" s="6"/>
      <c r="E353" s="6"/>
      <c r="F353" s="6"/>
      <c r="G353" s="6"/>
      <c r="H353" s="6"/>
      <c r="I353" s="6"/>
      <c r="J353" s="6"/>
      <c r="K353" s="6"/>
      <c r="L353" s="6"/>
    </row>
    <row r="354" spans="1:12" s="58" customFormat="1" outlineLevel="1" x14ac:dyDescent="0.6">
      <c r="B354" s="437"/>
      <c r="C354" s="100"/>
      <c r="D354" s="100"/>
      <c r="E354" s="100"/>
      <c r="F354" s="100"/>
      <c r="G354" s="100"/>
      <c r="H354" s="100"/>
      <c r="I354" s="100"/>
      <c r="J354" s="100"/>
      <c r="K354" s="100"/>
      <c r="L354" s="100"/>
    </row>
    <row r="355" spans="1:12" s="58" customFormat="1" outlineLevel="1" x14ac:dyDescent="0.6">
      <c r="B355" s="437"/>
      <c r="C355" s="81"/>
      <c r="D355" s="81"/>
      <c r="E355" s="81"/>
      <c r="F355" s="81"/>
      <c r="G355" s="81"/>
      <c r="H355" s="81"/>
      <c r="I355" s="81"/>
      <c r="J355" s="81"/>
      <c r="K355" s="81"/>
      <c r="L355" s="81"/>
    </row>
    <row r="356" spans="1:12" s="58" customFormat="1" outlineLevel="1" x14ac:dyDescent="0.6">
      <c r="B356" s="437"/>
      <c r="C356" s="81"/>
      <c r="D356" s="81"/>
      <c r="E356" s="81"/>
      <c r="F356" s="81"/>
      <c r="G356" s="81"/>
      <c r="H356" s="81"/>
      <c r="I356" s="81"/>
      <c r="J356" s="81"/>
      <c r="K356" s="81"/>
      <c r="L356" s="81"/>
    </row>
    <row r="357" spans="1:12" s="58" customFormat="1" outlineLevel="1" x14ac:dyDescent="0.6">
      <c r="B357" s="437"/>
      <c r="C357" s="81"/>
      <c r="D357" s="81"/>
      <c r="E357" s="81"/>
      <c r="F357" s="81"/>
      <c r="G357" s="81"/>
      <c r="H357" s="81"/>
      <c r="I357" s="81"/>
      <c r="J357" s="81"/>
      <c r="K357" s="81"/>
      <c r="L357" s="81"/>
    </row>
    <row r="358" spans="1:12" s="58" customFormat="1" outlineLevel="1" x14ac:dyDescent="0.6">
      <c r="A358" s="193"/>
      <c r="B358" s="437"/>
      <c r="C358" s="81"/>
      <c r="D358" s="81"/>
      <c r="E358" s="81"/>
      <c r="F358" s="81"/>
      <c r="G358" s="81"/>
      <c r="H358" s="81"/>
      <c r="I358" s="81"/>
      <c r="J358" s="81"/>
      <c r="K358" s="81"/>
      <c r="L358" s="81"/>
    </row>
    <row r="359" spans="1:12" s="58" customFormat="1" outlineLevel="1" x14ac:dyDescent="0.6">
      <c r="A359" s="193"/>
      <c r="B359" s="437"/>
      <c r="C359" s="81"/>
      <c r="D359" s="81"/>
      <c r="E359" s="81"/>
      <c r="F359" s="81"/>
      <c r="G359" s="81"/>
      <c r="H359" s="81"/>
      <c r="I359" s="81"/>
      <c r="J359" s="81"/>
      <c r="K359" s="81"/>
      <c r="L359" s="81"/>
    </row>
    <row r="360" spans="1:12" s="58" customFormat="1" outlineLevel="1" x14ac:dyDescent="0.6">
      <c r="A360" s="193"/>
      <c r="B360" s="437"/>
      <c r="C360" s="81"/>
      <c r="D360" s="81"/>
      <c r="E360" s="81"/>
      <c r="F360" s="81"/>
      <c r="G360" s="81"/>
      <c r="H360" s="81"/>
      <c r="I360" s="81"/>
      <c r="J360" s="81"/>
      <c r="K360" s="81"/>
      <c r="L360" s="81"/>
    </row>
    <row r="361" spans="1:12" s="58" customFormat="1" outlineLevel="1" x14ac:dyDescent="0.6">
      <c r="A361" s="193"/>
      <c r="B361" s="437"/>
      <c r="C361" s="81"/>
    </row>
    <row r="362" spans="1:12" s="58" customFormat="1" outlineLevel="1" x14ac:dyDescent="0.6">
      <c r="A362" s="193"/>
      <c r="B362" s="437"/>
      <c r="C362" s="81"/>
    </row>
    <row r="363" spans="1:12" s="58" customFormat="1" outlineLevel="1" x14ac:dyDescent="0.6">
      <c r="A363" s="193"/>
    </row>
    <row r="364" spans="1:12" s="58" customFormat="1" outlineLevel="1" x14ac:dyDescent="0.6">
      <c r="A364" s="193"/>
      <c r="B364" s="103"/>
      <c r="C364" s="441"/>
    </row>
    <row r="365" spans="1:12" s="58" customFormat="1" outlineLevel="1" x14ac:dyDescent="0.6">
      <c r="A365" s="193"/>
    </row>
    <row r="366" spans="1:12" s="58" customFormat="1" outlineLevel="1" x14ac:dyDescent="0.6">
      <c r="A366" s="193"/>
    </row>
    <row r="367" spans="1:12" s="58" customFormat="1" outlineLevel="1" x14ac:dyDescent="0.6">
      <c r="A367" s="193"/>
    </row>
    <row r="368" spans="1:12" s="58" customFormat="1" outlineLevel="1" x14ac:dyDescent="0.6">
      <c r="A368" s="193"/>
    </row>
    <row r="369" spans="1:4" s="58" customFormat="1" outlineLevel="1" x14ac:dyDescent="0.6">
      <c r="A369" s="82"/>
    </row>
    <row r="370" spans="1:4" s="58" customFormat="1" outlineLevel="1" x14ac:dyDescent="0.6">
      <c r="A370" s="103"/>
      <c r="C370" s="442"/>
    </row>
    <row r="371" spans="1:4" s="58" customFormat="1" outlineLevel="1" x14ac:dyDescent="0.6">
      <c r="A371" s="103"/>
      <c r="C371" s="443"/>
    </row>
    <row r="372" spans="1:4" s="58" customFormat="1" outlineLevel="1" x14ac:dyDescent="0.6">
      <c r="A372" s="103"/>
      <c r="C372" s="443"/>
    </row>
    <row r="373" spans="1:4" s="58" customFormat="1" outlineLevel="1" x14ac:dyDescent="0.6">
      <c r="A373" s="103"/>
      <c r="C373" s="443"/>
      <c r="D373" s="95"/>
    </row>
    <row r="374" spans="1:4" s="58" customFormat="1" outlineLevel="1" x14ac:dyDescent="0.6">
      <c r="A374" s="103"/>
      <c r="C374" s="100"/>
    </row>
    <row r="375" spans="1:4" s="58" customFormat="1" outlineLevel="1" x14ac:dyDescent="0.6">
      <c r="A375" s="103"/>
      <c r="C375" s="444"/>
      <c r="D375" s="95"/>
    </row>
    <row r="376" spans="1:4" s="58" customFormat="1" outlineLevel="1" x14ac:dyDescent="0.6">
      <c r="A376" s="193"/>
    </row>
    <row r="377" spans="1:4" s="58" customFormat="1" outlineLevel="1" x14ac:dyDescent="0.6">
      <c r="A377" s="193"/>
    </row>
    <row r="378" spans="1:4" s="58" customFormat="1" outlineLevel="1" x14ac:dyDescent="0.6">
      <c r="A378" s="103"/>
      <c r="C378" s="100"/>
      <c r="D378" s="95"/>
    </row>
    <row r="379" spans="1:4" s="58" customFormat="1" outlineLevel="1" x14ac:dyDescent="0.6">
      <c r="A379" s="103"/>
      <c r="C379" s="442"/>
      <c r="D379" s="95"/>
    </row>
    <row r="380" spans="1:4" s="58" customFormat="1" outlineLevel="1" x14ac:dyDescent="0.6">
      <c r="A380" s="193"/>
    </row>
    <row r="381" spans="1:4" s="58" customFormat="1" outlineLevel="1" x14ac:dyDescent="0.6">
      <c r="A381" s="445"/>
      <c r="C381" s="446"/>
    </row>
    <row r="382" spans="1:4" s="58" customFormat="1" outlineLevel="1" x14ac:dyDescent="0.6">
      <c r="A382" s="445"/>
      <c r="C382" s="442"/>
      <c r="D382" s="95"/>
    </row>
    <row r="383" spans="1:4" s="58" customFormat="1" outlineLevel="1" x14ac:dyDescent="0.6">
      <c r="A383" s="445"/>
    </row>
    <row r="384" spans="1:4" s="58" customFormat="1" outlineLevel="1" x14ac:dyDescent="0.6">
      <c r="A384" s="445"/>
      <c r="C384" s="442"/>
      <c r="D384" s="95"/>
    </row>
    <row r="385" spans="1:3" s="58" customFormat="1" outlineLevel="1" x14ac:dyDescent="0.6">
      <c r="A385" s="445"/>
      <c r="C385" s="442"/>
    </row>
    <row r="386" spans="1:3" s="58" customFormat="1" outlineLevel="1" x14ac:dyDescent="0.6">
      <c r="A386" s="445"/>
      <c r="C386" s="442"/>
    </row>
    <row r="387" spans="1:3" s="58" customFormat="1" x14ac:dyDescent="0.6">
      <c r="A387" s="445"/>
    </row>
    <row r="388" spans="1:3" s="58" customFormat="1" x14ac:dyDescent="0.6">
      <c r="A388" s="445"/>
    </row>
    <row r="389" spans="1:3" s="58" customFormat="1" x14ac:dyDescent="0.6">
      <c r="A389" s="445"/>
    </row>
    <row r="390" spans="1:3" s="58" customFormat="1" x14ac:dyDescent="0.6">
      <c r="A390" s="445"/>
    </row>
    <row r="391" spans="1:3" s="58" customFormat="1" x14ac:dyDescent="0.6">
      <c r="A391" s="193"/>
    </row>
    <row r="392" spans="1:3" s="58" customFormat="1" x14ac:dyDescent="0.6">
      <c r="A392" s="193"/>
    </row>
    <row r="393" spans="1:3" s="58" customFormat="1" x14ac:dyDescent="0.6"/>
    <row r="394" spans="1:3" s="58" customFormat="1" x14ac:dyDescent="0.6"/>
    <row r="395" spans="1:3" s="58" customFormat="1" x14ac:dyDescent="0.6"/>
    <row r="396" spans="1:3" s="58" customFormat="1" x14ac:dyDescent="0.6">
      <c r="A396" s="193"/>
    </row>
    <row r="397" spans="1:3" s="58" customFormat="1" x14ac:dyDescent="0.6">
      <c r="A397" s="193"/>
    </row>
    <row r="398" spans="1:3" s="58" customFormat="1" x14ac:dyDescent="0.6">
      <c r="A398" s="193"/>
    </row>
    <row r="399" spans="1:3" s="58" customFormat="1" x14ac:dyDescent="0.6">
      <c r="A399" s="193"/>
    </row>
    <row r="400" spans="1:3" s="58" customFormat="1" x14ac:dyDescent="0.6">
      <c r="A400" s="193"/>
    </row>
    <row r="401" spans="1:40" x14ac:dyDescent="0.6">
      <c r="A401" s="193"/>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row>
    <row r="402" spans="1:40" x14ac:dyDescent="0.6">
      <c r="A402" s="193"/>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row>
    <row r="403" spans="1:40" x14ac:dyDescent="0.6">
      <c r="A403" s="193"/>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row>
    <row r="404" spans="1:40" x14ac:dyDescent="0.6">
      <c r="A404" s="193"/>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row>
    <row r="405" spans="1:40" x14ac:dyDescent="0.6">
      <c r="A405" s="193"/>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row>
    <row r="406" spans="1:40" x14ac:dyDescent="0.6">
      <c r="A406" s="193"/>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row>
    <row r="407" spans="1:40" x14ac:dyDescent="0.6">
      <c r="A407" s="193"/>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row>
    <row r="408" spans="1:40" x14ac:dyDescent="0.6">
      <c r="A408" s="193"/>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row>
    <row r="409" spans="1:40" x14ac:dyDescent="0.6">
      <c r="A409" s="193"/>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row>
    <row r="410" spans="1:40" x14ac:dyDescent="0.6">
      <c r="A410" s="193"/>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row>
    <row r="411" spans="1:40" x14ac:dyDescent="0.6">
      <c r="A411" s="193"/>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row>
    <row r="412" spans="1:40" x14ac:dyDescent="0.6">
      <c r="A412" s="193"/>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row>
    <row r="413" spans="1:40" x14ac:dyDescent="0.6">
      <c r="A413" s="193"/>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row>
    <row r="414" spans="1:40" x14ac:dyDescent="0.6">
      <c r="A414" s="193"/>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row>
    <row r="415" spans="1:40" x14ac:dyDescent="0.6">
      <c r="A415" s="193"/>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row>
    <row r="416" spans="1:40" x14ac:dyDescent="0.6">
      <c r="A416" s="193"/>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row>
    <row r="417" spans="1:40" x14ac:dyDescent="0.6">
      <c r="A417" s="193"/>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row>
    <row r="418" spans="1:40" x14ac:dyDescent="0.6">
      <c r="A418" s="193"/>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row>
    <row r="419" spans="1:40" x14ac:dyDescent="0.6">
      <c r="A419" s="193"/>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row>
    <row r="420" spans="1:40" x14ac:dyDescent="0.6">
      <c r="A420" s="193"/>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row>
    <row r="421" spans="1:40" x14ac:dyDescent="0.6">
      <c r="A421" s="193"/>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row>
    <row r="422" spans="1:40" x14ac:dyDescent="0.6">
      <c r="A422" s="193"/>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row>
    <row r="423" spans="1:40" x14ac:dyDescent="0.6">
      <c r="A423" s="193"/>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row>
    <row r="424" spans="1:40" x14ac:dyDescent="0.6">
      <c r="A424" s="193"/>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row>
    <row r="425" spans="1:40" x14ac:dyDescent="0.6">
      <c r="A425" s="193"/>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row>
    <row r="426" spans="1:40" x14ac:dyDescent="0.6">
      <c r="A426" s="193"/>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row>
    <row r="427" spans="1:40" x14ac:dyDescent="0.6">
      <c r="A427" s="193"/>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row>
    <row r="428" spans="1:40" x14ac:dyDescent="0.6">
      <c r="A428" s="193"/>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row>
    <row r="429" spans="1:40" x14ac:dyDescent="0.6">
      <c r="A429" s="193"/>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row>
    <row r="430" spans="1:40" x14ac:dyDescent="0.6">
      <c r="A430" s="193"/>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row>
    <row r="431" spans="1:40" x14ac:dyDescent="0.6">
      <c r="A431" s="193"/>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row>
    <row r="432" spans="1:40" x14ac:dyDescent="0.6">
      <c r="A432" s="193"/>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row>
    <row r="433" spans="1:40" x14ac:dyDescent="0.6">
      <c r="A433" s="193"/>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row>
    <row r="434" spans="1:40" x14ac:dyDescent="0.6">
      <c r="A434" s="193"/>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row>
    <row r="435" spans="1:40" x14ac:dyDescent="0.6">
      <c r="A435" s="193"/>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row>
    <row r="436" spans="1:40" x14ac:dyDescent="0.6">
      <c r="A436" s="193"/>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row>
    <row r="437" spans="1:40" x14ac:dyDescent="0.6">
      <c r="A437" s="193"/>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row>
    <row r="438" spans="1:40" x14ac:dyDescent="0.6">
      <c r="A438" s="193"/>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row>
    <row r="439" spans="1:40" x14ac:dyDescent="0.6">
      <c r="A439" s="193"/>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row>
    <row r="440" spans="1:40" x14ac:dyDescent="0.6">
      <c r="A440" s="193"/>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row>
    <row r="441" spans="1:40" x14ac:dyDescent="0.6">
      <c r="A441" s="193"/>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row>
    <row r="442" spans="1:40" x14ac:dyDescent="0.6">
      <c r="A442" s="193"/>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row>
    <row r="443" spans="1:40" x14ac:dyDescent="0.6">
      <c r="A443" s="193"/>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row>
    <row r="444" spans="1:40" x14ac:dyDescent="0.6">
      <c r="A444" s="193"/>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row>
    <row r="445" spans="1:40" x14ac:dyDescent="0.6">
      <c r="A445" s="193"/>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row>
    <row r="446" spans="1:40" x14ac:dyDescent="0.6">
      <c r="A446" s="193"/>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row>
    <row r="447" spans="1:40" x14ac:dyDescent="0.6">
      <c r="A447" s="193"/>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row>
    <row r="448" spans="1:40" x14ac:dyDescent="0.6">
      <c r="A448" s="193"/>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row>
    <row r="449" spans="1:40" x14ac:dyDescent="0.6">
      <c r="A449" s="193"/>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row>
    <row r="450" spans="1:40" x14ac:dyDescent="0.6">
      <c r="A450" s="193"/>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row>
    <row r="451" spans="1:40" x14ac:dyDescent="0.6">
      <c r="A451" s="193"/>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row>
    <row r="452" spans="1:40" x14ac:dyDescent="0.6">
      <c r="A452" s="193"/>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row>
    <row r="453" spans="1:40" x14ac:dyDescent="0.6">
      <c r="A453" s="193"/>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row>
    <row r="454" spans="1:40" x14ac:dyDescent="0.6">
      <c r="A454" s="193"/>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row>
    <row r="455" spans="1:40" x14ac:dyDescent="0.6">
      <c r="A455" s="193"/>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row>
    <row r="456" spans="1:40" x14ac:dyDescent="0.6">
      <c r="A456" s="193"/>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row>
    <row r="457" spans="1:40" x14ac:dyDescent="0.6">
      <c r="A457" s="193"/>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row>
    <row r="458" spans="1:40" x14ac:dyDescent="0.6">
      <c r="A458" s="193"/>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row>
    <row r="459" spans="1:40" x14ac:dyDescent="0.6">
      <c r="A459" s="193"/>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row>
    <row r="460" spans="1:40" x14ac:dyDescent="0.6">
      <c r="A460" s="193"/>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row>
    <row r="461" spans="1:40" x14ac:dyDescent="0.6">
      <c r="A461" s="193"/>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row>
    <row r="462" spans="1:40" x14ac:dyDescent="0.6">
      <c r="A462" s="193"/>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row>
    <row r="463" spans="1:40" x14ac:dyDescent="0.6">
      <c r="A463" s="193"/>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row>
    <row r="464" spans="1:40" x14ac:dyDescent="0.6">
      <c r="A464" s="193"/>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row>
    <row r="465" spans="1:40" x14ac:dyDescent="0.6">
      <c r="A465" s="193"/>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row>
    <row r="466" spans="1:40" x14ac:dyDescent="0.6">
      <c r="A466" s="193"/>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row>
    <row r="467" spans="1:40" x14ac:dyDescent="0.6">
      <c r="A467" s="193"/>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row>
    <row r="468" spans="1:40" x14ac:dyDescent="0.6">
      <c r="A468" s="193"/>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row>
    <row r="469" spans="1:40" x14ac:dyDescent="0.6">
      <c r="A469" s="193"/>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row>
    <row r="470" spans="1:40" x14ac:dyDescent="0.6">
      <c r="A470" s="193"/>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row>
    <row r="471" spans="1:40" x14ac:dyDescent="0.6">
      <c r="A471" s="193"/>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row>
    <row r="472" spans="1:40" x14ac:dyDescent="0.6">
      <c r="A472" s="193"/>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row>
    <row r="473" spans="1:40" x14ac:dyDescent="0.6">
      <c r="A473" s="193"/>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row>
    <row r="474" spans="1:40" x14ac:dyDescent="0.6">
      <c r="A474" s="193"/>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row>
    <row r="475" spans="1:40" x14ac:dyDescent="0.6">
      <c r="A475" s="193"/>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row>
    <row r="476" spans="1:40" x14ac:dyDescent="0.6">
      <c r="A476" s="193"/>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row>
    <row r="477" spans="1:40" x14ac:dyDescent="0.6">
      <c r="A477" s="193"/>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row>
    <row r="478" spans="1:40" x14ac:dyDescent="0.6">
      <c r="A478" s="193"/>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row>
    <row r="479" spans="1:40" x14ac:dyDescent="0.6">
      <c r="A479" s="193"/>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row>
    <row r="480" spans="1:40" x14ac:dyDescent="0.6">
      <c r="A480" s="193"/>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row>
    <row r="481" spans="1:40" x14ac:dyDescent="0.6">
      <c r="A481" s="193"/>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row>
    <row r="482" spans="1:40" x14ac:dyDescent="0.6">
      <c r="A482" s="193"/>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row>
    <row r="483" spans="1:40" x14ac:dyDescent="0.6">
      <c r="A483" s="193"/>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row>
    <row r="484" spans="1:40" x14ac:dyDescent="0.6">
      <c r="A484" s="193"/>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row>
    <row r="485" spans="1:40" x14ac:dyDescent="0.6">
      <c r="A485" s="193"/>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row>
    <row r="486" spans="1:40" x14ac:dyDescent="0.6">
      <c r="A486" s="193"/>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row>
    <row r="487" spans="1:40" x14ac:dyDescent="0.6">
      <c r="A487" s="193"/>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row>
    <row r="488" spans="1:40" x14ac:dyDescent="0.6">
      <c r="A488" s="193"/>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row>
    <row r="489" spans="1:40" x14ac:dyDescent="0.6">
      <c r="A489" s="193"/>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row>
    <row r="490" spans="1:40" x14ac:dyDescent="0.6">
      <c r="A490" s="193"/>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row>
    <row r="491" spans="1:40" x14ac:dyDescent="0.6">
      <c r="A491" s="193"/>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row>
    <row r="492" spans="1:40" x14ac:dyDescent="0.6">
      <c r="A492" s="193"/>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row>
    <row r="493" spans="1:40" x14ac:dyDescent="0.6">
      <c r="A493" s="193"/>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row>
    <row r="494" spans="1:40" x14ac:dyDescent="0.6">
      <c r="A494" s="193"/>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row>
    <row r="495" spans="1:40" x14ac:dyDescent="0.6">
      <c r="A495" s="193"/>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row>
    <row r="496" spans="1:40" x14ac:dyDescent="0.6">
      <c r="A496" s="193"/>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row>
    <row r="497" spans="1:40" x14ac:dyDescent="0.6">
      <c r="A497" s="193"/>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row>
    <row r="498" spans="1:40" x14ac:dyDescent="0.6">
      <c r="A498" s="193"/>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row>
    <row r="499" spans="1:40" x14ac:dyDescent="0.6">
      <c r="A499" s="193"/>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row>
    <row r="500" spans="1:40" x14ac:dyDescent="0.6">
      <c r="A500" s="193"/>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row>
    <row r="501" spans="1:40" x14ac:dyDescent="0.6">
      <c r="A501" s="193"/>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row>
    <row r="502" spans="1:40" x14ac:dyDescent="0.6">
      <c r="A502" s="193"/>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row>
    <row r="503" spans="1:40" x14ac:dyDescent="0.6">
      <c r="A503" s="193"/>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row>
    <row r="504" spans="1:40" x14ac:dyDescent="0.6">
      <c r="A504" s="193"/>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row>
    <row r="505" spans="1:40" x14ac:dyDescent="0.6">
      <c r="A505" s="193"/>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row>
    <row r="506" spans="1:40" x14ac:dyDescent="0.6">
      <c r="A506" s="193"/>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row>
    <row r="507" spans="1:40" x14ac:dyDescent="0.6">
      <c r="A507" s="193"/>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row>
    <row r="508" spans="1:40" x14ac:dyDescent="0.6">
      <c r="A508" s="193"/>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row>
    <row r="509" spans="1:40" x14ac:dyDescent="0.6">
      <c r="A509" s="193"/>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row>
    <row r="510" spans="1:40" x14ac:dyDescent="0.6">
      <c r="A510" s="193"/>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row>
    <row r="511" spans="1:40" x14ac:dyDescent="0.6">
      <c r="A511" s="193"/>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row>
    <row r="512" spans="1:40" x14ac:dyDescent="0.6">
      <c r="A512" s="193"/>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row>
    <row r="513" spans="1:40" x14ac:dyDescent="0.6">
      <c r="A513" s="193"/>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row>
    <row r="514" spans="1:40" x14ac:dyDescent="0.6">
      <c r="A514" s="193"/>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row>
    <row r="515" spans="1:40" x14ac:dyDescent="0.6">
      <c r="A515" s="193"/>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row>
    <row r="516" spans="1:40" x14ac:dyDescent="0.6">
      <c r="A516" s="193"/>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row>
    <row r="517" spans="1:40" x14ac:dyDescent="0.6">
      <c r="A517" s="193"/>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row>
    <row r="518" spans="1:40" x14ac:dyDescent="0.6">
      <c r="A518" s="193"/>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row>
    <row r="519" spans="1:40" x14ac:dyDescent="0.6">
      <c r="A519" s="193"/>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row>
    <row r="520" spans="1:40" x14ac:dyDescent="0.6">
      <c r="A520" s="193"/>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row>
    <row r="521" spans="1:40" x14ac:dyDescent="0.6">
      <c r="A521" s="193"/>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row>
    <row r="522" spans="1:40" x14ac:dyDescent="0.6">
      <c r="A522" s="193"/>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row>
    <row r="523" spans="1:40" x14ac:dyDescent="0.6">
      <c r="A523" s="193"/>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row>
    <row r="524" spans="1:40" x14ac:dyDescent="0.6">
      <c r="A524" s="193"/>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row>
    <row r="525" spans="1:40" x14ac:dyDescent="0.6">
      <c r="A525" s="193"/>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row>
    <row r="526" spans="1:40" x14ac:dyDescent="0.6">
      <c r="A526" s="193"/>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row>
    <row r="527" spans="1:40" x14ac:dyDescent="0.6">
      <c r="A527" s="193"/>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row>
    <row r="528" spans="1:40" x14ac:dyDescent="0.6">
      <c r="A528" s="193"/>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row>
    <row r="529" spans="1:40" x14ac:dyDescent="0.6">
      <c r="A529" s="193"/>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row>
    <row r="530" spans="1:40" x14ac:dyDescent="0.6">
      <c r="A530" s="193"/>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row>
    <row r="531" spans="1:40" x14ac:dyDescent="0.6">
      <c r="A531" s="193"/>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row>
    <row r="532" spans="1:40" x14ac:dyDescent="0.6">
      <c r="A532" s="193"/>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row>
    <row r="533" spans="1:40" x14ac:dyDescent="0.6">
      <c r="A533" s="193"/>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row>
    <row r="534" spans="1:40" x14ac:dyDescent="0.6">
      <c r="A534" s="193"/>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row>
    <row r="535" spans="1:40" x14ac:dyDescent="0.6">
      <c r="A535" s="193"/>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row>
    <row r="536" spans="1:40" x14ac:dyDescent="0.6">
      <c r="A536" s="193"/>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row>
    <row r="537" spans="1:40" x14ac:dyDescent="0.6">
      <c r="A537" s="193"/>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row>
    <row r="538" spans="1:40" x14ac:dyDescent="0.6">
      <c r="A538" s="193"/>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row>
    <row r="539" spans="1:40" x14ac:dyDescent="0.6">
      <c r="A539" s="193"/>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row>
    <row r="540" spans="1:40" x14ac:dyDescent="0.6">
      <c r="A540" s="193"/>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row>
    <row r="541" spans="1:40" x14ac:dyDescent="0.6">
      <c r="A541" s="193"/>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row>
    <row r="542" spans="1:40" x14ac:dyDescent="0.6">
      <c r="A542" s="193"/>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row>
    <row r="543" spans="1:40" x14ac:dyDescent="0.6">
      <c r="A543" s="193"/>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row>
    <row r="544" spans="1:40" x14ac:dyDescent="0.6">
      <c r="A544" s="193"/>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row>
    <row r="545" spans="1:40" x14ac:dyDescent="0.6">
      <c r="A545" s="193"/>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row>
    <row r="546" spans="1:40" x14ac:dyDescent="0.6">
      <c r="A546" s="193"/>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row>
    <row r="547" spans="1:40" x14ac:dyDescent="0.6">
      <c r="A547" s="193"/>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row>
    <row r="548" spans="1:40" x14ac:dyDescent="0.6">
      <c r="A548" s="193"/>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row>
    <row r="549" spans="1:40" x14ac:dyDescent="0.6">
      <c r="A549" s="193"/>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row>
    <row r="550" spans="1:40" x14ac:dyDescent="0.6">
      <c r="A550" s="193"/>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row>
    <row r="551" spans="1:40" x14ac:dyDescent="0.6">
      <c r="A551" s="193"/>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row>
    <row r="552" spans="1:40" x14ac:dyDescent="0.6">
      <c r="A552" s="193"/>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row>
    <row r="553" spans="1:40" x14ac:dyDescent="0.6">
      <c r="A553" s="193"/>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row>
    <row r="554" spans="1:40" x14ac:dyDescent="0.6">
      <c r="A554" s="193"/>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row>
    <row r="555" spans="1:40" x14ac:dyDescent="0.6">
      <c r="A555" s="193"/>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row>
    <row r="556" spans="1:40" x14ac:dyDescent="0.6">
      <c r="A556" s="193"/>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row>
    <row r="557" spans="1:40" x14ac:dyDescent="0.6">
      <c r="A557" s="193"/>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row>
    <row r="558" spans="1:40" x14ac:dyDescent="0.6">
      <c r="A558" s="193"/>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row>
    <row r="559" spans="1:40" x14ac:dyDescent="0.6">
      <c r="A559" s="193"/>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row>
    <row r="560" spans="1:40" x14ac:dyDescent="0.6">
      <c r="A560" s="193"/>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row>
    <row r="561" spans="1:40" x14ac:dyDescent="0.6">
      <c r="A561" s="193"/>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row>
    <row r="562" spans="1:40" x14ac:dyDescent="0.6">
      <c r="A562" s="193"/>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row>
    <row r="563" spans="1:40" x14ac:dyDescent="0.6">
      <c r="A563" s="193"/>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row>
    <row r="564" spans="1:40" x14ac:dyDescent="0.6">
      <c r="A564" s="193"/>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row>
    <row r="565" spans="1:40" x14ac:dyDescent="0.6">
      <c r="A565" s="193"/>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row>
    <row r="566" spans="1:40" x14ac:dyDescent="0.6">
      <c r="A566" s="193"/>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row>
    <row r="567" spans="1:40" x14ac:dyDescent="0.6">
      <c r="A567" s="193"/>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row>
    <row r="568" spans="1:40" x14ac:dyDescent="0.6">
      <c r="A568" s="193"/>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row>
    <row r="569" spans="1:40" x14ac:dyDescent="0.6">
      <c r="A569" s="193"/>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row>
    <row r="570" spans="1:40" x14ac:dyDescent="0.6">
      <c r="A570" s="193"/>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row>
    <row r="571" spans="1:40" x14ac:dyDescent="0.6">
      <c r="A571" s="193"/>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row>
    <row r="572" spans="1:40" x14ac:dyDescent="0.6">
      <c r="A572" s="193"/>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row>
    <row r="573" spans="1:40" x14ac:dyDescent="0.6">
      <c r="A573" s="193"/>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row>
    <row r="574" spans="1:40" x14ac:dyDescent="0.6">
      <c r="A574" s="193"/>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row>
    <row r="575" spans="1:40" x14ac:dyDescent="0.6">
      <c r="A575" s="193"/>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row>
    <row r="576" spans="1:40" x14ac:dyDescent="0.6">
      <c r="A576" s="193"/>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row>
    <row r="577" spans="1:40" x14ac:dyDescent="0.6">
      <c r="A577" s="193"/>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row>
    <row r="578" spans="1:40" x14ac:dyDescent="0.6">
      <c r="A578" s="193"/>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row>
    <row r="579" spans="1:40" x14ac:dyDescent="0.6">
      <c r="A579" s="193"/>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row>
    <row r="580" spans="1:40" x14ac:dyDescent="0.6">
      <c r="A580" s="193"/>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row>
    <row r="581" spans="1:40" x14ac:dyDescent="0.6">
      <c r="A581" s="193"/>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row>
    <row r="582" spans="1:40" x14ac:dyDescent="0.6">
      <c r="A582" s="193"/>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row>
    <row r="583" spans="1:40" x14ac:dyDescent="0.6">
      <c r="A583" s="193"/>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row>
    <row r="584" spans="1:40" x14ac:dyDescent="0.6">
      <c r="A584" s="193"/>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row>
    <row r="585" spans="1:40" x14ac:dyDescent="0.6">
      <c r="A585" s="193"/>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row>
    <row r="586" spans="1:40" x14ac:dyDescent="0.6">
      <c r="A586" s="193"/>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row>
    <row r="587" spans="1:40" x14ac:dyDescent="0.6">
      <c r="A587" s="193"/>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row>
    <row r="588" spans="1:40" x14ac:dyDescent="0.6">
      <c r="A588" s="193"/>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row>
    <row r="589" spans="1:40" x14ac:dyDescent="0.6">
      <c r="A589" s="193"/>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row>
    <row r="590" spans="1:40" x14ac:dyDescent="0.6">
      <c r="A590" s="193"/>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row>
    <row r="591" spans="1:40" x14ac:dyDescent="0.6">
      <c r="A591" s="193"/>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row>
    <row r="592" spans="1:40" x14ac:dyDescent="0.6">
      <c r="A592" s="193"/>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row>
    <row r="593" spans="1:40" x14ac:dyDescent="0.6">
      <c r="A593" s="193"/>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row>
    <row r="594" spans="1:40" x14ac:dyDescent="0.6">
      <c r="A594" s="193"/>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row>
    <row r="595" spans="1:40" x14ac:dyDescent="0.6">
      <c r="A595" s="193"/>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row>
    <row r="596" spans="1:40" x14ac:dyDescent="0.6">
      <c r="A596" s="193"/>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row>
    <row r="597" spans="1:40" x14ac:dyDescent="0.6">
      <c r="A597" s="193"/>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row>
    <row r="598" spans="1:40" x14ac:dyDescent="0.6">
      <c r="A598" s="193"/>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row>
    <row r="599" spans="1:40" x14ac:dyDescent="0.6">
      <c r="A599" s="193"/>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row>
    <row r="600" spans="1:40" x14ac:dyDescent="0.6">
      <c r="A600" s="193"/>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row>
    <row r="601" spans="1:40" x14ac:dyDescent="0.6">
      <c r="A601" s="193"/>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row>
    <row r="602" spans="1:40" x14ac:dyDescent="0.6">
      <c r="A602" s="193"/>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row>
    <row r="603" spans="1:40" x14ac:dyDescent="0.6">
      <c r="A603" s="193"/>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row>
    <row r="604" spans="1:40" x14ac:dyDescent="0.6">
      <c r="A604" s="193"/>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row>
    <row r="605" spans="1:40" x14ac:dyDescent="0.6">
      <c r="A605" s="193"/>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row>
    <row r="606" spans="1:40" x14ac:dyDescent="0.6">
      <c r="A606" s="193"/>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row>
    <row r="607" spans="1:40" x14ac:dyDescent="0.6">
      <c r="A607" s="193"/>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row>
    <row r="608" spans="1:40" x14ac:dyDescent="0.6">
      <c r="A608" s="193"/>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row>
    <row r="609" spans="1:40" x14ac:dyDescent="0.6">
      <c r="A609" s="193"/>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row>
    <row r="610" spans="1:40" x14ac:dyDescent="0.6">
      <c r="A610" s="193"/>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row>
    <row r="611" spans="1:40" x14ac:dyDescent="0.6">
      <c r="A611" s="193"/>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row>
    <row r="612" spans="1:40" x14ac:dyDescent="0.6">
      <c r="A612" s="193"/>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row>
    <row r="613" spans="1:40" x14ac:dyDescent="0.6">
      <c r="A613" s="193"/>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row>
    <row r="614" spans="1:40" x14ac:dyDescent="0.6">
      <c r="A614" s="193"/>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row>
    <row r="615" spans="1:40" x14ac:dyDescent="0.6">
      <c r="A615" s="193"/>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row>
    <row r="616" spans="1:40" x14ac:dyDescent="0.6">
      <c r="A616" s="193"/>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row>
    <row r="617" spans="1:40" x14ac:dyDescent="0.6">
      <c r="A617" s="193"/>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row>
    <row r="618" spans="1:40" x14ac:dyDescent="0.6">
      <c r="A618" s="193"/>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row>
    <row r="619" spans="1:40" x14ac:dyDescent="0.6">
      <c r="A619" s="193"/>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row>
    <row r="620" spans="1:40" x14ac:dyDescent="0.6">
      <c r="A620" s="193"/>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row>
    <row r="621" spans="1:40" x14ac:dyDescent="0.6">
      <c r="A621" s="193"/>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row>
    <row r="622" spans="1:40" x14ac:dyDescent="0.6">
      <c r="A622" s="193"/>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row>
    <row r="623" spans="1:40" x14ac:dyDescent="0.6">
      <c r="A623" s="193"/>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row>
    <row r="624" spans="1:40" x14ac:dyDescent="0.6">
      <c r="A624" s="193"/>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row>
    <row r="625" spans="1:40" x14ac:dyDescent="0.6">
      <c r="A625" s="193"/>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row>
    <row r="626" spans="1:40" x14ac:dyDescent="0.6">
      <c r="A626" s="193"/>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row>
    <row r="627" spans="1:40" x14ac:dyDescent="0.6">
      <c r="A627" s="193"/>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row>
    <row r="628" spans="1:40" x14ac:dyDescent="0.6">
      <c r="A628" s="193"/>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row>
    <row r="629" spans="1:40" x14ac:dyDescent="0.6">
      <c r="A629" s="193"/>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row>
    <row r="630" spans="1:40" x14ac:dyDescent="0.6">
      <c r="A630" s="193"/>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row>
    <row r="631" spans="1:40" x14ac:dyDescent="0.6">
      <c r="A631" s="193"/>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row>
    <row r="632" spans="1:40" x14ac:dyDescent="0.6">
      <c r="A632" s="193"/>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row>
    <row r="633" spans="1:40" x14ac:dyDescent="0.6">
      <c r="A633" s="193"/>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row>
    <row r="634" spans="1:40" x14ac:dyDescent="0.6">
      <c r="A634" s="193"/>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row>
    <row r="635" spans="1:40" x14ac:dyDescent="0.6">
      <c r="A635" s="193"/>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row>
    <row r="636" spans="1:40" x14ac:dyDescent="0.6">
      <c r="A636" s="193"/>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row>
    <row r="637" spans="1:40" x14ac:dyDescent="0.6">
      <c r="A637" s="193"/>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row>
    <row r="638" spans="1:40" x14ac:dyDescent="0.6">
      <c r="A638" s="193"/>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row>
    <row r="639" spans="1:40" x14ac:dyDescent="0.6">
      <c r="A639" s="193"/>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row>
    <row r="640" spans="1:40" x14ac:dyDescent="0.6">
      <c r="A640" s="193"/>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row>
    <row r="641" spans="1:40" x14ac:dyDescent="0.6">
      <c r="A641" s="193"/>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row>
    <row r="642" spans="1:40" x14ac:dyDescent="0.6">
      <c r="A642" s="193"/>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row>
    <row r="643" spans="1:40" x14ac:dyDescent="0.6">
      <c r="A643" s="193"/>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row>
    <row r="644" spans="1:40" x14ac:dyDescent="0.6">
      <c r="A644" s="193"/>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row>
    <row r="645" spans="1:40" x14ac:dyDescent="0.6">
      <c r="A645" s="193"/>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row>
    <row r="646" spans="1:40" x14ac:dyDescent="0.6">
      <c r="A646" s="193"/>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row>
    <row r="647" spans="1:40" x14ac:dyDescent="0.6">
      <c r="A647" s="193"/>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row>
    <row r="648" spans="1:40" x14ac:dyDescent="0.6">
      <c r="A648" s="193"/>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row>
    <row r="649" spans="1:40" x14ac:dyDescent="0.6">
      <c r="A649" s="193"/>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row>
    <row r="650" spans="1:40" x14ac:dyDescent="0.6">
      <c r="A650" s="193"/>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row>
    <row r="651" spans="1:40" x14ac:dyDescent="0.6">
      <c r="A651" s="193"/>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row>
    <row r="652" spans="1:40" x14ac:dyDescent="0.6">
      <c r="A652" s="193"/>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row>
    <row r="653" spans="1:40" x14ac:dyDescent="0.6">
      <c r="A653" s="193"/>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row>
    <row r="654" spans="1:40" x14ac:dyDescent="0.6">
      <c r="A654" s="193"/>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row>
    <row r="655" spans="1:40" x14ac:dyDescent="0.6">
      <c r="A655" s="193"/>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row>
    <row r="656" spans="1:40" x14ac:dyDescent="0.6">
      <c r="A656" s="193"/>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row>
    <row r="657" spans="1:40" x14ac:dyDescent="0.6">
      <c r="A657" s="193"/>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row>
    <row r="658" spans="1:40" x14ac:dyDescent="0.6">
      <c r="A658" s="193"/>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row>
    <row r="659" spans="1:40" x14ac:dyDescent="0.6">
      <c r="A659" s="193"/>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row>
    <row r="660" spans="1:40" x14ac:dyDescent="0.6">
      <c r="A660" s="193"/>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row>
    <row r="661" spans="1:40" x14ac:dyDescent="0.6">
      <c r="A661" s="193"/>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row>
    <row r="662" spans="1:40" x14ac:dyDescent="0.6">
      <c r="A662" s="193"/>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row>
    <row r="663" spans="1:40" x14ac:dyDescent="0.6">
      <c r="A663" s="193"/>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row>
    <row r="664" spans="1:40" x14ac:dyDescent="0.6">
      <c r="A664" s="193"/>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row>
    <row r="665" spans="1:40" x14ac:dyDescent="0.6">
      <c r="A665" s="193"/>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row>
    <row r="666" spans="1:40" x14ac:dyDescent="0.6">
      <c r="A666" s="193"/>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row>
    <row r="667" spans="1:40" x14ac:dyDescent="0.6">
      <c r="A667" s="193"/>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row>
    <row r="668" spans="1:40" x14ac:dyDescent="0.6">
      <c r="A668" s="193"/>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row>
    <row r="669" spans="1:40" x14ac:dyDescent="0.6">
      <c r="A669" s="193"/>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row>
    <row r="670" spans="1:40" x14ac:dyDescent="0.6">
      <c r="A670" s="193"/>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row>
    <row r="671" spans="1:40" x14ac:dyDescent="0.6">
      <c r="A671" s="193"/>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row>
    <row r="672" spans="1:40" x14ac:dyDescent="0.6">
      <c r="A672" s="193"/>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row>
    <row r="673" spans="1:40" x14ac:dyDescent="0.6">
      <c r="A673" s="193"/>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row>
    <row r="674" spans="1:40" x14ac:dyDescent="0.6">
      <c r="A674" s="193"/>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row>
    <row r="675" spans="1:40" x14ac:dyDescent="0.6">
      <c r="A675" s="193"/>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row>
    <row r="676" spans="1:40" x14ac:dyDescent="0.6">
      <c r="A676" s="193"/>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row>
    <row r="677" spans="1:40" x14ac:dyDescent="0.6">
      <c r="A677" s="193"/>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row>
    <row r="678" spans="1:40" x14ac:dyDescent="0.6">
      <c r="A678" s="193"/>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row>
    <row r="679" spans="1:40" x14ac:dyDescent="0.6">
      <c r="A679" s="193"/>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row>
    <row r="680" spans="1:40" x14ac:dyDescent="0.6">
      <c r="A680" s="193"/>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row>
    <row r="681" spans="1:40" x14ac:dyDescent="0.6">
      <c r="A681" s="193"/>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row>
  </sheetData>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5">
    <mergeCell ref="C113:D113"/>
    <mergeCell ref="C114:D114"/>
    <mergeCell ref="B5:L5"/>
    <mergeCell ref="F78:G78"/>
    <mergeCell ref="E112:F112"/>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000-000000000000}"/>
  </hyperlinks>
  <pageMargins left="0.7" right="0.7" top="0.75" bottom="0.75" header="0.3" footer="0.3"/>
  <pageSetup scale="63" fitToHeight="0" orientation="landscape" r:id="rId6"/>
  <rowBreaks count="2" manualBreakCount="2">
    <brk id="44" max="11" man="1"/>
    <brk id="94" max="11" man="1"/>
  </rowBreaks>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54"/>
  <sheetViews>
    <sheetView view="pageBreakPreview" zoomScale="80" zoomScaleNormal="70" zoomScaleSheetLayoutView="80" workbookViewId="0"/>
  </sheetViews>
  <sheetFormatPr defaultColWidth="9.1328125" defaultRowHeight="13" x14ac:dyDescent="0.6"/>
  <cols>
    <col min="1" max="1" width="13.1328125" style="201" customWidth="1"/>
    <col min="2" max="2" width="36.26953125" style="202" customWidth="1"/>
    <col min="3" max="3" width="13.40625" style="202" customWidth="1"/>
    <col min="4" max="4" width="12.54296875" style="202" customWidth="1"/>
    <col min="5" max="5" width="11.54296875" style="202" customWidth="1"/>
    <col min="6" max="6" width="12.7265625" style="202" customWidth="1"/>
    <col min="7" max="8" width="10.7265625" style="202" customWidth="1"/>
    <col min="9" max="9" width="11" style="202" customWidth="1"/>
    <col min="10" max="10" width="10.7265625" style="202" customWidth="1"/>
    <col min="11" max="11" width="12.26953125" style="202" customWidth="1"/>
    <col min="12" max="12" width="14.26953125" style="202" customWidth="1"/>
    <col min="13" max="13" width="16.54296875" style="202" customWidth="1"/>
    <col min="14" max="14" width="15.1328125" style="202" bestFit="1" customWidth="1"/>
    <col min="15" max="16" width="11.54296875" style="202" customWidth="1"/>
    <col min="17" max="17" width="15.7265625" style="202" customWidth="1"/>
    <col min="18" max="18" width="29" style="202" bestFit="1" customWidth="1"/>
    <col min="19" max="19" width="16.40625" style="202" customWidth="1"/>
    <col min="20" max="20" width="23.86328125" style="202" bestFit="1" customWidth="1"/>
    <col min="21" max="21" width="18" style="202" bestFit="1" customWidth="1"/>
    <col min="22" max="24" width="11.54296875" style="202" customWidth="1"/>
    <col min="25" max="25" width="11.26953125" style="202" bestFit="1" customWidth="1"/>
    <col min="26" max="26" width="10.1328125" style="202" customWidth="1"/>
    <col min="27" max="27" width="10.7265625" style="202" customWidth="1"/>
    <col min="28" max="28" width="12.86328125" style="202" bestFit="1" customWidth="1"/>
    <col min="29" max="29" width="9.1328125" style="202"/>
    <col min="30" max="30" width="17.54296875" style="202" customWidth="1"/>
    <col min="31" max="31" width="9.1328125" style="202"/>
    <col min="32" max="32" width="10.26953125" style="202" bestFit="1" customWidth="1"/>
    <col min="33" max="33" width="10.54296875" style="202" customWidth="1"/>
    <col min="34" max="16384" width="9.1328125" style="202"/>
  </cols>
  <sheetData>
    <row r="1" spans="1:24" x14ac:dyDescent="0.6">
      <c r="A1" s="201" t="s">
        <v>281</v>
      </c>
      <c r="C1" s="203"/>
      <c r="D1" s="203"/>
      <c r="E1" s="203"/>
      <c r="F1" s="203"/>
      <c r="G1" s="203"/>
      <c r="H1" s="203"/>
      <c r="I1" s="203"/>
      <c r="J1" s="203"/>
      <c r="K1" s="203"/>
      <c r="L1" s="203"/>
    </row>
    <row r="2" spans="1:24" ht="15.5" x14ac:dyDescent="0.7">
      <c r="B2" s="178" t="str">
        <f>Input!B7</f>
        <v>Development of BGS-RSCP Cost and Bid Factors for 2023/2024 BGS Filing</v>
      </c>
      <c r="C2" s="204"/>
      <c r="D2" s="204"/>
      <c r="E2" s="204"/>
      <c r="F2" s="204"/>
    </row>
    <row r="3" spans="1:24" x14ac:dyDescent="0.6">
      <c r="A3" s="205"/>
      <c r="B3" s="206" t="s">
        <v>91</v>
      </c>
      <c r="C3" s="204"/>
      <c r="D3" s="204"/>
      <c r="E3" s="204"/>
      <c r="F3" s="204"/>
    </row>
    <row r="4" spans="1:24" x14ac:dyDescent="0.6">
      <c r="B4" s="204"/>
      <c r="C4" s="204"/>
      <c r="D4" s="204"/>
      <c r="E4" s="207" t="str">
        <f>+Input!E9</f>
        <v>Based on average of year 2019, 2020 &amp; 2021 Load Profile Information</v>
      </c>
      <c r="F4" s="204"/>
    </row>
    <row r="5" spans="1:24" x14ac:dyDescent="0.6">
      <c r="A5" s="208" t="s">
        <v>64</v>
      </c>
      <c r="B5" s="11" t="s">
        <v>129</v>
      </c>
      <c r="C5" s="209"/>
      <c r="D5" s="204"/>
      <c r="E5" s="207" t="s">
        <v>60</v>
      </c>
      <c r="F5" s="204"/>
      <c r="N5" s="11"/>
      <c r="O5" s="11" t="s">
        <v>173</v>
      </c>
      <c r="P5" s="204"/>
      <c r="Q5" s="204"/>
      <c r="R5" s="204"/>
      <c r="S5" s="204"/>
      <c r="T5" s="204"/>
      <c r="U5" s="204"/>
      <c r="V5" s="204"/>
      <c r="W5" s="204"/>
      <c r="X5" s="204"/>
    </row>
    <row r="6" spans="1:24" ht="39" x14ac:dyDescent="0.6">
      <c r="A6" s="210"/>
      <c r="B6" s="204"/>
      <c r="C6" s="211" t="s">
        <v>50</v>
      </c>
      <c r="D6" s="211" t="s">
        <v>50</v>
      </c>
      <c r="E6" s="211" t="s">
        <v>50</v>
      </c>
      <c r="F6" s="211" t="s">
        <v>50</v>
      </c>
      <c r="G6" s="211" t="s">
        <v>50</v>
      </c>
      <c r="H6" s="211" t="s">
        <v>50</v>
      </c>
      <c r="I6" s="207" t="s">
        <v>96</v>
      </c>
      <c r="J6" s="212"/>
      <c r="K6" s="211" t="s">
        <v>50</v>
      </c>
      <c r="L6" s="211" t="s">
        <v>50</v>
      </c>
      <c r="M6" s="211"/>
      <c r="N6" s="207"/>
      <c r="O6" s="211" t="s">
        <v>50</v>
      </c>
      <c r="P6" s="211" t="s">
        <v>50</v>
      </c>
      <c r="Q6" s="211" t="s">
        <v>50</v>
      </c>
      <c r="R6" s="211" t="s">
        <v>50</v>
      </c>
      <c r="S6" s="211" t="s">
        <v>50</v>
      </c>
      <c r="T6" s="211" t="s">
        <v>50</v>
      </c>
      <c r="U6" s="207" t="s">
        <v>43</v>
      </c>
      <c r="V6" s="212"/>
      <c r="W6" s="211" t="s">
        <v>50</v>
      </c>
      <c r="X6" s="211" t="s">
        <v>50</v>
      </c>
    </row>
    <row r="7" spans="1:24" x14ac:dyDescent="0.6">
      <c r="A7" s="210"/>
      <c r="B7" s="213" t="s">
        <v>233</v>
      </c>
      <c r="C7" s="203" t="s">
        <v>0</v>
      </c>
      <c r="D7" s="203" t="s">
        <v>1</v>
      </c>
      <c r="E7" s="203" t="s">
        <v>2</v>
      </c>
      <c r="F7" s="203" t="s">
        <v>3</v>
      </c>
      <c r="G7" s="203" t="s">
        <v>4</v>
      </c>
      <c r="H7" s="203" t="s">
        <v>6</v>
      </c>
      <c r="I7" s="203" t="s">
        <v>37</v>
      </c>
      <c r="J7" s="203" t="s">
        <v>38</v>
      </c>
      <c r="K7" s="203" t="s">
        <v>5</v>
      </c>
      <c r="L7" s="203" t="s">
        <v>36</v>
      </c>
      <c r="M7" s="214"/>
      <c r="N7" s="215"/>
      <c r="O7" s="203" t="str">
        <f>+C7</f>
        <v>RS</v>
      </c>
      <c r="P7" s="203" t="str">
        <f t="shared" ref="P7:X7" si="0">+D7</f>
        <v>RHS</v>
      </c>
      <c r="Q7" s="203" t="str">
        <f t="shared" si="0"/>
        <v>RLM</v>
      </c>
      <c r="R7" s="203" t="str">
        <f t="shared" si="0"/>
        <v>WH</v>
      </c>
      <c r="S7" s="203" t="str">
        <f t="shared" si="0"/>
        <v>WHS</v>
      </c>
      <c r="T7" s="203" t="str">
        <f t="shared" si="0"/>
        <v>HS</v>
      </c>
      <c r="U7" s="203" t="str">
        <f t="shared" si="0"/>
        <v>PSAL</v>
      </c>
      <c r="V7" s="203" t="str">
        <f t="shared" si="0"/>
        <v>BPL</v>
      </c>
      <c r="W7" s="203" t="str">
        <f t="shared" si="0"/>
        <v>GLP</v>
      </c>
      <c r="X7" s="203" t="str">
        <f t="shared" si="0"/>
        <v>LPL-S</v>
      </c>
    </row>
    <row r="8" spans="1:24" x14ac:dyDescent="0.6">
      <c r="A8" s="210"/>
      <c r="C8" s="203"/>
      <c r="D8" s="203"/>
      <c r="E8" s="203"/>
      <c r="F8" s="203"/>
      <c r="G8" s="203"/>
      <c r="H8" s="203"/>
      <c r="I8" s="203"/>
      <c r="J8" s="203"/>
      <c r="K8" s="203"/>
      <c r="L8" s="203"/>
      <c r="O8" s="204"/>
      <c r="P8" s="204"/>
      <c r="Q8" s="204"/>
      <c r="R8" s="204"/>
      <c r="S8" s="204"/>
      <c r="T8" s="204"/>
      <c r="U8" s="204"/>
      <c r="V8" s="204"/>
      <c r="W8" s="204"/>
      <c r="X8" s="204"/>
    </row>
    <row r="9" spans="1:24" s="230" customFormat="1" x14ac:dyDescent="0.6">
      <c r="A9" s="210"/>
      <c r="B9" s="337" t="s">
        <v>7</v>
      </c>
      <c r="C9" s="320">
        <f>Input!C14</f>
        <v>0.48099999999999998</v>
      </c>
      <c r="D9" s="320">
        <f>Input!D14</f>
        <v>0.47470000000000001</v>
      </c>
      <c r="E9" s="320">
        <f>Input!E14</f>
        <v>0.47470000000000001</v>
      </c>
      <c r="F9" s="320">
        <f>Input!F14</f>
        <v>0.48099999999999998</v>
      </c>
      <c r="G9" s="320">
        <f>Input!G14</f>
        <v>0.48099999999999998</v>
      </c>
      <c r="H9" s="320">
        <f>Input!H14</f>
        <v>0.48599999999999999</v>
      </c>
      <c r="I9" s="320">
        <f>Input!I14</f>
        <v>0.30470000000000003</v>
      </c>
      <c r="J9" s="320">
        <f>Input!J14</f>
        <v>0.30470000000000003</v>
      </c>
      <c r="K9" s="320">
        <f>Input!K14</f>
        <v>0.53900000000000003</v>
      </c>
      <c r="L9" s="320">
        <f>Input!L14</f>
        <v>0.51970000000000005</v>
      </c>
      <c r="M9" s="338"/>
      <c r="N9" s="339"/>
      <c r="O9" s="339">
        <f t="shared" ref="O9:X9" si="1">1-C9</f>
        <v>0.51900000000000002</v>
      </c>
      <c r="P9" s="339">
        <f t="shared" si="1"/>
        <v>0.52529999999999999</v>
      </c>
      <c r="Q9" s="339">
        <f t="shared" si="1"/>
        <v>0.52529999999999999</v>
      </c>
      <c r="R9" s="339">
        <f t="shared" si="1"/>
        <v>0.51900000000000002</v>
      </c>
      <c r="S9" s="339">
        <f t="shared" si="1"/>
        <v>0.51900000000000002</v>
      </c>
      <c r="T9" s="339">
        <f t="shared" si="1"/>
        <v>0.51400000000000001</v>
      </c>
      <c r="U9" s="339">
        <f t="shared" si="1"/>
        <v>0.69530000000000003</v>
      </c>
      <c r="V9" s="339">
        <f t="shared" si="1"/>
        <v>0.69530000000000003</v>
      </c>
      <c r="W9" s="339">
        <f t="shared" si="1"/>
        <v>0.46099999999999997</v>
      </c>
      <c r="X9" s="339">
        <f t="shared" si="1"/>
        <v>0.48029999999999995</v>
      </c>
    </row>
    <row r="10" spans="1:24" s="230" customFormat="1" x14ac:dyDescent="0.6">
      <c r="A10" s="210"/>
      <c r="B10" s="337" t="s">
        <v>8</v>
      </c>
      <c r="C10" s="320">
        <f>Input!C15</f>
        <v>0.48870000000000002</v>
      </c>
      <c r="D10" s="320">
        <f>Input!D15</f>
        <v>0.47099999999999997</v>
      </c>
      <c r="E10" s="320">
        <f>Input!E15</f>
        <v>0.48170000000000002</v>
      </c>
      <c r="F10" s="320">
        <f>Input!F15</f>
        <v>0.48870000000000002</v>
      </c>
      <c r="G10" s="320">
        <f>Input!G15</f>
        <v>0.48870000000000002</v>
      </c>
      <c r="H10" s="320">
        <f>Input!H15</f>
        <v>0.48230000000000001</v>
      </c>
      <c r="I10" s="320">
        <f>Input!I15</f>
        <v>0.2913</v>
      </c>
      <c r="J10" s="320">
        <f>Input!J15</f>
        <v>0.2913</v>
      </c>
      <c r="K10" s="320">
        <f>Input!K15</f>
        <v>0.5413</v>
      </c>
      <c r="L10" s="320">
        <f>Input!L15</f>
        <v>0.52700000000000002</v>
      </c>
      <c r="M10" s="338"/>
      <c r="N10" s="339"/>
      <c r="O10" s="339">
        <f t="shared" ref="O10:O20" si="2">1-C10</f>
        <v>0.51129999999999998</v>
      </c>
      <c r="P10" s="339">
        <f t="shared" ref="P10:P20" si="3">1-D10</f>
        <v>0.52900000000000003</v>
      </c>
      <c r="Q10" s="339">
        <f t="shared" ref="Q10:Q20" si="4">1-E10</f>
        <v>0.51829999999999998</v>
      </c>
      <c r="R10" s="339">
        <f t="shared" ref="R10:R20" si="5">1-F10</f>
        <v>0.51129999999999998</v>
      </c>
      <c r="S10" s="339">
        <f t="shared" ref="S10:S20" si="6">1-G10</f>
        <v>0.51129999999999998</v>
      </c>
      <c r="T10" s="339">
        <f t="shared" ref="T10:T20" si="7">1-H10</f>
        <v>0.51770000000000005</v>
      </c>
      <c r="U10" s="339">
        <f t="shared" ref="U10:U20" si="8">1-I10</f>
        <v>0.7087</v>
      </c>
      <c r="V10" s="339">
        <f t="shared" ref="V10:V20" si="9">1-J10</f>
        <v>0.7087</v>
      </c>
      <c r="W10" s="339">
        <f t="shared" ref="W10:W20" si="10">1-K10</f>
        <v>0.4587</v>
      </c>
      <c r="X10" s="339">
        <f t="shared" ref="X10:X20" si="11">1-L10</f>
        <v>0.47299999999999998</v>
      </c>
    </row>
    <row r="11" spans="1:24" s="230" customFormat="1" x14ac:dyDescent="0.6">
      <c r="A11" s="210"/>
      <c r="B11" s="337" t="s">
        <v>9</v>
      </c>
      <c r="C11" s="320">
        <f>Input!C16</f>
        <v>0.497</v>
      </c>
      <c r="D11" s="320">
        <f>Input!D16</f>
        <v>0.48430000000000001</v>
      </c>
      <c r="E11" s="320">
        <f>Input!E16</f>
        <v>0.48399999999999999</v>
      </c>
      <c r="F11" s="320">
        <f>Input!F16</f>
        <v>0.497</v>
      </c>
      <c r="G11" s="320">
        <f>Input!G16</f>
        <v>0.497</v>
      </c>
      <c r="H11" s="320">
        <f>Input!H16</f>
        <v>0.49969999999999998</v>
      </c>
      <c r="I11" s="320">
        <f>Input!I16</f>
        <v>0.254</v>
      </c>
      <c r="J11" s="320">
        <f>Input!J16</f>
        <v>0.254</v>
      </c>
      <c r="K11" s="320">
        <f>Input!K16</f>
        <v>0.55300000000000005</v>
      </c>
      <c r="L11" s="320">
        <f>Input!L16</f>
        <v>0.53600000000000003</v>
      </c>
      <c r="M11" s="338"/>
      <c r="N11" s="339"/>
      <c r="O11" s="339">
        <f t="shared" si="2"/>
        <v>0.503</v>
      </c>
      <c r="P11" s="339">
        <f t="shared" si="3"/>
        <v>0.51570000000000005</v>
      </c>
      <c r="Q11" s="339">
        <f t="shared" si="4"/>
        <v>0.51600000000000001</v>
      </c>
      <c r="R11" s="339">
        <f t="shared" si="5"/>
        <v>0.503</v>
      </c>
      <c r="S11" s="339">
        <f t="shared" si="6"/>
        <v>0.503</v>
      </c>
      <c r="T11" s="339">
        <f t="shared" si="7"/>
        <v>0.50029999999999997</v>
      </c>
      <c r="U11" s="339">
        <f t="shared" si="8"/>
        <v>0.746</v>
      </c>
      <c r="V11" s="339">
        <f t="shared" si="9"/>
        <v>0.746</v>
      </c>
      <c r="W11" s="339">
        <f t="shared" si="10"/>
        <v>0.44699999999999995</v>
      </c>
      <c r="X11" s="339">
        <f t="shared" si="11"/>
        <v>0.46399999999999997</v>
      </c>
    </row>
    <row r="12" spans="1:24" s="230" customFormat="1" x14ac:dyDescent="0.6">
      <c r="A12" s="210"/>
      <c r="B12" s="337" t="s">
        <v>10</v>
      </c>
      <c r="C12" s="320">
        <f>Input!C17</f>
        <v>0.51700000000000002</v>
      </c>
      <c r="D12" s="320">
        <f>Input!D17</f>
        <v>0.51729999999999998</v>
      </c>
      <c r="E12" s="320">
        <f>Input!E17</f>
        <v>0.50600000000000001</v>
      </c>
      <c r="F12" s="320">
        <f>Input!F17</f>
        <v>0.51700000000000002</v>
      </c>
      <c r="G12" s="320">
        <f>Input!G17</f>
        <v>0.51700000000000002</v>
      </c>
      <c r="H12" s="320">
        <f>Input!H17</f>
        <v>0.53269999999999995</v>
      </c>
      <c r="I12" s="320">
        <f>Input!I17</f>
        <v>0.23300000000000001</v>
      </c>
      <c r="J12" s="320">
        <f>Input!J17</f>
        <v>0.23300000000000001</v>
      </c>
      <c r="K12" s="320">
        <f>Input!K17</f>
        <v>0.56969999999999998</v>
      </c>
      <c r="L12" s="320">
        <f>Input!L17</f>
        <v>0.55169999999999997</v>
      </c>
      <c r="M12" s="338"/>
      <c r="N12" s="339"/>
      <c r="O12" s="339">
        <f t="shared" si="2"/>
        <v>0.48299999999999998</v>
      </c>
      <c r="P12" s="339">
        <f t="shared" si="3"/>
        <v>0.48270000000000002</v>
      </c>
      <c r="Q12" s="339">
        <f t="shared" si="4"/>
        <v>0.49399999999999999</v>
      </c>
      <c r="R12" s="339">
        <f t="shared" si="5"/>
        <v>0.48299999999999998</v>
      </c>
      <c r="S12" s="339">
        <f t="shared" si="6"/>
        <v>0.48299999999999998</v>
      </c>
      <c r="T12" s="339">
        <f t="shared" si="7"/>
        <v>0.46730000000000005</v>
      </c>
      <c r="U12" s="339">
        <f t="shared" si="8"/>
        <v>0.76700000000000002</v>
      </c>
      <c r="V12" s="339">
        <f t="shared" si="9"/>
        <v>0.76700000000000002</v>
      </c>
      <c r="W12" s="339">
        <f t="shared" si="10"/>
        <v>0.43030000000000002</v>
      </c>
      <c r="X12" s="339">
        <f t="shared" si="11"/>
        <v>0.44830000000000003</v>
      </c>
    </row>
    <row r="13" spans="1:24" s="230" customFormat="1" x14ac:dyDescent="0.6">
      <c r="A13" s="210"/>
      <c r="B13" s="337" t="s">
        <v>11</v>
      </c>
      <c r="C13" s="320">
        <f>Input!C18</f>
        <v>0.46829999999999999</v>
      </c>
      <c r="D13" s="320">
        <f>Input!D18</f>
        <v>0.47170000000000001</v>
      </c>
      <c r="E13" s="320">
        <f>Input!E18</f>
        <v>0.46629999999999999</v>
      </c>
      <c r="F13" s="320">
        <f>Input!F18</f>
        <v>0.46829999999999999</v>
      </c>
      <c r="G13" s="320">
        <f>Input!G18</f>
        <v>0.46829999999999999</v>
      </c>
      <c r="H13" s="320">
        <f>Input!H18</f>
        <v>0.53</v>
      </c>
      <c r="I13" s="320">
        <f>Input!I18</f>
        <v>0.1983</v>
      </c>
      <c r="J13" s="320">
        <f>Input!J18</f>
        <v>0.1983</v>
      </c>
      <c r="K13" s="320">
        <f>Input!K18</f>
        <v>0.53129999999999999</v>
      </c>
      <c r="L13" s="320">
        <f>Input!L18</f>
        <v>0.51</v>
      </c>
      <c r="M13" s="338"/>
      <c r="N13" s="339"/>
      <c r="O13" s="339">
        <f t="shared" si="2"/>
        <v>0.53170000000000006</v>
      </c>
      <c r="P13" s="339">
        <f t="shared" si="3"/>
        <v>0.52829999999999999</v>
      </c>
      <c r="Q13" s="339">
        <f t="shared" si="4"/>
        <v>0.53370000000000006</v>
      </c>
      <c r="R13" s="339">
        <f t="shared" si="5"/>
        <v>0.53170000000000006</v>
      </c>
      <c r="S13" s="339">
        <f t="shared" si="6"/>
        <v>0.53170000000000006</v>
      </c>
      <c r="T13" s="339">
        <f t="shared" si="7"/>
        <v>0.47</v>
      </c>
      <c r="U13" s="339">
        <f t="shared" si="8"/>
        <v>0.80169999999999997</v>
      </c>
      <c r="V13" s="339">
        <f t="shared" si="9"/>
        <v>0.80169999999999997</v>
      </c>
      <c r="W13" s="339">
        <f t="shared" si="10"/>
        <v>0.46870000000000001</v>
      </c>
      <c r="X13" s="339">
        <f t="shared" si="11"/>
        <v>0.49</v>
      </c>
    </row>
    <row r="14" spans="1:24" s="230" customFormat="1" x14ac:dyDescent="0.6">
      <c r="A14" s="210"/>
      <c r="B14" s="337" t="s">
        <v>12</v>
      </c>
      <c r="C14" s="320">
        <f>Input!C19</f>
        <v>0.51900000000000002</v>
      </c>
      <c r="D14" s="320">
        <f>Input!D19</f>
        <v>0.52829999999999999</v>
      </c>
      <c r="E14" s="320">
        <f>Input!E19</f>
        <v>0.52769999999999995</v>
      </c>
      <c r="F14" s="320">
        <f>Input!F19</f>
        <v>0.51900000000000002</v>
      </c>
      <c r="G14" s="320">
        <f>Input!G19</f>
        <v>0.51900000000000002</v>
      </c>
      <c r="H14" s="320">
        <f>Input!H19</f>
        <v>0.60970000000000002</v>
      </c>
      <c r="I14" s="320">
        <f>Input!I19</f>
        <v>0.20069999999999999</v>
      </c>
      <c r="J14" s="320">
        <f>Input!J19</f>
        <v>0.20069999999999999</v>
      </c>
      <c r="K14" s="320">
        <f>Input!K19</f>
        <v>0.57769999999999999</v>
      </c>
      <c r="L14" s="320">
        <f>Input!L19</f>
        <v>0.55500000000000005</v>
      </c>
      <c r="M14" s="338"/>
      <c r="N14" s="339"/>
      <c r="O14" s="339">
        <f t="shared" si="2"/>
        <v>0.48099999999999998</v>
      </c>
      <c r="P14" s="339">
        <f t="shared" si="3"/>
        <v>0.47170000000000001</v>
      </c>
      <c r="Q14" s="339">
        <f t="shared" si="4"/>
        <v>0.47230000000000005</v>
      </c>
      <c r="R14" s="339">
        <f t="shared" si="5"/>
        <v>0.48099999999999998</v>
      </c>
      <c r="S14" s="339">
        <f t="shared" si="6"/>
        <v>0.48099999999999998</v>
      </c>
      <c r="T14" s="339">
        <f t="shared" si="7"/>
        <v>0.39029999999999998</v>
      </c>
      <c r="U14" s="339">
        <f t="shared" si="8"/>
        <v>0.79930000000000001</v>
      </c>
      <c r="V14" s="339">
        <f t="shared" si="9"/>
        <v>0.79930000000000001</v>
      </c>
      <c r="W14" s="339">
        <f t="shared" si="10"/>
        <v>0.42230000000000001</v>
      </c>
      <c r="X14" s="339">
        <f t="shared" si="11"/>
        <v>0.44499999999999995</v>
      </c>
    </row>
    <row r="15" spans="1:24" s="230" customFormat="1" x14ac:dyDescent="0.6">
      <c r="A15" s="210"/>
      <c r="B15" s="337" t="s">
        <v>13</v>
      </c>
      <c r="C15" s="320">
        <f>Input!C20</f>
        <v>0.53069999999999995</v>
      </c>
      <c r="D15" s="320">
        <f>Input!D20</f>
        <v>0.53800000000000003</v>
      </c>
      <c r="E15" s="320">
        <f>Input!E20</f>
        <v>0.5373</v>
      </c>
      <c r="F15" s="320">
        <f>Input!F20</f>
        <v>0.53069999999999995</v>
      </c>
      <c r="G15" s="320">
        <f>Input!G20</f>
        <v>0.53069999999999995</v>
      </c>
      <c r="H15" s="320">
        <f>Input!H20</f>
        <v>0.61699999999999999</v>
      </c>
      <c r="I15" s="320">
        <f>Input!I20</f>
        <v>0.20100000000000001</v>
      </c>
      <c r="J15" s="320">
        <f>Input!J20</f>
        <v>0.20100000000000001</v>
      </c>
      <c r="K15" s="320">
        <f>Input!K20</f>
        <v>0.5857</v>
      </c>
      <c r="L15" s="320">
        <f>Input!L20</f>
        <v>0.55569999999999997</v>
      </c>
      <c r="M15" s="338"/>
      <c r="N15" s="339"/>
      <c r="O15" s="339">
        <f t="shared" si="2"/>
        <v>0.46930000000000005</v>
      </c>
      <c r="P15" s="339">
        <f t="shared" si="3"/>
        <v>0.46199999999999997</v>
      </c>
      <c r="Q15" s="339">
        <f t="shared" si="4"/>
        <v>0.4627</v>
      </c>
      <c r="R15" s="339">
        <f t="shared" si="5"/>
        <v>0.46930000000000005</v>
      </c>
      <c r="S15" s="339">
        <f t="shared" si="6"/>
        <v>0.46930000000000005</v>
      </c>
      <c r="T15" s="339">
        <f t="shared" si="7"/>
        <v>0.38300000000000001</v>
      </c>
      <c r="U15" s="339">
        <f t="shared" si="8"/>
        <v>0.79899999999999993</v>
      </c>
      <c r="V15" s="339">
        <f t="shared" si="9"/>
        <v>0.79899999999999993</v>
      </c>
      <c r="W15" s="339">
        <f t="shared" si="10"/>
        <v>0.4143</v>
      </c>
      <c r="X15" s="339">
        <f t="shared" si="11"/>
        <v>0.44430000000000003</v>
      </c>
    </row>
    <row r="16" spans="1:24" s="230" customFormat="1" x14ac:dyDescent="0.6">
      <c r="A16" s="210"/>
      <c r="B16" s="337" t="s">
        <v>14</v>
      </c>
      <c r="C16" s="320">
        <f>Input!C21</f>
        <v>0.52129999999999999</v>
      </c>
      <c r="D16" s="320">
        <f>Input!D21</f>
        <v>0.52669999999999995</v>
      </c>
      <c r="E16" s="320">
        <f>Input!E21</f>
        <v>0.52629999999999999</v>
      </c>
      <c r="F16" s="320">
        <f>Input!F21</f>
        <v>0.52129999999999999</v>
      </c>
      <c r="G16" s="320">
        <f>Input!G21</f>
        <v>0.52129999999999999</v>
      </c>
      <c r="H16" s="320">
        <f>Input!H21</f>
        <v>0.61029999999999995</v>
      </c>
      <c r="I16" s="320">
        <f>Input!I21</f>
        <v>0.21199999999999999</v>
      </c>
      <c r="J16" s="320">
        <f>Input!J21</f>
        <v>0.21199999999999999</v>
      </c>
      <c r="K16" s="320">
        <f>Input!K21</f>
        <v>0.57599999999999996</v>
      </c>
      <c r="L16" s="320">
        <f>Input!L21</f>
        <v>0.54369999999999996</v>
      </c>
      <c r="M16" s="338"/>
      <c r="N16" s="339"/>
      <c r="O16" s="339">
        <f t="shared" si="2"/>
        <v>0.47870000000000001</v>
      </c>
      <c r="P16" s="339">
        <f t="shared" si="3"/>
        <v>0.47330000000000005</v>
      </c>
      <c r="Q16" s="339">
        <f t="shared" si="4"/>
        <v>0.47370000000000001</v>
      </c>
      <c r="R16" s="339">
        <f t="shared" si="5"/>
        <v>0.47870000000000001</v>
      </c>
      <c r="S16" s="339">
        <f t="shared" si="6"/>
        <v>0.47870000000000001</v>
      </c>
      <c r="T16" s="339">
        <f t="shared" si="7"/>
        <v>0.38970000000000005</v>
      </c>
      <c r="U16" s="339">
        <f t="shared" si="8"/>
        <v>0.78800000000000003</v>
      </c>
      <c r="V16" s="339">
        <f t="shared" si="9"/>
        <v>0.78800000000000003</v>
      </c>
      <c r="W16" s="339">
        <f t="shared" si="10"/>
        <v>0.42400000000000004</v>
      </c>
      <c r="X16" s="339">
        <f t="shared" si="11"/>
        <v>0.45630000000000004</v>
      </c>
    </row>
    <row r="17" spans="1:24" s="230" customFormat="1" x14ac:dyDescent="0.6">
      <c r="A17" s="210"/>
      <c r="B17" s="337" t="s">
        <v>15</v>
      </c>
      <c r="C17" s="320">
        <f>Input!C22</f>
        <v>0.49830000000000002</v>
      </c>
      <c r="D17" s="320">
        <f>Input!D22</f>
        <v>0.50800000000000001</v>
      </c>
      <c r="E17" s="320">
        <f>Input!E22</f>
        <v>0.50270000000000004</v>
      </c>
      <c r="F17" s="320">
        <f>Input!F22</f>
        <v>0.49830000000000002</v>
      </c>
      <c r="G17" s="320">
        <f>Input!G22</f>
        <v>0.49830000000000002</v>
      </c>
      <c r="H17" s="320">
        <f>Input!H22</f>
        <v>0.5927</v>
      </c>
      <c r="I17" s="320">
        <f>Input!I22</f>
        <v>0.23369999999999999</v>
      </c>
      <c r="J17" s="320">
        <f>Input!J22</f>
        <v>0.23369999999999999</v>
      </c>
      <c r="K17" s="320">
        <f>Input!K22</f>
        <v>0.56630000000000003</v>
      </c>
      <c r="L17" s="320">
        <f>Input!L22</f>
        <v>0.54469999999999996</v>
      </c>
      <c r="M17" s="338"/>
      <c r="N17" s="339"/>
      <c r="O17" s="339">
        <f t="shared" si="2"/>
        <v>0.50170000000000003</v>
      </c>
      <c r="P17" s="339">
        <f t="shared" si="3"/>
        <v>0.49199999999999999</v>
      </c>
      <c r="Q17" s="339">
        <f t="shared" si="4"/>
        <v>0.49729999999999996</v>
      </c>
      <c r="R17" s="339">
        <f t="shared" si="5"/>
        <v>0.50170000000000003</v>
      </c>
      <c r="S17" s="339">
        <f t="shared" si="6"/>
        <v>0.50170000000000003</v>
      </c>
      <c r="T17" s="339">
        <f t="shared" si="7"/>
        <v>0.4073</v>
      </c>
      <c r="U17" s="339">
        <f t="shared" si="8"/>
        <v>0.76629999999999998</v>
      </c>
      <c r="V17" s="339">
        <f t="shared" si="9"/>
        <v>0.76629999999999998</v>
      </c>
      <c r="W17" s="339">
        <f t="shared" si="10"/>
        <v>0.43369999999999997</v>
      </c>
      <c r="X17" s="339">
        <f t="shared" si="11"/>
        <v>0.45530000000000004</v>
      </c>
    </row>
    <row r="18" spans="1:24" s="230" customFormat="1" x14ac:dyDescent="0.6">
      <c r="A18" s="210"/>
      <c r="B18" s="337" t="s">
        <v>16</v>
      </c>
      <c r="C18" s="320">
        <f>Input!C23</f>
        <v>0.50970000000000004</v>
      </c>
      <c r="D18" s="320">
        <f>Input!D23</f>
        <v>0.51229999999999998</v>
      </c>
      <c r="E18" s="320">
        <f>Input!E23</f>
        <v>0.50029999999999997</v>
      </c>
      <c r="F18" s="320">
        <f>Input!F23</f>
        <v>0.50970000000000004</v>
      </c>
      <c r="G18" s="320">
        <f>Input!G23</f>
        <v>0.50970000000000004</v>
      </c>
      <c r="H18" s="320">
        <f>Input!H23</f>
        <v>0.57369999999999999</v>
      </c>
      <c r="I18" s="320">
        <f>Input!I23</f>
        <v>0.26929999999999998</v>
      </c>
      <c r="J18" s="320">
        <f>Input!J23</f>
        <v>0.26929999999999998</v>
      </c>
      <c r="K18" s="320">
        <f>Input!K23</f>
        <v>0.57369999999999999</v>
      </c>
      <c r="L18" s="320">
        <f>Input!L23</f>
        <v>0.55569999999999997</v>
      </c>
      <c r="M18" s="338"/>
      <c r="N18" s="339"/>
      <c r="O18" s="339">
        <f t="shared" si="2"/>
        <v>0.49029999999999996</v>
      </c>
      <c r="P18" s="339">
        <f t="shared" si="3"/>
        <v>0.48770000000000002</v>
      </c>
      <c r="Q18" s="339">
        <f t="shared" si="4"/>
        <v>0.49970000000000003</v>
      </c>
      <c r="R18" s="339">
        <f t="shared" si="5"/>
        <v>0.49029999999999996</v>
      </c>
      <c r="S18" s="339">
        <f t="shared" si="6"/>
        <v>0.49029999999999996</v>
      </c>
      <c r="T18" s="339">
        <f t="shared" si="7"/>
        <v>0.42630000000000001</v>
      </c>
      <c r="U18" s="339">
        <f t="shared" si="8"/>
        <v>0.73070000000000002</v>
      </c>
      <c r="V18" s="339">
        <f t="shared" si="9"/>
        <v>0.73070000000000002</v>
      </c>
      <c r="W18" s="339">
        <f t="shared" si="10"/>
        <v>0.42630000000000001</v>
      </c>
      <c r="X18" s="339">
        <f t="shared" si="11"/>
        <v>0.44430000000000003</v>
      </c>
    </row>
    <row r="19" spans="1:24" s="230" customFormat="1" x14ac:dyDescent="0.6">
      <c r="A19" s="210"/>
      <c r="B19" s="337" t="s">
        <v>17</v>
      </c>
      <c r="C19" s="320">
        <f>Input!C24</f>
        <v>0.4713</v>
      </c>
      <c r="D19" s="320">
        <f>Input!D24</f>
        <v>0.4597</v>
      </c>
      <c r="E19" s="320">
        <f>Input!E24</f>
        <v>0.45900000000000002</v>
      </c>
      <c r="F19" s="320">
        <f>Input!F24</f>
        <v>0.4713</v>
      </c>
      <c r="G19" s="320">
        <f>Input!G24</f>
        <v>0.4713</v>
      </c>
      <c r="H19" s="320">
        <f>Input!H24</f>
        <v>0.48099999999999998</v>
      </c>
      <c r="I19" s="320">
        <f>Input!I24</f>
        <v>0.30170000000000002</v>
      </c>
      <c r="J19" s="320">
        <f>Input!J24</f>
        <v>0.30170000000000002</v>
      </c>
      <c r="K19" s="320">
        <f>Input!K24</f>
        <v>0.53369999999999995</v>
      </c>
      <c r="L19" s="320">
        <f>Input!L24</f>
        <v>0.51800000000000002</v>
      </c>
      <c r="M19" s="338"/>
      <c r="N19" s="339"/>
      <c r="O19" s="339">
        <f t="shared" si="2"/>
        <v>0.52869999999999995</v>
      </c>
      <c r="P19" s="339">
        <f t="shared" si="3"/>
        <v>0.5403</v>
      </c>
      <c r="Q19" s="339">
        <f t="shared" si="4"/>
        <v>0.54099999999999993</v>
      </c>
      <c r="R19" s="339">
        <f t="shared" si="5"/>
        <v>0.52869999999999995</v>
      </c>
      <c r="S19" s="339">
        <f t="shared" si="6"/>
        <v>0.52869999999999995</v>
      </c>
      <c r="T19" s="339">
        <f t="shared" si="7"/>
        <v>0.51900000000000002</v>
      </c>
      <c r="U19" s="339">
        <f t="shared" si="8"/>
        <v>0.69829999999999992</v>
      </c>
      <c r="V19" s="339">
        <f t="shared" si="9"/>
        <v>0.69829999999999992</v>
      </c>
      <c r="W19" s="339">
        <f t="shared" si="10"/>
        <v>0.46630000000000005</v>
      </c>
      <c r="X19" s="339">
        <f t="shared" si="11"/>
        <v>0.48199999999999998</v>
      </c>
    </row>
    <row r="20" spans="1:24" s="230" customFormat="1" x14ac:dyDescent="0.6">
      <c r="A20" s="210"/>
      <c r="B20" s="337" t="s">
        <v>18</v>
      </c>
      <c r="C20" s="320">
        <f>Input!C25</f>
        <v>0.50070000000000003</v>
      </c>
      <c r="D20" s="320">
        <f>Input!D25</f>
        <v>0.48899999999999999</v>
      </c>
      <c r="E20" s="320">
        <f>Input!E25</f>
        <v>0.49270000000000003</v>
      </c>
      <c r="F20" s="320">
        <f>Input!F25</f>
        <v>0.50070000000000003</v>
      </c>
      <c r="G20" s="320">
        <f>Input!G25</f>
        <v>0.50070000000000003</v>
      </c>
      <c r="H20" s="320">
        <f>Input!H25</f>
        <v>0.497</v>
      </c>
      <c r="I20" s="320">
        <f>Input!I25</f>
        <v>0.32300000000000001</v>
      </c>
      <c r="J20" s="320">
        <f>Input!J25</f>
        <v>0.32300000000000001</v>
      </c>
      <c r="K20" s="320">
        <f>Input!K25</f>
        <v>0.54869999999999997</v>
      </c>
      <c r="L20" s="320">
        <f>Input!L25</f>
        <v>0.53169999999999995</v>
      </c>
      <c r="M20" s="338"/>
      <c r="N20" s="339"/>
      <c r="O20" s="339">
        <f t="shared" si="2"/>
        <v>0.49929999999999997</v>
      </c>
      <c r="P20" s="339">
        <f t="shared" si="3"/>
        <v>0.51100000000000001</v>
      </c>
      <c r="Q20" s="339">
        <f t="shared" si="4"/>
        <v>0.50729999999999997</v>
      </c>
      <c r="R20" s="339">
        <f t="shared" si="5"/>
        <v>0.49929999999999997</v>
      </c>
      <c r="S20" s="339">
        <f t="shared" si="6"/>
        <v>0.49929999999999997</v>
      </c>
      <c r="T20" s="339">
        <f t="shared" si="7"/>
        <v>0.503</v>
      </c>
      <c r="U20" s="339">
        <f t="shared" si="8"/>
        <v>0.67700000000000005</v>
      </c>
      <c r="V20" s="339">
        <f t="shared" si="9"/>
        <v>0.67700000000000005</v>
      </c>
      <c r="W20" s="339">
        <f t="shared" si="10"/>
        <v>0.45130000000000003</v>
      </c>
      <c r="X20" s="339">
        <f t="shared" si="11"/>
        <v>0.46830000000000005</v>
      </c>
    </row>
    <row r="21" spans="1:24" s="230" customFormat="1" x14ac:dyDescent="0.6">
      <c r="A21" s="210"/>
      <c r="B21" s="337"/>
      <c r="C21" s="339"/>
      <c r="D21" s="339"/>
      <c r="E21" s="339"/>
      <c r="F21" s="339"/>
      <c r="G21" s="339"/>
      <c r="H21" s="339"/>
      <c r="I21" s="339"/>
      <c r="J21" s="339"/>
      <c r="K21" s="339"/>
      <c r="L21" s="339"/>
      <c r="M21" s="339"/>
      <c r="N21" s="339"/>
      <c r="O21" s="339"/>
      <c r="P21" s="339"/>
      <c r="Q21" s="339"/>
      <c r="R21" s="339"/>
      <c r="S21" s="339"/>
      <c r="T21" s="339"/>
      <c r="U21" s="339"/>
      <c r="V21" s="339"/>
      <c r="W21" s="339"/>
      <c r="X21" s="339"/>
    </row>
    <row r="22" spans="1:24" s="230" customFormat="1" x14ac:dyDescent="0.6">
      <c r="A22" s="210"/>
      <c r="B22" s="337"/>
      <c r="C22" s="339"/>
      <c r="D22" s="339"/>
      <c r="E22" s="207" t="str">
        <f>+Input!E9</f>
        <v>Based on average of year 2019, 2020 &amp; 2021 Load Profile Information</v>
      </c>
      <c r="K22" s="339"/>
      <c r="L22" s="339"/>
      <c r="M22" s="339"/>
      <c r="N22" s="339"/>
      <c r="O22" s="339"/>
      <c r="P22" s="339"/>
      <c r="Q22" s="339"/>
      <c r="R22" s="339"/>
      <c r="S22" s="339"/>
      <c r="T22" s="339"/>
      <c r="U22" s="339"/>
      <c r="V22" s="339"/>
      <c r="W22" s="339"/>
      <c r="X22" s="339"/>
    </row>
    <row r="23" spans="1:24" s="230" customFormat="1" x14ac:dyDescent="0.6">
      <c r="A23" s="208" t="s">
        <v>65</v>
      </c>
      <c r="B23" s="11" t="s">
        <v>130</v>
      </c>
      <c r="C23" s="339"/>
      <c r="D23" s="339"/>
      <c r="E23" s="217" t="str">
        <f>Input!E28</f>
        <v>On-Peak periods as defined in specified rate schedule (average of %s for 2019, 2020 &amp; 2021)</v>
      </c>
      <c r="G23" s="339"/>
      <c r="H23" s="339"/>
      <c r="I23" s="340"/>
      <c r="J23" s="340"/>
      <c r="K23" s="339"/>
      <c r="L23" s="339"/>
      <c r="M23" s="339"/>
      <c r="N23" s="339"/>
      <c r="O23" s="339"/>
      <c r="P23" s="339"/>
      <c r="Q23" s="339"/>
      <c r="R23" s="339"/>
      <c r="S23" s="339"/>
      <c r="T23" s="339"/>
      <c r="U23" s="339"/>
      <c r="V23" s="339"/>
      <c r="W23" s="339"/>
      <c r="X23" s="339"/>
    </row>
    <row r="24" spans="1:24" s="230" customFormat="1" ht="39" x14ac:dyDescent="0.6">
      <c r="A24" s="210"/>
      <c r="C24" s="211" t="s">
        <v>79</v>
      </c>
      <c r="D24" s="211" t="s">
        <v>79</v>
      </c>
      <c r="E24" s="211" t="s">
        <v>50</v>
      </c>
      <c r="F24" s="211" t="s">
        <v>79</v>
      </c>
      <c r="G24" s="211" t="s">
        <v>79</v>
      </c>
      <c r="H24" s="211" t="s">
        <v>79</v>
      </c>
      <c r="I24" s="211" t="s">
        <v>79</v>
      </c>
      <c r="J24" s="211" t="s">
        <v>79</v>
      </c>
      <c r="K24" s="211" t="s">
        <v>79</v>
      </c>
      <c r="L24" s="211" t="s">
        <v>50</v>
      </c>
      <c r="M24" s="211"/>
      <c r="N24" s="207"/>
      <c r="O24" s="211" t="s">
        <v>79</v>
      </c>
      <c r="P24" s="211" t="s">
        <v>79</v>
      </c>
      <c r="Q24" s="211" t="s">
        <v>221</v>
      </c>
      <c r="R24" s="211" t="s">
        <v>79</v>
      </c>
      <c r="S24" s="211" t="s">
        <v>79</v>
      </c>
      <c r="T24" s="211" t="s">
        <v>79</v>
      </c>
      <c r="U24" s="211" t="s">
        <v>79</v>
      </c>
      <c r="V24" s="211" t="s">
        <v>79</v>
      </c>
      <c r="W24" s="211" t="s">
        <v>79</v>
      </c>
      <c r="X24" s="211" t="s">
        <v>221</v>
      </c>
    </row>
    <row r="25" spans="1:24" s="230" customFormat="1" x14ac:dyDescent="0.6">
      <c r="A25" s="210"/>
      <c r="B25" s="213" t="s">
        <v>233</v>
      </c>
      <c r="C25" s="203" t="str">
        <f>+C7</f>
        <v>RS</v>
      </c>
      <c r="D25" s="203" t="str">
        <f t="shared" ref="D25:L25" si="12">+D7</f>
        <v>RHS</v>
      </c>
      <c r="E25" s="203" t="str">
        <f t="shared" si="12"/>
        <v>RLM</v>
      </c>
      <c r="F25" s="203" t="str">
        <f t="shared" si="12"/>
        <v>WH</v>
      </c>
      <c r="G25" s="203" t="str">
        <f t="shared" si="12"/>
        <v>WHS</v>
      </c>
      <c r="H25" s="203" t="str">
        <f t="shared" si="12"/>
        <v>HS</v>
      </c>
      <c r="I25" s="203" t="str">
        <f t="shared" si="12"/>
        <v>PSAL</v>
      </c>
      <c r="J25" s="203" t="str">
        <f t="shared" si="12"/>
        <v>BPL</v>
      </c>
      <c r="K25" s="203" t="str">
        <f t="shared" si="12"/>
        <v>GLP</v>
      </c>
      <c r="L25" s="203" t="str">
        <f t="shared" si="12"/>
        <v>LPL-S</v>
      </c>
      <c r="M25" s="203"/>
      <c r="N25" s="215"/>
      <c r="O25" s="203" t="str">
        <f>+C7</f>
        <v>RS</v>
      </c>
      <c r="P25" s="203" t="str">
        <f t="shared" ref="P25:X25" si="13">+D7</f>
        <v>RHS</v>
      </c>
      <c r="Q25" s="203" t="str">
        <f t="shared" si="13"/>
        <v>RLM</v>
      </c>
      <c r="R25" s="203" t="str">
        <f t="shared" si="13"/>
        <v>WH</v>
      </c>
      <c r="S25" s="203" t="str">
        <f t="shared" si="13"/>
        <v>WHS</v>
      </c>
      <c r="T25" s="203" t="str">
        <f t="shared" si="13"/>
        <v>HS</v>
      </c>
      <c r="U25" s="203" t="str">
        <f t="shared" si="13"/>
        <v>PSAL</v>
      </c>
      <c r="V25" s="203" t="str">
        <f t="shared" si="13"/>
        <v>BPL</v>
      </c>
      <c r="W25" s="203" t="str">
        <f t="shared" si="13"/>
        <v>GLP</v>
      </c>
      <c r="X25" s="203" t="str">
        <f t="shared" si="13"/>
        <v>LPL-S</v>
      </c>
    </row>
    <row r="26" spans="1:24" s="230" customFormat="1" x14ac:dyDescent="0.6">
      <c r="A26" s="210"/>
    </row>
    <row r="27" spans="1:24" s="230" customFormat="1" x14ac:dyDescent="0.6">
      <c r="A27" s="210"/>
      <c r="B27" s="337" t="s">
        <v>7</v>
      </c>
      <c r="C27" s="341">
        <v>0</v>
      </c>
      <c r="D27" s="341">
        <v>0</v>
      </c>
      <c r="E27" s="341">
        <f>Input!C32</f>
        <v>0.42720000000000002</v>
      </c>
      <c r="F27" s="341">
        <v>0</v>
      </c>
      <c r="G27" s="341">
        <v>0</v>
      </c>
      <c r="H27" s="341">
        <v>0</v>
      </c>
      <c r="I27" s="341">
        <v>0</v>
      </c>
      <c r="J27" s="341">
        <v>0</v>
      </c>
      <c r="K27" s="341">
        <v>0</v>
      </c>
      <c r="L27" s="341">
        <f>Input!D32</f>
        <v>0.4672</v>
      </c>
      <c r="M27" s="338"/>
      <c r="N27" s="339"/>
      <c r="O27" s="339"/>
      <c r="P27" s="339"/>
      <c r="Q27" s="339">
        <f t="shared" ref="Q27:Q38" si="14">1-E27</f>
        <v>0.57279999999999998</v>
      </c>
      <c r="R27" s="339"/>
      <c r="S27" s="339"/>
      <c r="T27" s="339"/>
      <c r="U27" s="339"/>
      <c r="V27" s="339"/>
      <c r="W27" s="339"/>
      <c r="X27" s="339">
        <f t="shared" ref="X27:X38" si="15">1-L27</f>
        <v>0.53279999999999994</v>
      </c>
    </row>
    <row r="28" spans="1:24" s="230" customFormat="1" x14ac:dyDescent="0.6">
      <c r="A28" s="210"/>
      <c r="B28" s="337" t="s">
        <v>8</v>
      </c>
      <c r="C28" s="341">
        <v>0</v>
      </c>
      <c r="D28" s="341">
        <v>0</v>
      </c>
      <c r="E28" s="341">
        <f>Input!C33</f>
        <v>0.41449999999999998</v>
      </c>
      <c r="F28" s="341">
        <v>0</v>
      </c>
      <c r="G28" s="341">
        <v>0</v>
      </c>
      <c r="H28" s="341">
        <v>0</v>
      </c>
      <c r="I28" s="341">
        <v>0</v>
      </c>
      <c r="J28" s="341">
        <v>0</v>
      </c>
      <c r="K28" s="341">
        <v>0</v>
      </c>
      <c r="L28" s="341">
        <f>Input!D33</f>
        <v>0.47060000000000002</v>
      </c>
      <c r="M28" s="338"/>
      <c r="N28" s="339"/>
      <c r="O28" s="339"/>
      <c r="P28" s="339"/>
      <c r="Q28" s="339">
        <f t="shared" si="14"/>
        <v>0.58550000000000002</v>
      </c>
      <c r="R28" s="339"/>
      <c r="S28" s="339"/>
      <c r="T28" s="339"/>
      <c r="U28" s="339"/>
      <c r="V28" s="339"/>
      <c r="W28" s="339"/>
      <c r="X28" s="339">
        <f t="shared" si="15"/>
        <v>0.52939999999999998</v>
      </c>
    </row>
    <row r="29" spans="1:24" s="230" customFormat="1" x14ac:dyDescent="0.6">
      <c r="A29" s="210"/>
      <c r="B29" s="337" t="s">
        <v>9</v>
      </c>
      <c r="C29" s="341">
        <v>0</v>
      </c>
      <c r="D29" s="341">
        <v>0</v>
      </c>
      <c r="E29" s="341">
        <f>Input!C34</f>
        <v>0.41499999999999998</v>
      </c>
      <c r="F29" s="341">
        <v>0</v>
      </c>
      <c r="G29" s="341">
        <v>0</v>
      </c>
      <c r="H29" s="341">
        <v>0</v>
      </c>
      <c r="I29" s="341">
        <v>0</v>
      </c>
      <c r="J29" s="341">
        <v>0</v>
      </c>
      <c r="K29" s="341">
        <v>0</v>
      </c>
      <c r="L29" s="341">
        <f>Input!D34</f>
        <v>0.47049999999999997</v>
      </c>
      <c r="M29" s="338"/>
      <c r="N29" s="339"/>
      <c r="O29" s="339"/>
      <c r="P29" s="339"/>
      <c r="Q29" s="339">
        <f t="shared" si="14"/>
        <v>0.58499999999999996</v>
      </c>
      <c r="R29" s="339"/>
      <c r="S29" s="339"/>
      <c r="T29" s="339"/>
      <c r="U29" s="339"/>
      <c r="V29" s="339"/>
      <c r="W29" s="339"/>
      <c r="X29" s="339">
        <f t="shared" si="15"/>
        <v>0.52950000000000008</v>
      </c>
    </row>
    <row r="30" spans="1:24" s="230" customFormat="1" x14ac:dyDescent="0.6">
      <c r="A30" s="210"/>
      <c r="B30" s="337" t="s">
        <v>10</v>
      </c>
      <c r="C30" s="341">
        <v>0</v>
      </c>
      <c r="D30" s="341">
        <v>0</v>
      </c>
      <c r="E30" s="341">
        <f>Input!C35</f>
        <v>0.4269</v>
      </c>
      <c r="F30" s="341">
        <v>0</v>
      </c>
      <c r="G30" s="341">
        <v>0</v>
      </c>
      <c r="H30" s="341">
        <v>0</v>
      </c>
      <c r="I30" s="341">
        <v>0</v>
      </c>
      <c r="J30" s="341">
        <v>0</v>
      </c>
      <c r="K30" s="341">
        <v>0</v>
      </c>
      <c r="L30" s="341">
        <f>Input!D35</f>
        <v>0.4708</v>
      </c>
      <c r="M30" s="338"/>
      <c r="N30" s="339"/>
      <c r="O30" s="339"/>
      <c r="P30" s="339"/>
      <c r="Q30" s="339">
        <f t="shared" si="14"/>
        <v>0.57309999999999994</v>
      </c>
      <c r="R30" s="339"/>
      <c r="S30" s="339"/>
      <c r="T30" s="339"/>
      <c r="U30" s="339"/>
      <c r="V30" s="339"/>
      <c r="W30" s="339"/>
      <c r="X30" s="339">
        <f t="shared" si="15"/>
        <v>0.5292</v>
      </c>
    </row>
    <row r="31" spans="1:24" s="230" customFormat="1" x14ac:dyDescent="0.6">
      <c r="A31" s="210"/>
      <c r="B31" s="337" t="s">
        <v>11</v>
      </c>
      <c r="C31" s="341">
        <v>0</v>
      </c>
      <c r="D31" s="341">
        <v>0</v>
      </c>
      <c r="E31" s="341">
        <f>Input!C36</f>
        <v>0.43469999999999998</v>
      </c>
      <c r="F31" s="341">
        <v>0</v>
      </c>
      <c r="G31" s="341">
        <v>0</v>
      </c>
      <c r="H31" s="341">
        <v>0</v>
      </c>
      <c r="I31" s="341">
        <v>0</v>
      </c>
      <c r="J31" s="341">
        <v>0</v>
      </c>
      <c r="K31" s="341">
        <v>0</v>
      </c>
      <c r="L31" s="341">
        <f>Input!D36</f>
        <v>0.48</v>
      </c>
      <c r="M31" s="338"/>
      <c r="N31" s="342"/>
      <c r="O31" s="339"/>
      <c r="P31" s="339"/>
      <c r="Q31" s="339">
        <f t="shared" si="14"/>
        <v>0.56530000000000002</v>
      </c>
      <c r="R31" s="339"/>
      <c r="S31" s="339"/>
      <c r="T31" s="339"/>
      <c r="U31" s="339"/>
      <c r="V31" s="339"/>
      <c r="W31" s="339"/>
      <c r="X31" s="339">
        <f t="shared" si="15"/>
        <v>0.52</v>
      </c>
    </row>
    <row r="32" spans="1:24" s="230" customFormat="1" x14ac:dyDescent="0.6">
      <c r="A32" s="210"/>
      <c r="B32" s="337" t="s">
        <v>12</v>
      </c>
      <c r="C32" s="341">
        <v>0</v>
      </c>
      <c r="D32" s="341">
        <v>0</v>
      </c>
      <c r="E32" s="341">
        <f>Input!C37</f>
        <v>0.45989999999999998</v>
      </c>
      <c r="F32" s="341">
        <v>0</v>
      </c>
      <c r="G32" s="341">
        <v>0</v>
      </c>
      <c r="H32" s="341">
        <v>0</v>
      </c>
      <c r="I32" s="341">
        <v>0</v>
      </c>
      <c r="J32" s="341">
        <v>0</v>
      </c>
      <c r="K32" s="341">
        <v>0</v>
      </c>
      <c r="L32" s="341">
        <f>Input!D37</f>
        <v>0.48949999999999999</v>
      </c>
      <c r="M32" s="338"/>
      <c r="N32" s="342"/>
      <c r="O32" s="339"/>
      <c r="P32" s="339"/>
      <c r="Q32" s="339">
        <f t="shared" si="14"/>
        <v>0.54010000000000002</v>
      </c>
      <c r="R32" s="339"/>
      <c r="S32" s="339"/>
      <c r="T32" s="339"/>
      <c r="U32" s="339"/>
      <c r="V32" s="339"/>
      <c r="W32" s="339"/>
      <c r="X32" s="339">
        <f t="shared" si="15"/>
        <v>0.51049999999999995</v>
      </c>
    </row>
    <row r="33" spans="1:32" s="230" customFormat="1" x14ac:dyDescent="0.6">
      <c r="A33" s="210"/>
      <c r="B33" s="337" t="s">
        <v>13</v>
      </c>
      <c r="C33" s="341">
        <v>0</v>
      </c>
      <c r="D33" s="341">
        <v>0</v>
      </c>
      <c r="E33" s="341">
        <f>Input!C38</f>
        <v>0.47939999999999999</v>
      </c>
      <c r="F33" s="341">
        <v>0</v>
      </c>
      <c r="G33" s="341">
        <v>0</v>
      </c>
      <c r="H33" s="341">
        <v>0</v>
      </c>
      <c r="I33" s="341">
        <v>0</v>
      </c>
      <c r="J33" s="341">
        <v>0</v>
      </c>
      <c r="K33" s="341">
        <v>0</v>
      </c>
      <c r="L33" s="341">
        <f>Input!D38</f>
        <v>0.49099999999999999</v>
      </c>
      <c r="M33" s="338"/>
      <c r="N33" s="342"/>
      <c r="O33" s="339"/>
      <c r="P33" s="339"/>
      <c r="Q33" s="339">
        <f t="shared" si="14"/>
        <v>0.52059999999999995</v>
      </c>
      <c r="R33" s="339"/>
      <c r="S33" s="339"/>
      <c r="T33" s="339"/>
      <c r="U33" s="339"/>
      <c r="V33" s="339"/>
      <c r="W33" s="339"/>
      <c r="X33" s="339">
        <f t="shared" si="15"/>
        <v>0.50900000000000001</v>
      </c>
    </row>
    <row r="34" spans="1:32" s="230" customFormat="1" x14ac:dyDescent="0.6">
      <c r="A34" s="210"/>
      <c r="B34" s="337" t="s">
        <v>14</v>
      </c>
      <c r="C34" s="341">
        <v>0</v>
      </c>
      <c r="D34" s="341">
        <v>0</v>
      </c>
      <c r="E34" s="341">
        <f>Input!C39</f>
        <v>0.47899999999999998</v>
      </c>
      <c r="F34" s="341">
        <v>0</v>
      </c>
      <c r="G34" s="341">
        <v>0</v>
      </c>
      <c r="H34" s="341">
        <v>0</v>
      </c>
      <c r="I34" s="341">
        <v>0</v>
      </c>
      <c r="J34" s="341">
        <v>0</v>
      </c>
      <c r="K34" s="341">
        <v>0</v>
      </c>
      <c r="L34" s="341">
        <f>Input!D39</f>
        <v>0.48959999999999998</v>
      </c>
      <c r="M34" s="338"/>
      <c r="N34" s="342"/>
      <c r="O34" s="339"/>
      <c r="P34" s="339"/>
      <c r="Q34" s="339">
        <f t="shared" si="14"/>
        <v>0.52100000000000002</v>
      </c>
      <c r="R34" s="339"/>
      <c r="S34" s="339"/>
      <c r="T34" s="339"/>
      <c r="U34" s="339"/>
      <c r="V34" s="339"/>
      <c r="W34" s="339"/>
      <c r="X34" s="339">
        <f t="shared" si="15"/>
        <v>0.51039999999999996</v>
      </c>
    </row>
    <row r="35" spans="1:32" s="230" customFormat="1" x14ac:dyDescent="0.6">
      <c r="A35" s="210"/>
      <c r="B35" s="337" t="s">
        <v>15</v>
      </c>
      <c r="C35" s="341">
        <v>0</v>
      </c>
      <c r="D35" s="341">
        <v>0</v>
      </c>
      <c r="E35" s="341">
        <f>Input!C40</f>
        <v>0.48680000000000001</v>
      </c>
      <c r="F35" s="341">
        <v>0</v>
      </c>
      <c r="G35" s="341">
        <v>0</v>
      </c>
      <c r="H35" s="341">
        <v>0</v>
      </c>
      <c r="I35" s="341">
        <v>0</v>
      </c>
      <c r="J35" s="341">
        <v>0</v>
      </c>
      <c r="K35" s="341">
        <v>0</v>
      </c>
      <c r="L35" s="341">
        <f>Input!D40</f>
        <v>0.4924</v>
      </c>
      <c r="M35" s="338"/>
      <c r="N35" s="342"/>
      <c r="O35" s="339"/>
      <c r="P35" s="339"/>
      <c r="Q35" s="339">
        <f t="shared" si="14"/>
        <v>0.51319999999999999</v>
      </c>
      <c r="R35" s="339"/>
      <c r="S35" s="339"/>
      <c r="T35" s="339"/>
      <c r="U35" s="339"/>
      <c r="V35" s="339"/>
      <c r="W35" s="339"/>
      <c r="X35" s="339">
        <f t="shared" si="15"/>
        <v>0.50760000000000005</v>
      </c>
    </row>
    <row r="36" spans="1:32" s="230" customFormat="1" x14ac:dyDescent="0.6">
      <c r="A36" s="210"/>
      <c r="B36" s="337" t="s">
        <v>16</v>
      </c>
      <c r="C36" s="341">
        <v>0</v>
      </c>
      <c r="D36" s="341">
        <v>0</v>
      </c>
      <c r="E36" s="341">
        <f>Input!C41</f>
        <v>0.45319999999999999</v>
      </c>
      <c r="F36" s="341">
        <v>0</v>
      </c>
      <c r="G36" s="341">
        <v>0</v>
      </c>
      <c r="H36" s="341">
        <v>0</v>
      </c>
      <c r="I36" s="341">
        <v>0</v>
      </c>
      <c r="J36" s="341">
        <v>0</v>
      </c>
      <c r="K36" s="341">
        <v>0</v>
      </c>
      <c r="L36" s="341">
        <f>Input!D41</f>
        <v>0.49509999999999998</v>
      </c>
      <c r="M36" s="338"/>
      <c r="N36" s="342"/>
      <c r="O36" s="339"/>
      <c r="P36" s="339"/>
      <c r="Q36" s="339">
        <f t="shared" si="14"/>
        <v>0.54679999999999995</v>
      </c>
      <c r="R36" s="339"/>
      <c r="S36" s="339"/>
      <c r="T36" s="339"/>
      <c r="U36" s="339"/>
      <c r="V36" s="339"/>
      <c r="W36" s="339"/>
      <c r="X36" s="339">
        <f t="shared" si="15"/>
        <v>0.50490000000000002</v>
      </c>
    </row>
    <row r="37" spans="1:32" s="230" customFormat="1" x14ac:dyDescent="0.6">
      <c r="A37" s="210"/>
      <c r="B37" s="337" t="s">
        <v>17</v>
      </c>
      <c r="C37" s="341">
        <v>0</v>
      </c>
      <c r="D37" s="341">
        <v>0</v>
      </c>
      <c r="E37" s="341">
        <f>Input!C42</f>
        <v>0.42899999999999999</v>
      </c>
      <c r="F37" s="341">
        <v>0</v>
      </c>
      <c r="G37" s="341">
        <v>0</v>
      </c>
      <c r="H37" s="341">
        <v>0</v>
      </c>
      <c r="I37" s="341">
        <v>0</v>
      </c>
      <c r="J37" s="341">
        <v>0</v>
      </c>
      <c r="K37" s="341">
        <v>0</v>
      </c>
      <c r="L37" s="341">
        <f>Input!D42</f>
        <v>0.48459999999999998</v>
      </c>
      <c r="M37" s="338"/>
      <c r="N37" s="342"/>
      <c r="O37" s="339"/>
      <c r="P37" s="339"/>
      <c r="Q37" s="339">
        <f t="shared" si="14"/>
        <v>0.57099999999999995</v>
      </c>
      <c r="R37" s="339"/>
      <c r="S37" s="339"/>
      <c r="T37" s="339"/>
      <c r="U37" s="339"/>
      <c r="V37" s="339"/>
      <c r="W37" s="339"/>
      <c r="X37" s="339">
        <f t="shared" si="15"/>
        <v>0.51540000000000008</v>
      </c>
    </row>
    <row r="38" spans="1:32" s="230" customFormat="1" x14ac:dyDescent="0.6">
      <c r="A38" s="210"/>
      <c r="B38" s="337" t="s">
        <v>18</v>
      </c>
      <c r="C38" s="341">
        <v>0</v>
      </c>
      <c r="D38" s="341">
        <v>0</v>
      </c>
      <c r="E38" s="341">
        <f>Input!C43</f>
        <v>0.42470000000000002</v>
      </c>
      <c r="F38" s="341">
        <v>0</v>
      </c>
      <c r="G38" s="341">
        <v>0</v>
      </c>
      <c r="H38" s="341">
        <v>0</v>
      </c>
      <c r="I38" s="341">
        <v>0</v>
      </c>
      <c r="J38" s="341">
        <v>0</v>
      </c>
      <c r="K38" s="341">
        <v>0</v>
      </c>
      <c r="L38" s="341">
        <f>Input!D43</f>
        <v>0.47289999999999999</v>
      </c>
      <c r="M38" s="338"/>
      <c r="N38" s="342"/>
      <c r="O38" s="339"/>
      <c r="P38" s="339"/>
      <c r="Q38" s="339">
        <f t="shared" si="14"/>
        <v>0.57529999999999992</v>
      </c>
      <c r="R38" s="339"/>
      <c r="S38" s="339"/>
      <c r="T38" s="339"/>
      <c r="U38" s="339"/>
      <c r="V38" s="339"/>
      <c r="W38" s="339"/>
      <c r="X38" s="339">
        <f t="shared" si="15"/>
        <v>0.52710000000000001</v>
      </c>
    </row>
    <row r="39" spans="1:32" s="230" customFormat="1" x14ac:dyDescent="0.6">
      <c r="A39" s="210"/>
      <c r="B39" s="337"/>
      <c r="C39" s="339"/>
      <c r="D39" s="339"/>
      <c r="E39" s="339"/>
      <c r="F39" s="339"/>
      <c r="G39" s="339"/>
      <c r="H39" s="339"/>
      <c r="I39" s="340"/>
      <c r="J39" s="340"/>
      <c r="K39" s="339"/>
      <c r="L39" s="339"/>
      <c r="M39" s="339"/>
      <c r="N39" s="342"/>
      <c r="O39" s="339"/>
      <c r="P39" s="339"/>
      <c r="Q39" s="339"/>
      <c r="R39" s="339"/>
      <c r="S39" s="339"/>
      <c r="T39" s="339"/>
      <c r="U39" s="339"/>
      <c r="V39" s="339"/>
      <c r="W39" s="339"/>
      <c r="X39" s="339"/>
    </row>
    <row r="40" spans="1:32" s="230" customFormat="1" x14ac:dyDescent="0.6">
      <c r="A40" s="210"/>
      <c r="B40" s="337"/>
      <c r="C40" s="339"/>
      <c r="D40" s="339"/>
      <c r="E40" s="339"/>
      <c r="F40" s="339"/>
      <c r="G40" s="339"/>
      <c r="H40" s="339"/>
      <c r="I40" s="340"/>
      <c r="J40" s="340"/>
      <c r="K40" s="339"/>
      <c r="L40" s="339"/>
      <c r="M40" s="339"/>
      <c r="N40" s="342"/>
      <c r="O40" s="339"/>
      <c r="P40" s="339"/>
      <c r="Q40" s="339"/>
      <c r="R40" s="339"/>
      <c r="S40" s="339"/>
      <c r="T40" s="339"/>
      <c r="U40" s="339"/>
      <c r="V40" s="339"/>
      <c r="W40" s="339"/>
      <c r="X40" s="339"/>
    </row>
    <row r="41" spans="1:32" s="230" customFormat="1" x14ac:dyDescent="0.6">
      <c r="A41" s="208" t="s">
        <v>75</v>
      </c>
      <c r="B41" s="218" t="s">
        <v>131</v>
      </c>
      <c r="C41" s="203"/>
      <c r="D41" s="203"/>
      <c r="E41" s="203"/>
      <c r="F41" s="203"/>
      <c r="G41" s="203"/>
      <c r="H41" s="203"/>
      <c r="I41" s="203"/>
      <c r="J41" s="203"/>
      <c r="K41" s="203"/>
      <c r="L41" s="203"/>
      <c r="O41" s="206" t="s">
        <v>188</v>
      </c>
    </row>
    <row r="42" spans="1:32" s="230" customFormat="1" x14ac:dyDescent="0.6">
      <c r="A42" s="210"/>
      <c r="B42" s="219" t="str">
        <f>Input!B47</f>
        <v>Calendar month sales forecasted for 2022, less % for LPL-Sec &gt; 500 kW Peak Load Share</v>
      </c>
      <c r="G42" s="343"/>
      <c r="L42" s="203" t="s">
        <v>300</v>
      </c>
      <c r="AB42" s="275" t="s">
        <v>19</v>
      </c>
      <c r="AD42" s="206" t="s">
        <v>299</v>
      </c>
    </row>
    <row r="43" spans="1:32" s="230" customFormat="1" x14ac:dyDescent="0.6">
      <c r="A43" s="210"/>
      <c r="B43" s="207" t="s">
        <v>78</v>
      </c>
      <c r="C43" s="203" t="str">
        <f>+C7</f>
        <v>RS</v>
      </c>
      <c r="D43" s="203" t="str">
        <f t="shared" ref="D43:L43" si="16">+D7</f>
        <v>RHS</v>
      </c>
      <c r="E43" s="203" t="str">
        <f t="shared" si="16"/>
        <v>RLM</v>
      </c>
      <c r="F43" s="203" t="str">
        <f t="shared" si="16"/>
        <v>WH</v>
      </c>
      <c r="G43" s="203" t="str">
        <f t="shared" si="16"/>
        <v>WHS</v>
      </c>
      <c r="H43" s="203" t="str">
        <f t="shared" si="16"/>
        <v>HS</v>
      </c>
      <c r="I43" s="203" t="str">
        <f t="shared" si="16"/>
        <v>PSAL</v>
      </c>
      <c r="J43" s="203" t="str">
        <f t="shared" si="16"/>
        <v>BPL</v>
      </c>
      <c r="K43" s="203" t="str">
        <f t="shared" si="16"/>
        <v>GLP</v>
      </c>
      <c r="L43" s="203" t="str">
        <f t="shared" si="16"/>
        <v>LPL-S</v>
      </c>
      <c r="M43" s="203"/>
      <c r="N43" s="203"/>
      <c r="O43" s="203" t="str">
        <f>+C7</f>
        <v>RS</v>
      </c>
      <c r="P43" s="203" t="str">
        <f t="shared" ref="P43:X43" si="17">+D7</f>
        <v>RHS</v>
      </c>
      <c r="Q43" s="203" t="str">
        <f t="shared" si="17"/>
        <v>RLM</v>
      </c>
      <c r="R43" s="203" t="str">
        <f t="shared" si="17"/>
        <v>WH</v>
      </c>
      <c r="S43" s="203" t="str">
        <f t="shared" si="17"/>
        <v>WHS</v>
      </c>
      <c r="T43" s="203" t="str">
        <f t="shared" si="17"/>
        <v>HS</v>
      </c>
      <c r="U43" s="203" t="str">
        <f t="shared" si="17"/>
        <v>PSAL</v>
      </c>
      <c r="V43" s="203" t="str">
        <f t="shared" si="17"/>
        <v>BPL</v>
      </c>
      <c r="W43" s="203" t="str">
        <f t="shared" si="17"/>
        <v>GLP</v>
      </c>
      <c r="X43" s="203" t="str">
        <f t="shared" si="17"/>
        <v>LPL-S</v>
      </c>
      <c r="Y43" s="203"/>
      <c r="Z43" s="203" t="s">
        <v>193</v>
      </c>
      <c r="AB43" s="275" t="s">
        <v>36</v>
      </c>
      <c r="AD43" s="275" t="s">
        <v>195</v>
      </c>
      <c r="AE43" s="275" t="s">
        <v>195</v>
      </c>
      <c r="AF43" s="275" t="s">
        <v>195</v>
      </c>
    </row>
    <row r="44" spans="1:32" s="230" customFormat="1" x14ac:dyDescent="0.6">
      <c r="A44" s="210"/>
      <c r="C44" s="203"/>
      <c r="D44" s="203"/>
      <c r="E44" s="203"/>
      <c r="F44" s="203"/>
      <c r="G44" s="203"/>
      <c r="H44" s="203"/>
      <c r="I44" s="203"/>
      <c r="J44" s="203"/>
      <c r="K44" s="203"/>
      <c r="L44" s="203"/>
      <c r="Y44" s="344"/>
      <c r="AB44" s="275"/>
      <c r="AD44" s="275" t="s">
        <v>194</v>
      </c>
      <c r="AE44" s="275" t="s">
        <v>196</v>
      </c>
      <c r="AF44" s="275" t="s">
        <v>197</v>
      </c>
    </row>
    <row r="45" spans="1:32" s="230" customFormat="1" x14ac:dyDescent="0.6">
      <c r="A45" s="210"/>
      <c r="B45" s="337" t="s">
        <v>7</v>
      </c>
      <c r="C45" s="345">
        <f>Input!C50</f>
        <v>1216087.3903839088</v>
      </c>
      <c r="D45" s="345">
        <f>Input!D50</f>
        <v>15162.288629820538</v>
      </c>
      <c r="E45" s="345">
        <f>Input!E50</f>
        <v>16087.070984129185</v>
      </c>
      <c r="F45" s="345">
        <f>Input!F50</f>
        <v>58</v>
      </c>
      <c r="G45" s="345">
        <f>Input!G50</f>
        <v>1</v>
      </c>
      <c r="H45" s="345">
        <f>Input!H50</f>
        <v>1322.3750968838106</v>
      </c>
      <c r="I45" s="345">
        <f>Input!I50</f>
        <v>15557</v>
      </c>
      <c r="J45" s="345">
        <f>Input!J50</f>
        <v>32676</v>
      </c>
      <c r="K45" s="345">
        <f>Input!K50</f>
        <v>539551.08550429414</v>
      </c>
      <c r="L45" s="318">
        <f>AB45*$M$45</f>
        <v>414043.15927747515</v>
      </c>
      <c r="M45" s="346">
        <f>(1-AD45)</f>
        <v>0.65626063817107316</v>
      </c>
      <c r="N45" s="239" t="s">
        <v>61</v>
      </c>
      <c r="O45" s="347">
        <f>SUM(C45:C49,C54:C56)</f>
        <v>7118245.2432405418</v>
      </c>
      <c r="P45" s="336">
        <f t="shared" ref="P45:X45" si="18">SUM(D45:D49,D54:D56)</f>
        <v>69853.075071369662</v>
      </c>
      <c r="Q45" s="336">
        <f t="shared" si="18"/>
        <v>98877.777615819025</v>
      </c>
      <c r="R45" s="336">
        <f t="shared" si="18"/>
        <v>411</v>
      </c>
      <c r="S45" s="336">
        <f t="shared" si="18"/>
        <v>8</v>
      </c>
      <c r="T45" s="336">
        <f t="shared" si="18"/>
        <v>6348.7370412615037</v>
      </c>
      <c r="U45" s="336">
        <f t="shared" si="18"/>
        <v>102736</v>
      </c>
      <c r="V45" s="336">
        <f t="shared" si="18"/>
        <v>220472</v>
      </c>
      <c r="W45" s="336">
        <f t="shared" si="18"/>
        <v>3873447.4323440185</v>
      </c>
      <c r="X45" s="336">
        <f t="shared" si="18"/>
        <v>3089001.6288180193</v>
      </c>
      <c r="Y45" s="344">
        <f>SUM(O45:X45)</f>
        <v>14579400.894131031</v>
      </c>
      <c r="Z45" s="348">
        <f>+Y45/(Y45+Y49)</f>
        <v>0.60214014791873294</v>
      </c>
      <c r="AB45" s="349">
        <f>Input!L50</f>
        <v>630912.6819358971</v>
      </c>
      <c r="AD45" s="350">
        <f>Input!C66</f>
        <v>0.34373936182892689</v>
      </c>
      <c r="AE45" s="346">
        <f>Input!D66</f>
        <v>0.33906007095308333</v>
      </c>
      <c r="AF45" s="346">
        <f>AE45</f>
        <v>0.33906007095308333</v>
      </c>
    </row>
    <row r="46" spans="1:32" s="230" customFormat="1" x14ac:dyDescent="0.6">
      <c r="A46" s="210"/>
      <c r="B46" s="337" t="s">
        <v>8</v>
      </c>
      <c r="C46" s="345">
        <f>Input!C51</f>
        <v>985026.01259489742</v>
      </c>
      <c r="D46" s="345">
        <f>Input!D51</f>
        <v>11612.315086336917</v>
      </c>
      <c r="E46" s="345">
        <f>Input!E51</f>
        <v>13979.84890266052</v>
      </c>
      <c r="F46" s="345">
        <f>Input!F51</f>
        <v>57</v>
      </c>
      <c r="G46" s="345">
        <f>Input!G51</f>
        <v>1</v>
      </c>
      <c r="H46" s="345">
        <f>Input!H51</f>
        <v>1184.5406742774753</v>
      </c>
      <c r="I46" s="345">
        <f>Input!I51</f>
        <v>12802</v>
      </c>
      <c r="J46" s="345">
        <f>Input!J51</f>
        <v>29367</v>
      </c>
      <c r="K46" s="345">
        <f>Input!K51</f>
        <v>491622.40219823888</v>
      </c>
      <c r="L46" s="318">
        <f t="shared" ref="L46:L56" si="19">AB46*$M$45</f>
        <v>375127.30541245599</v>
      </c>
      <c r="M46" s="336"/>
      <c r="N46" s="239" t="s">
        <v>119</v>
      </c>
      <c r="O46" s="336"/>
      <c r="P46" s="336"/>
      <c r="Q46" s="336">
        <f>SUMPRODUCT(E27:E31,E45:E49)+SUMPRODUCT(E36:E38,E54:E56)</f>
        <v>42240.985578643624</v>
      </c>
      <c r="R46" s="336"/>
      <c r="X46" s="336">
        <f>SUMPRODUCT(L27:L31,L45:L49)+SUMPRODUCT(L36:L38,L54:L56)</f>
        <v>1471855.5353254918</v>
      </c>
      <c r="Y46" s="344"/>
      <c r="Z46" s="348"/>
      <c r="AB46" s="349">
        <f>Input!L51</f>
        <v>571613.29446467315</v>
      </c>
      <c r="AD46" s="276"/>
    </row>
    <row r="47" spans="1:32" s="230" customFormat="1" x14ac:dyDescent="0.6">
      <c r="A47" s="210"/>
      <c r="B47" s="337" t="s">
        <v>9</v>
      </c>
      <c r="C47" s="345">
        <f>Input!C52</f>
        <v>925032.09485644195</v>
      </c>
      <c r="D47" s="345">
        <f>Input!D52</f>
        <v>9121.071780109336</v>
      </c>
      <c r="E47" s="345">
        <f>Input!E52</f>
        <v>13458.212749576174</v>
      </c>
      <c r="F47" s="345">
        <f>Input!F52</f>
        <v>64</v>
      </c>
      <c r="G47" s="345">
        <f>Input!G52</f>
        <v>1</v>
      </c>
      <c r="H47" s="345">
        <f>Input!H52</f>
        <v>920.56687098291798</v>
      </c>
      <c r="I47" s="345">
        <f>Input!I52</f>
        <v>12379</v>
      </c>
      <c r="J47" s="345">
        <f>Input!J52</f>
        <v>27322</v>
      </c>
      <c r="K47" s="345">
        <f>Input!K52</f>
        <v>506418.06853839813</v>
      </c>
      <c r="L47" s="318">
        <f t="shared" si="19"/>
        <v>387816.42068832176</v>
      </c>
      <c r="M47" s="336"/>
      <c r="N47" s="239" t="s">
        <v>120</v>
      </c>
      <c r="O47" s="336">
        <f>+O45-O46</f>
        <v>7118245.2432405418</v>
      </c>
      <c r="P47" s="336">
        <f>+P45-P46</f>
        <v>69853.075071369662</v>
      </c>
      <c r="Q47" s="336">
        <f>+Q45-Q46</f>
        <v>56636.792037175401</v>
      </c>
      <c r="R47" s="336">
        <f>+R45-R46</f>
        <v>411</v>
      </c>
      <c r="X47" s="336">
        <f>+X45-X46</f>
        <v>1617146.0934925275</v>
      </c>
      <c r="Y47" s="344"/>
      <c r="Z47" s="351"/>
      <c r="AB47" s="349">
        <f>Input!L52</f>
        <v>590948.77573203819</v>
      </c>
    </row>
    <row r="48" spans="1:32" s="230" customFormat="1" x14ac:dyDescent="0.6">
      <c r="A48" s="210"/>
      <c r="B48" s="337" t="s">
        <v>10</v>
      </c>
      <c r="C48" s="345">
        <f>Input!C53</f>
        <v>785315.88981283526</v>
      </c>
      <c r="D48" s="345">
        <f>Input!D53</f>
        <v>4791.741765342611</v>
      </c>
      <c r="E48" s="345">
        <f>Input!E53</f>
        <v>11188.390569938876</v>
      </c>
      <c r="F48" s="345">
        <f>Input!F53</f>
        <v>53</v>
      </c>
      <c r="G48" s="345">
        <f>Input!G53</f>
        <v>1</v>
      </c>
      <c r="H48" s="345">
        <f>Input!H53</f>
        <v>618.16650138598845</v>
      </c>
      <c r="I48" s="345">
        <f>Input!I53</f>
        <v>10748</v>
      </c>
      <c r="J48" s="345">
        <f>Input!J53</f>
        <v>26105</v>
      </c>
      <c r="K48" s="345">
        <f>Input!K53</f>
        <v>453938.84717225574</v>
      </c>
      <c r="L48" s="318">
        <f t="shared" si="19"/>
        <v>345304.72986427811</v>
      </c>
      <c r="M48" s="336"/>
      <c r="Y48" s="344"/>
      <c r="AB48" s="349">
        <f>Input!L53</f>
        <v>526170.10647873802</v>
      </c>
    </row>
    <row r="49" spans="1:28" s="230" customFormat="1" x14ac:dyDescent="0.6">
      <c r="A49" s="210"/>
      <c r="B49" s="337" t="s">
        <v>11</v>
      </c>
      <c r="C49" s="345">
        <f>Input!C54</f>
        <v>823496.12149140681</v>
      </c>
      <c r="D49" s="345">
        <f>Input!D54</f>
        <v>3321.6577416367759</v>
      </c>
      <c r="E49" s="345">
        <f>Input!E54</f>
        <v>11535.208120367928</v>
      </c>
      <c r="F49" s="345">
        <f>Input!F54</f>
        <v>61</v>
      </c>
      <c r="G49" s="345">
        <f>Input!G54</f>
        <v>1</v>
      </c>
      <c r="H49" s="345">
        <f>Input!H54</f>
        <v>303.2357297339376</v>
      </c>
      <c r="I49" s="345">
        <f>Input!I54</f>
        <v>9616</v>
      </c>
      <c r="J49" s="345">
        <f>Input!J54</f>
        <v>21208</v>
      </c>
      <c r="K49" s="345">
        <f>Input!K54</f>
        <v>462605.2348128279</v>
      </c>
      <c r="L49" s="318">
        <f t="shared" si="19"/>
        <v>410158.30071795115</v>
      </c>
      <c r="N49" s="239" t="s">
        <v>62</v>
      </c>
      <c r="O49" s="347">
        <f>SUM(C50:C53)</f>
        <v>5520090.7646533391</v>
      </c>
      <c r="P49" s="336">
        <f t="shared" ref="P49:X49" si="20">+SUM(D50:D53)</f>
        <v>20585.029763136488</v>
      </c>
      <c r="Q49" s="336">
        <f t="shared" si="20"/>
        <v>76677.694848517596</v>
      </c>
      <c r="R49" s="336">
        <f t="shared" si="20"/>
        <v>164</v>
      </c>
      <c r="S49" s="336">
        <f t="shared" si="20"/>
        <v>3</v>
      </c>
      <c r="T49" s="336">
        <f t="shared" si="20"/>
        <v>1704.9700396335168</v>
      </c>
      <c r="U49" s="336">
        <f t="shared" si="20"/>
        <v>38845</v>
      </c>
      <c r="V49" s="336">
        <f t="shared" si="20"/>
        <v>79769</v>
      </c>
      <c r="W49" s="336">
        <f t="shared" si="20"/>
        <v>2245397.0323606818</v>
      </c>
      <c r="X49" s="336">
        <f t="shared" si="20"/>
        <v>1649999.7295396801</v>
      </c>
      <c r="Y49" s="344">
        <f>SUM(O49:X49)</f>
        <v>9633236.2212049868</v>
      </c>
      <c r="Z49" s="351">
        <f>1-Z45</f>
        <v>0.39785985208126706</v>
      </c>
      <c r="AB49" s="349">
        <f>Input!L54</f>
        <v>624992.99342562677</v>
      </c>
    </row>
    <row r="50" spans="1:28" s="230" customFormat="1" x14ac:dyDescent="0.6">
      <c r="A50" s="210"/>
      <c r="B50" s="337" t="s">
        <v>12</v>
      </c>
      <c r="C50" s="345">
        <f>Input!C55</f>
        <v>1289629.1010947914</v>
      </c>
      <c r="D50" s="345">
        <f>Input!D55</f>
        <v>4453.6031727339951</v>
      </c>
      <c r="E50" s="345">
        <f>Input!E55</f>
        <v>18771.382431352424</v>
      </c>
      <c r="F50" s="345">
        <f>Input!F55</f>
        <v>46</v>
      </c>
      <c r="G50" s="345">
        <f>Input!G55</f>
        <v>1</v>
      </c>
      <c r="H50" s="345">
        <f>Input!H55</f>
        <v>400.97286576388444</v>
      </c>
      <c r="I50" s="345">
        <f>Input!I55</f>
        <v>8470</v>
      </c>
      <c r="J50" s="345">
        <f>Input!J55</f>
        <v>19103</v>
      </c>
      <c r="K50" s="345">
        <f>Input!K55</f>
        <v>500814.18103266088</v>
      </c>
      <c r="L50" s="318">
        <f t="shared" si="19"/>
        <v>388328.12345774565</v>
      </c>
      <c r="M50" s="336"/>
      <c r="N50" s="239" t="s">
        <v>119</v>
      </c>
      <c r="O50" s="347"/>
      <c r="Q50" s="336">
        <f>+SUMPRODUCT(E32:E35,E50:E53)</f>
        <v>36488.456615306808</v>
      </c>
      <c r="X50" s="336">
        <f>+SUMPRODUCT(L32:L35,L50:L53)</f>
        <v>809513.84237300314</v>
      </c>
      <c r="Y50" s="344"/>
      <c r="Z50" s="348"/>
      <c r="AB50" s="349">
        <f>Input!L55</f>
        <v>591728.50064567907</v>
      </c>
    </row>
    <row r="51" spans="1:28" s="230" customFormat="1" x14ac:dyDescent="0.6">
      <c r="A51" s="210"/>
      <c r="B51" s="337" t="s">
        <v>13</v>
      </c>
      <c r="C51" s="345">
        <f>Input!C56</f>
        <v>1730060.8931312968</v>
      </c>
      <c r="D51" s="345">
        <f>Input!D56</f>
        <v>6211.7311827360581</v>
      </c>
      <c r="E51" s="345">
        <f>Input!E56</f>
        <v>22503.665609546919</v>
      </c>
      <c r="F51" s="345">
        <f>Input!F56</f>
        <v>36</v>
      </c>
      <c r="G51" s="345">
        <f>Input!G56</f>
        <v>1</v>
      </c>
      <c r="H51" s="345">
        <f>Input!H56</f>
        <v>433.5519111072</v>
      </c>
      <c r="I51" s="345">
        <f>Input!I56</f>
        <v>9055</v>
      </c>
      <c r="J51" s="345">
        <f>Input!J56</f>
        <v>18825</v>
      </c>
      <c r="K51" s="345">
        <f>Input!K56</f>
        <v>607447.20123459422</v>
      </c>
      <c r="L51" s="318">
        <f t="shared" si="19"/>
        <v>423142.93246174353</v>
      </c>
      <c r="M51" s="336"/>
      <c r="N51" s="239" t="s">
        <v>120</v>
      </c>
      <c r="O51" s="347"/>
      <c r="Q51" s="336">
        <f>+Q49-Q50</f>
        <v>40189.238233210788</v>
      </c>
      <c r="X51" s="336">
        <f>+X49-X50</f>
        <v>840485.88716667693</v>
      </c>
      <c r="Y51" s="344"/>
      <c r="Z51" s="351"/>
      <c r="AB51" s="349">
        <f>Input!L56</f>
        <v>644778.77820159495</v>
      </c>
    </row>
    <row r="52" spans="1:28" s="230" customFormat="1" x14ac:dyDescent="0.6">
      <c r="A52" s="210"/>
      <c r="B52" s="337" t="s">
        <v>14</v>
      </c>
      <c r="C52" s="345">
        <f>Input!C57</f>
        <v>1592140.1088682017</v>
      </c>
      <c r="D52" s="345">
        <f>Input!D57</f>
        <v>5891.8963885877374</v>
      </c>
      <c r="E52" s="345">
        <f>Input!E57</f>
        <v>21380.503081734674</v>
      </c>
      <c r="F52" s="345">
        <f>Input!F57</f>
        <v>40</v>
      </c>
      <c r="G52" s="345">
        <f>Input!G57</f>
        <v>0</v>
      </c>
      <c r="H52" s="345">
        <f>Input!H57</f>
        <v>505.39288288989599</v>
      </c>
      <c r="I52" s="345">
        <f>Input!I57</f>
        <v>10329</v>
      </c>
      <c r="J52" s="345">
        <f>Input!J57</f>
        <v>19965</v>
      </c>
      <c r="K52" s="345">
        <f>Input!K57</f>
        <v>614016.30252968427</v>
      </c>
      <c r="L52" s="318">
        <f t="shared" si="19"/>
        <v>438383.13887909759</v>
      </c>
      <c r="M52" s="336"/>
      <c r="AB52" s="349">
        <f>Input!L57</f>
        <v>668001.57343098253</v>
      </c>
    </row>
    <row r="53" spans="1:28" s="230" customFormat="1" x14ac:dyDescent="0.6">
      <c r="A53" s="210"/>
      <c r="B53" s="337" t="s">
        <v>15</v>
      </c>
      <c r="C53" s="345">
        <f>Input!C58</f>
        <v>908260.66155904916</v>
      </c>
      <c r="D53" s="345">
        <f>Input!D58</f>
        <v>4027.7990190787004</v>
      </c>
      <c r="E53" s="345">
        <f>Input!E58</f>
        <v>14022.143725883576</v>
      </c>
      <c r="F53" s="345">
        <f>Input!F58</f>
        <v>42</v>
      </c>
      <c r="G53" s="345">
        <f>Input!G58</f>
        <v>1</v>
      </c>
      <c r="H53" s="345">
        <f>Input!H58</f>
        <v>365.05237987253645</v>
      </c>
      <c r="I53" s="345">
        <f>Input!I58</f>
        <v>10991</v>
      </c>
      <c r="J53" s="345">
        <f>Input!J58</f>
        <v>21876</v>
      </c>
      <c r="K53" s="345">
        <f>Input!K58</f>
        <v>523119.34756374249</v>
      </c>
      <c r="L53" s="318">
        <f t="shared" si="19"/>
        <v>400145.53474109346</v>
      </c>
      <c r="M53" s="336"/>
      <c r="N53" s="239" t="s">
        <v>162</v>
      </c>
      <c r="O53" s="347">
        <f>+O49*C163</f>
        <v>3565978.6339660571</v>
      </c>
      <c r="P53" s="347">
        <f>+P49*D163</f>
        <v>13606.70467343322</v>
      </c>
      <c r="AB53" s="349">
        <f>Input!L58</f>
        <v>609735.69259959797</v>
      </c>
    </row>
    <row r="54" spans="1:28" s="230" customFormat="1" x14ac:dyDescent="0.6">
      <c r="A54" s="210"/>
      <c r="B54" s="337" t="s">
        <v>16</v>
      </c>
      <c r="C54" s="345">
        <f>Input!C59</f>
        <v>658694.27411083784</v>
      </c>
      <c r="D54" s="345">
        <f>Input!D59</f>
        <v>5547.0142912832234</v>
      </c>
      <c r="E54" s="345">
        <f>Input!E59</f>
        <v>10506.034088606919</v>
      </c>
      <c r="F54" s="345">
        <f>Input!F59</f>
        <v>20</v>
      </c>
      <c r="G54" s="345">
        <f>Input!G59</f>
        <v>1</v>
      </c>
      <c r="H54" s="345">
        <f>Input!H59</f>
        <v>434.38727124420814</v>
      </c>
      <c r="I54" s="345">
        <f>Input!I59</f>
        <v>13089</v>
      </c>
      <c r="J54" s="345">
        <f>Input!J59</f>
        <v>26616</v>
      </c>
      <c r="K54" s="345">
        <f>Input!K59</f>
        <v>480021.86732035218</v>
      </c>
      <c r="L54" s="318">
        <f t="shared" si="19"/>
        <v>401119.30093603506</v>
      </c>
      <c r="M54" s="336"/>
      <c r="N54" s="239" t="s">
        <v>163</v>
      </c>
      <c r="O54" s="336">
        <f>+O49-O53</f>
        <v>1954112.130687282</v>
      </c>
      <c r="P54" s="336">
        <f>+P49-P53</f>
        <v>6978.3250897032685</v>
      </c>
      <c r="AB54" s="349">
        <f>Input!L59</f>
        <v>611219.50274804048</v>
      </c>
    </row>
    <row r="55" spans="1:28" s="230" customFormat="1" x14ac:dyDescent="0.6">
      <c r="A55" s="210"/>
      <c r="B55" s="337" t="s">
        <v>17</v>
      </c>
      <c r="C55" s="345">
        <f>Input!C60</f>
        <v>720914.59092265088</v>
      </c>
      <c r="D55" s="345">
        <f>Input!D60</f>
        <v>8253.0863899658525</v>
      </c>
      <c r="E55" s="345">
        <f>Input!E60</f>
        <v>9564.2693581735548</v>
      </c>
      <c r="F55" s="345">
        <f>Input!F60</f>
        <v>43</v>
      </c>
      <c r="G55" s="345">
        <f>Input!G60</f>
        <v>1</v>
      </c>
      <c r="H55" s="345">
        <f>Input!H60</f>
        <v>526.2768863150983</v>
      </c>
      <c r="I55" s="345">
        <f>Input!I60</f>
        <v>13505</v>
      </c>
      <c r="J55" s="345">
        <f>Input!J60</f>
        <v>27571</v>
      </c>
      <c r="K55" s="345">
        <f>Input!K60</f>
        <v>435570.69185111416</v>
      </c>
      <c r="L55" s="318">
        <f t="shared" si="19"/>
        <v>352857.33284362499</v>
      </c>
      <c r="M55" s="336"/>
      <c r="AB55" s="349">
        <f>Input!L60</f>
        <v>537678.64826846833</v>
      </c>
    </row>
    <row r="56" spans="1:28" s="230" customFormat="1" x14ac:dyDescent="0.6">
      <c r="A56" s="210"/>
      <c r="B56" s="337" t="s">
        <v>18</v>
      </c>
      <c r="C56" s="345">
        <f>Input!C61</f>
        <v>1003678.8690675624</v>
      </c>
      <c r="D56" s="345">
        <f>Input!D61</f>
        <v>12043.899386874411</v>
      </c>
      <c r="E56" s="345">
        <f>Input!E61</f>
        <v>12558.742842365866</v>
      </c>
      <c r="F56" s="345">
        <f>Input!F61</f>
        <v>55</v>
      </c>
      <c r="G56" s="345">
        <f>Input!G61</f>
        <v>1</v>
      </c>
      <c r="H56" s="345">
        <f>Input!H61</f>
        <v>1039.1880104380671</v>
      </c>
      <c r="I56" s="345">
        <f>Input!I61</f>
        <v>15040</v>
      </c>
      <c r="J56" s="345">
        <f>Input!J61</f>
        <v>29607</v>
      </c>
      <c r="K56" s="345">
        <f>Input!K61</f>
        <v>503719.23494653753</v>
      </c>
      <c r="L56" s="318">
        <f t="shared" si="19"/>
        <v>402575.07907787716</v>
      </c>
      <c r="M56" s="336"/>
      <c r="AB56" s="349">
        <f>Input!L61</f>
        <v>613437.79538539751</v>
      </c>
    </row>
    <row r="57" spans="1:28" s="230" customFormat="1" x14ac:dyDescent="0.6">
      <c r="A57" s="210"/>
      <c r="B57" s="352" t="s">
        <v>19</v>
      </c>
      <c r="C57" s="336">
        <f>SUM(C45:C56)</f>
        <v>12638336.007893881</v>
      </c>
      <c r="D57" s="336">
        <f>SUM(D45:D56)</f>
        <v>90438.104834506172</v>
      </c>
      <c r="E57" s="336">
        <f t="shared" ref="E57:K57" si="21">SUM(E45:E56)</f>
        <v>175555.47246433664</v>
      </c>
      <c r="F57" s="336">
        <f t="shared" si="21"/>
        <v>575</v>
      </c>
      <c r="G57" s="336">
        <f t="shared" si="21"/>
        <v>11</v>
      </c>
      <c r="H57" s="336">
        <f>SUM(H45:H56)</f>
        <v>8053.7070808950202</v>
      </c>
      <c r="I57" s="336">
        <f>SUM(I45:I56)</f>
        <v>141581</v>
      </c>
      <c r="J57" s="336">
        <f>SUM(J45:J56)</f>
        <v>300241</v>
      </c>
      <c r="K57" s="336">
        <f t="shared" si="21"/>
        <v>6118844.4647047007</v>
      </c>
      <c r="L57" s="336">
        <f>SUM(L45:L56)</f>
        <v>4739001.3583576996</v>
      </c>
      <c r="M57" s="336"/>
      <c r="O57" s="206" t="s">
        <v>189</v>
      </c>
      <c r="AB57" s="336">
        <f>SUM(AB45:AB56)</f>
        <v>7221218.3433167357</v>
      </c>
    </row>
    <row r="58" spans="1:28" s="230" customFormat="1" x14ac:dyDescent="0.6">
      <c r="A58" s="210"/>
      <c r="B58" s="337"/>
      <c r="C58" s="334"/>
      <c r="D58" s="334"/>
      <c r="E58" s="334"/>
      <c r="F58" s="334"/>
      <c r="G58" s="334"/>
      <c r="H58" s="334"/>
      <c r="I58" s="334"/>
      <c r="J58" s="334"/>
      <c r="K58" s="334"/>
      <c r="L58" s="334"/>
      <c r="O58" s="207" t="s">
        <v>190</v>
      </c>
      <c r="AB58" s="353"/>
    </row>
    <row r="59" spans="1:28" s="230" customFormat="1" x14ac:dyDescent="0.6">
      <c r="A59" s="210"/>
      <c r="L59" s="336"/>
      <c r="Y59" s="203" t="s">
        <v>19</v>
      </c>
      <c r="Z59" s="203" t="s">
        <v>193</v>
      </c>
      <c r="AB59" s="353"/>
    </row>
    <row r="60" spans="1:28" s="230" customFormat="1" x14ac:dyDescent="0.6">
      <c r="A60" s="208" t="s">
        <v>76</v>
      </c>
      <c r="B60" s="206" t="s">
        <v>39</v>
      </c>
      <c r="G60" s="226" t="s">
        <v>66</v>
      </c>
      <c r="H60" s="206" t="s">
        <v>178</v>
      </c>
      <c r="N60" s="275" t="s">
        <v>54</v>
      </c>
    </row>
    <row r="61" spans="1:28" s="246" customFormat="1" x14ac:dyDescent="0.6">
      <c r="A61" s="210"/>
      <c r="B61" s="207" t="s">
        <v>232</v>
      </c>
      <c r="D61" s="203" t="s">
        <v>177</v>
      </c>
      <c r="E61" s="203" t="s">
        <v>176</v>
      </c>
      <c r="G61" s="230"/>
      <c r="N61" s="239" t="s">
        <v>119</v>
      </c>
      <c r="O61" s="347">
        <f>SUMPRODUCT(C9:C13,C45:C49)+SUMPRODUCT(C18:C20,C54:C56)</f>
        <v>3495758.2749593677</v>
      </c>
      <c r="P61" s="347">
        <f t="shared" ref="P61:X61" si="22">SUMPRODUCT(D9:D13,D45:D49)+SUMPRODUCT(D18:D20,D54:D56)</f>
        <v>33655.013888362533</v>
      </c>
      <c r="Q61" s="347">
        <f t="shared" si="22"/>
        <v>47758.45504665457</v>
      </c>
      <c r="R61" s="347">
        <f t="shared" si="22"/>
        <v>201.52760000000001</v>
      </c>
      <c r="S61" s="347">
        <f t="shared" si="22"/>
        <v>3.9337</v>
      </c>
      <c r="T61" s="347">
        <f t="shared" si="22"/>
        <v>3182.8213627851092</v>
      </c>
      <c r="U61" s="347">
        <f t="shared" si="22"/>
        <v>28482.089500000002</v>
      </c>
      <c r="V61" s="347">
        <f t="shared" si="22"/>
        <v>60787.7042</v>
      </c>
      <c r="W61" s="347">
        <f t="shared" si="22"/>
        <v>2125616.9235263355</v>
      </c>
      <c r="X61" s="347">
        <f t="shared" si="22"/>
        <v>1640156.5376389455</v>
      </c>
      <c r="Y61" s="344">
        <f>SUM(O61:X61)</f>
        <v>7435603.2814224511</v>
      </c>
      <c r="Z61" s="348">
        <f>+Y61/(Y61+Y62)</f>
        <v>0.51000746432699229</v>
      </c>
    </row>
    <row r="62" spans="1:28" s="230" customFormat="1" x14ac:dyDescent="0.6">
      <c r="A62" s="210"/>
      <c r="C62" s="203" t="s">
        <v>20</v>
      </c>
      <c r="D62" s="203" t="s">
        <v>175</v>
      </c>
      <c r="E62" s="203" t="s">
        <v>21</v>
      </c>
      <c r="G62" s="203"/>
      <c r="H62" s="203" t="s">
        <v>20</v>
      </c>
      <c r="I62" s="203" t="s">
        <v>21</v>
      </c>
      <c r="N62" s="239" t="s">
        <v>120</v>
      </c>
      <c r="O62" s="336">
        <f>+O45-O61</f>
        <v>3622486.9682811741</v>
      </c>
      <c r="P62" s="336">
        <f t="shared" ref="P62:X62" si="23">+P45-P61</f>
        <v>36198.061183007128</v>
      </c>
      <c r="Q62" s="336">
        <f t="shared" si="23"/>
        <v>51119.322569164455</v>
      </c>
      <c r="R62" s="336">
        <f t="shared" si="23"/>
        <v>209.47239999999999</v>
      </c>
      <c r="S62" s="336">
        <f t="shared" si="23"/>
        <v>4.0663</v>
      </c>
      <c r="T62" s="336">
        <f t="shared" si="23"/>
        <v>3165.9156784763945</v>
      </c>
      <c r="U62" s="336">
        <f t="shared" si="23"/>
        <v>74253.910499999998</v>
      </c>
      <c r="V62" s="336">
        <f t="shared" si="23"/>
        <v>159684.29579999999</v>
      </c>
      <c r="W62" s="336">
        <f t="shared" si="23"/>
        <v>1747830.508817683</v>
      </c>
      <c r="X62" s="336">
        <f t="shared" si="23"/>
        <v>1448845.0911790738</v>
      </c>
      <c r="Y62" s="344">
        <f t="shared" ref="Y62:Y69" si="24">SUM(O62:X62)</f>
        <v>7143797.6127085788</v>
      </c>
      <c r="Z62" s="351">
        <f>1-Z61</f>
        <v>0.48999253567300771</v>
      </c>
    </row>
    <row r="63" spans="1:28" s="230" customFormat="1" x14ac:dyDescent="0.6">
      <c r="A63" s="210"/>
      <c r="B63" s="337" t="s">
        <v>7</v>
      </c>
      <c r="C63" s="354">
        <f>Input!C73</f>
        <v>112.5</v>
      </c>
      <c r="D63" s="335">
        <f>Input!F74</f>
        <v>0.78454133635334089</v>
      </c>
      <c r="E63" s="355">
        <f>ROUND(+C63*D63,3)</f>
        <v>88.260999999999996</v>
      </c>
      <c r="H63" s="340">
        <f>Input!F81</f>
        <v>0.8745519713261648</v>
      </c>
      <c r="I63" s="340">
        <f>Input!G81</f>
        <v>0.9300382875043508</v>
      </c>
      <c r="J63" s="356" t="s">
        <v>405</v>
      </c>
      <c r="Y63" s="344"/>
    </row>
    <row r="64" spans="1:28" s="230" customFormat="1" x14ac:dyDescent="0.6">
      <c r="A64" s="210"/>
      <c r="B64" s="337" t="s">
        <v>8</v>
      </c>
      <c r="C64" s="354">
        <f>Input!C74</f>
        <v>105.9</v>
      </c>
      <c r="D64" s="335">
        <f>+$D$63</f>
        <v>0.78454133635334089</v>
      </c>
      <c r="E64" s="355">
        <f>ROUND(+C64*D64,3)</f>
        <v>83.082999999999998</v>
      </c>
      <c r="H64" s="340">
        <f>+$H$63</f>
        <v>0.8745519713261648</v>
      </c>
      <c r="I64" s="340">
        <f>+$I$63</f>
        <v>0.9300382875043508</v>
      </c>
      <c r="J64" s="228"/>
      <c r="N64" s="275" t="s">
        <v>53</v>
      </c>
      <c r="Y64" s="344"/>
    </row>
    <row r="65" spans="1:26" s="230" customFormat="1" x14ac:dyDescent="0.6">
      <c r="A65" s="210"/>
      <c r="B65" s="337" t="s">
        <v>9</v>
      </c>
      <c r="C65" s="354">
        <f>Input!C75</f>
        <v>65</v>
      </c>
      <c r="D65" s="335">
        <f>+$D$63</f>
        <v>0.78454133635334089</v>
      </c>
      <c r="E65" s="355">
        <f t="shared" ref="E65:E74" si="25">ROUND(+C65*D65,3)</f>
        <v>50.994999999999997</v>
      </c>
      <c r="H65" s="340">
        <f>+$H$63</f>
        <v>0.8745519713261648</v>
      </c>
      <c r="I65" s="340">
        <f>+$I$63</f>
        <v>0.9300382875043508</v>
      </c>
      <c r="J65" s="228" t="s">
        <v>312</v>
      </c>
      <c r="N65" s="239" t="s">
        <v>119</v>
      </c>
      <c r="O65" s="347">
        <f>SUMPRODUCT(C14:C17,C50:C53)</f>
        <v>2870029.7458608439</v>
      </c>
      <c r="P65" s="347">
        <f t="shared" ref="P65:X65" si="26">SUMPRODUCT(D14:D17,D50:D53)</f>
        <v>10844.133662028511</v>
      </c>
      <c r="Q65" s="347">
        <f t="shared" si="26"/>
        <v>40298.368463952866</v>
      </c>
      <c r="R65" s="347">
        <f t="shared" si="26"/>
        <v>84.759799999999998</v>
      </c>
      <c r="S65" s="347">
        <f t="shared" si="26"/>
        <v>1.548</v>
      </c>
      <c r="T65" s="347">
        <f t="shared" si="26"/>
        <v>1036.7825073875385</v>
      </c>
      <c r="U65" s="347">
        <f t="shared" si="26"/>
        <v>8278.3287</v>
      </c>
      <c r="V65" s="347">
        <f t="shared" si="26"/>
        <v>16962.798299999999</v>
      </c>
      <c r="W65" s="347">
        <f t="shared" si="26"/>
        <v>1295018.0549281156</v>
      </c>
      <c r="X65" s="347">
        <f t="shared" si="26"/>
        <v>906970.82147007855</v>
      </c>
      <c r="Y65" s="344">
        <f t="shared" si="24"/>
        <v>5149525.3416924067</v>
      </c>
      <c r="Z65" s="348">
        <f>+Y65/(Y65+Y66)</f>
        <v>0.53455819243351532</v>
      </c>
    </row>
    <row r="66" spans="1:26" s="230" customFormat="1" x14ac:dyDescent="0.6">
      <c r="A66" s="210"/>
      <c r="B66" s="337" t="s">
        <v>10</v>
      </c>
      <c r="C66" s="354">
        <f>Input!C76</f>
        <v>48.15</v>
      </c>
      <c r="D66" s="335">
        <f>+$D$63</f>
        <v>0.78454133635334089</v>
      </c>
      <c r="E66" s="355">
        <f t="shared" si="25"/>
        <v>37.776000000000003</v>
      </c>
      <c r="H66" s="340">
        <f>+$H$63</f>
        <v>0.8745519713261648</v>
      </c>
      <c r="I66" s="340">
        <f>+$I$63</f>
        <v>0.9300382875043508</v>
      </c>
      <c r="J66" s="228" t="s">
        <v>406</v>
      </c>
      <c r="N66" s="239" t="s">
        <v>120</v>
      </c>
      <c r="O66" s="336">
        <f>+O49-O65</f>
        <v>2650061.0187924951</v>
      </c>
      <c r="P66" s="336">
        <f t="shared" ref="P66:X66" si="27">+P49-P65</f>
        <v>9740.8961011079773</v>
      </c>
      <c r="Q66" s="336">
        <f t="shared" si="27"/>
        <v>36379.326384564731</v>
      </c>
      <c r="R66" s="336">
        <f t="shared" si="27"/>
        <v>79.240200000000002</v>
      </c>
      <c r="S66" s="336">
        <f t="shared" si="27"/>
        <v>1.452</v>
      </c>
      <c r="T66" s="336">
        <f t="shared" si="27"/>
        <v>668.18753224597822</v>
      </c>
      <c r="U66" s="336">
        <f t="shared" si="27"/>
        <v>30566.671300000002</v>
      </c>
      <c r="V66" s="336">
        <f t="shared" si="27"/>
        <v>62806.201700000005</v>
      </c>
      <c r="W66" s="336">
        <f t="shared" si="27"/>
        <v>950378.97743256623</v>
      </c>
      <c r="X66" s="336">
        <f t="shared" si="27"/>
        <v>743028.90806960152</v>
      </c>
      <c r="Y66" s="344">
        <f t="shared" si="24"/>
        <v>4483710.879512582</v>
      </c>
      <c r="Z66" s="351">
        <f>1-Z65</f>
        <v>0.46544180756648468</v>
      </c>
    </row>
    <row r="67" spans="1:26" s="230" customFormat="1" x14ac:dyDescent="0.6">
      <c r="A67" s="210"/>
      <c r="B67" s="337" t="s">
        <v>11</v>
      </c>
      <c r="C67" s="354">
        <f>Input!C77</f>
        <v>48.25</v>
      </c>
      <c r="D67" s="335">
        <f>+$D$63</f>
        <v>0.78454133635334089</v>
      </c>
      <c r="E67" s="355">
        <f t="shared" si="25"/>
        <v>37.853999999999999</v>
      </c>
      <c r="H67" s="340">
        <f>+$H$63</f>
        <v>0.8745519713261648</v>
      </c>
      <c r="I67" s="340">
        <f>+$I$63</f>
        <v>0.9300382875043508</v>
      </c>
      <c r="J67" s="228" t="s">
        <v>407</v>
      </c>
      <c r="Y67" s="344"/>
    </row>
    <row r="68" spans="1:26" s="230" customFormat="1" x14ac:dyDescent="0.6">
      <c r="A68" s="210"/>
      <c r="B68" s="337" t="s">
        <v>12</v>
      </c>
      <c r="C68" s="354">
        <f>Input!C78</f>
        <v>64.599999999999994</v>
      </c>
      <c r="D68" s="357">
        <f>Input!F73</f>
        <v>0.66819484240687688</v>
      </c>
      <c r="E68" s="355">
        <f t="shared" si="25"/>
        <v>43.164999999999999</v>
      </c>
      <c r="H68" s="358">
        <f>Input!F80</f>
        <v>0.85206453377085045</v>
      </c>
      <c r="I68" s="358">
        <f>Input!G80</f>
        <v>0.90409836065573768</v>
      </c>
      <c r="N68" s="239" t="s">
        <v>191</v>
      </c>
      <c r="O68" s="336">
        <f>+O61+O65</f>
        <v>6365788.0208202116</v>
      </c>
      <c r="P68" s="336">
        <f t="shared" ref="P68:X68" si="28">+P61+P65</f>
        <v>44499.147550391048</v>
      </c>
      <c r="Q68" s="336">
        <f t="shared" si="28"/>
        <v>88056.823510607443</v>
      </c>
      <c r="R68" s="336">
        <f t="shared" si="28"/>
        <v>286.28739999999999</v>
      </c>
      <c r="S68" s="336">
        <f t="shared" si="28"/>
        <v>5.4817</v>
      </c>
      <c r="T68" s="336">
        <f t="shared" si="28"/>
        <v>4219.6038701726475</v>
      </c>
      <c r="U68" s="336">
        <f t="shared" si="28"/>
        <v>36760.4182</v>
      </c>
      <c r="V68" s="336">
        <f t="shared" si="28"/>
        <v>77750.502500000002</v>
      </c>
      <c r="W68" s="336">
        <f t="shared" si="28"/>
        <v>3420634.9784544511</v>
      </c>
      <c r="X68" s="336">
        <f t="shared" si="28"/>
        <v>2547127.3591090241</v>
      </c>
      <c r="Y68" s="344">
        <f t="shared" si="24"/>
        <v>12585128.62311486</v>
      </c>
      <c r="Z68" s="348">
        <f>+Y68/(Y68+Y69)</f>
        <v>0.51977521337994115</v>
      </c>
    </row>
    <row r="69" spans="1:26" s="230" customFormat="1" x14ac:dyDescent="0.6">
      <c r="A69" s="210"/>
      <c r="B69" s="337" t="s">
        <v>13</v>
      </c>
      <c r="C69" s="354">
        <f>Input!C79</f>
        <v>81.599999999999994</v>
      </c>
      <c r="D69" s="359">
        <f>+$D$68</f>
        <v>0.66819484240687688</v>
      </c>
      <c r="E69" s="355">
        <f t="shared" si="25"/>
        <v>54.524999999999999</v>
      </c>
      <c r="H69" s="360">
        <f>+$H$68</f>
        <v>0.85206453377085045</v>
      </c>
      <c r="I69" s="360">
        <f>+$I$68</f>
        <v>0.90409836065573768</v>
      </c>
      <c r="N69" s="239" t="s">
        <v>192</v>
      </c>
      <c r="O69" s="336">
        <f>+O62+O66</f>
        <v>6272547.9870736692</v>
      </c>
      <c r="P69" s="336">
        <f t="shared" ref="P69:X69" si="29">+P62+P66</f>
        <v>45938.957284115109</v>
      </c>
      <c r="Q69" s="336">
        <f t="shared" si="29"/>
        <v>87498.648953729193</v>
      </c>
      <c r="R69" s="336">
        <f t="shared" si="29"/>
        <v>288.71260000000001</v>
      </c>
      <c r="S69" s="336">
        <f t="shared" si="29"/>
        <v>5.5183</v>
      </c>
      <c r="T69" s="336">
        <f t="shared" si="29"/>
        <v>3834.1032107223728</v>
      </c>
      <c r="U69" s="336">
        <f t="shared" si="29"/>
        <v>104820.5818</v>
      </c>
      <c r="V69" s="336">
        <f t="shared" si="29"/>
        <v>222490.4975</v>
      </c>
      <c r="W69" s="336">
        <f t="shared" si="29"/>
        <v>2698209.4862502492</v>
      </c>
      <c r="X69" s="336">
        <f t="shared" si="29"/>
        <v>2191873.9992486751</v>
      </c>
      <c r="Y69" s="344">
        <f t="shared" si="24"/>
        <v>11627508.492221158</v>
      </c>
      <c r="Z69" s="351">
        <f>1-Z68</f>
        <v>0.48022478662005885</v>
      </c>
    </row>
    <row r="70" spans="1:26" s="230" customFormat="1" x14ac:dyDescent="0.6">
      <c r="A70" s="210"/>
      <c r="B70" s="337" t="s">
        <v>14</v>
      </c>
      <c r="C70" s="354">
        <f>Input!C80</f>
        <v>76.5</v>
      </c>
      <c r="D70" s="359">
        <f>+$D$68</f>
        <v>0.66819484240687688</v>
      </c>
      <c r="E70" s="355">
        <f t="shared" si="25"/>
        <v>51.116999999999997</v>
      </c>
      <c r="H70" s="360">
        <f>+$H$68</f>
        <v>0.85206453377085045</v>
      </c>
      <c r="I70" s="360">
        <f>+$I$68</f>
        <v>0.90409836065573768</v>
      </c>
    </row>
    <row r="71" spans="1:26" s="230" customFormat="1" x14ac:dyDescent="0.6">
      <c r="A71" s="210"/>
      <c r="B71" s="337" t="s">
        <v>15</v>
      </c>
      <c r="C71" s="354">
        <f>Input!C81</f>
        <v>64.900000000000006</v>
      </c>
      <c r="D71" s="361">
        <f>+$D$68</f>
        <v>0.66819484240687688</v>
      </c>
      <c r="E71" s="355">
        <f t="shared" si="25"/>
        <v>43.366</v>
      </c>
      <c r="H71" s="362">
        <f>+$H$68</f>
        <v>0.85206453377085045</v>
      </c>
      <c r="I71" s="362">
        <f>+$I$68</f>
        <v>0.90409836065573768</v>
      </c>
    </row>
    <row r="72" spans="1:26" s="230" customFormat="1" x14ac:dyDescent="0.6">
      <c r="A72" s="210"/>
      <c r="B72" s="337" t="s">
        <v>16</v>
      </c>
      <c r="C72" s="354">
        <f>Input!C82</f>
        <v>56.45</v>
      </c>
      <c r="D72" s="335">
        <f>+$D$63</f>
        <v>0.78454133635334089</v>
      </c>
      <c r="E72" s="355">
        <f t="shared" si="25"/>
        <v>44.286999999999999</v>
      </c>
      <c r="H72" s="340">
        <f>+$H$63</f>
        <v>0.8745519713261648</v>
      </c>
      <c r="I72" s="340">
        <f>+$I$63</f>
        <v>0.9300382875043508</v>
      </c>
    </row>
    <row r="73" spans="1:26" s="230" customFormat="1" x14ac:dyDescent="0.6">
      <c r="A73" s="210"/>
      <c r="B73" s="337" t="s">
        <v>17</v>
      </c>
      <c r="C73" s="354">
        <f>Input!C83</f>
        <v>57.25</v>
      </c>
      <c r="D73" s="335">
        <f>+$D$63</f>
        <v>0.78454133635334089</v>
      </c>
      <c r="E73" s="355">
        <f t="shared" si="25"/>
        <v>44.914999999999999</v>
      </c>
      <c r="H73" s="340">
        <f>+$H$63</f>
        <v>0.8745519713261648</v>
      </c>
      <c r="I73" s="340">
        <f>+$I$63</f>
        <v>0.9300382875043508</v>
      </c>
    </row>
    <row r="74" spans="1:26" s="230" customFormat="1" x14ac:dyDescent="0.6">
      <c r="A74" s="210"/>
      <c r="B74" s="337" t="s">
        <v>18</v>
      </c>
      <c r="C74" s="354">
        <f>Input!C84</f>
        <v>70</v>
      </c>
      <c r="D74" s="335">
        <f>+$D$63</f>
        <v>0.78454133635334089</v>
      </c>
      <c r="E74" s="355">
        <f t="shared" si="25"/>
        <v>54.917999999999999</v>
      </c>
      <c r="H74" s="340">
        <f>+$H$63</f>
        <v>0.8745519713261648</v>
      </c>
      <c r="I74" s="340">
        <f>+$I$63</f>
        <v>0.9300382875043508</v>
      </c>
    </row>
    <row r="75" spans="1:26" s="230" customFormat="1" x14ac:dyDescent="0.6">
      <c r="A75" s="210"/>
      <c r="B75" s="337"/>
      <c r="C75" s="363"/>
      <c r="D75" s="363"/>
      <c r="G75" s="334"/>
      <c r="K75" s="334"/>
    </row>
    <row r="76" spans="1:26" s="230" customFormat="1" x14ac:dyDescent="0.6">
      <c r="A76" s="210"/>
      <c r="B76" s="231"/>
      <c r="C76" s="231"/>
      <c r="D76" s="363"/>
      <c r="G76" s="334"/>
      <c r="K76" s="334"/>
    </row>
    <row r="77" spans="1:26" s="230" customFormat="1" x14ac:dyDescent="0.6">
      <c r="A77" s="208" t="s">
        <v>67</v>
      </c>
      <c r="B77" s="218" t="s">
        <v>42</v>
      </c>
      <c r="C77" s="203" t="str">
        <f>+C7</f>
        <v>RS</v>
      </c>
      <c r="D77" s="203" t="str">
        <f t="shared" ref="D77:L77" si="30">+D7</f>
        <v>RHS</v>
      </c>
      <c r="E77" s="203" t="str">
        <f t="shared" si="30"/>
        <v>RLM</v>
      </c>
      <c r="F77" s="203" t="str">
        <f t="shared" si="30"/>
        <v>WH</v>
      </c>
      <c r="G77" s="203" t="str">
        <f t="shared" si="30"/>
        <v>WHS</v>
      </c>
      <c r="H77" s="203" t="str">
        <f t="shared" si="30"/>
        <v>HS</v>
      </c>
      <c r="I77" s="203" t="str">
        <f t="shared" si="30"/>
        <v>PSAL</v>
      </c>
      <c r="J77" s="203" t="str">
        <f t="shared" si="30"/>
        <v>BPL</v>
      </c>
      <c r="K77" s="203" t="str">
        <f t="shared" si="30"/>
        <v>GLP</v>
      </c>
      <c r="L77" s="203" t="str">
        <f t="shared" si="30"/>
        <v>LPL-S</v>
      </c>
      <c r="M77" s="203"/>
      <c r="P77" s="364" t="s">
        <v>293</v>
      </c>
      <c r="Q77" s="364" t="s">
        <v>294</v>
      </c>
      <c r="R77" s="364" t="s">
        <v>292</v>
      </c>
    </row>
    <row r="78" spans="1:26" s="230" customFormat="1" x14ac:dyDescent="0.6">
      <c r="A78" s="210"/>
      <c r="B78" s="219" t="s">
        <v>278</v>
      </c>
      <c r="C78" s="365"/>
      <c r="D78" s="275"/>
      <c r="E78" s="275"/>
      <c r="F78" s="275"/>
      <c r="P78" s="230" t="s">
        <v>290</v>
      </c>
      <c r="Q78" s="366">
        <f>Input!C89</f>
        <v>5.8326999999999997E-2</v>
      </c>
      <c r="R78" s="230" t="s">
        <v>325</v>
      </c>
    </row>
    <row r="79" spans="1:26" s="230" customFormat="1" x14ac:dyDescent="0.6">
      <c r="A79" s="210"/>
      <c r="B79" s="337" t="s">
        <v>262</v>
      </c>
      <c r="C79" s="231">
        <f>1-((1-$Q$78)*(1-$Q$79))</f>
        <v>6.2621028879999985E-2</v>
      </c>
      <c r="D79" s="231">
        <f>+$C79</f>
        <v>6.2621028879999985E-2</v>
      </c>
      <c r="E79" s="231">
        <f t="shared" ref="E79:L79" si="31">+$C79</f>
        <v>6.2621028879999985E-2</v>
      </c>
      <c r="F79" s="231">
        <f t="shared" si="31"/>
        <v>6.2621028879999985E-2</v>
      </c>
      <c r="G79" s="231">
        <f t="shared" si="31"/>
        <v>6.2621028879999985E-2</v>
      </c>
      <c r="H79" s="231">
        <f t="shared" si="31"/>
        <v>6.2621028879999985E-2</v>
      </c>
      <c r="I79" s="231">
        <f t="shared" si="31"/>
        <v>6.2621028879999985E-2</v>
      </c>
      <c r="J79" s="231">
        <f t="shared" si="31"/>
        <v>6.2621028879999985E-2</v>
      </c>
      <c r="K79" s="231">
        <f t="shared" si="31"/>
        <v>6.2621028879999985E-2</v>
      </c>
      <c r="L79" s="231">
        <f t="shared" si="31"/>
        <v>6.2621028879999985E-2</v>
      </c>
      <c r="M79" s="231"/>
      <c r="N79" s="276"/>
      <c r="P79" s="230" t="s">
        <v>291</v>
      </c>
      <c r="Q79" s="366">
        <f>Input!C90</f>
        <v>4.5599999999999998E-3</v>
      </c>
      <c r="R79" s="230" t="s">
        <v>295</v>
      </c>
    </row>
    <row r="80" spans="1:26" s="230" customFormat="1" x14ac:dyDescent="0.6">
      <c r="A80" s="210"/>
      <c r="B80" s="230" t="s">
        <v>263</v>
      </c>
      <c r="C80" s="367">
        <f>ROUND(1/(1-C79),6)</f>
        <v>1.0668040000000001</v>
      </c>
      <c r="D80" s="367">
        <f t="shared" ref="D80:L80" si="32">ROUND(1/(1-D79),6)</f>
        <v>1.0668040000000001</v>
      </c>
      <c r="E80" s="367">
        <f t="shared" si="32"/>
        <v>1.0668040000000001</v>
      </c>
      <c r="F80" s="367">
        <f t="shared" si="32"/>
        <v>1.0668040000000001</v>
      </c>
      <c r="G80" s="367">
        <f t="shared" si="32"/>
        <v>1.0668040000000001</v>
      </c>
      <c r="H80" s="367">
        <f t="shared" si="32"/>
        <v>1.0668040000000001</v>
      </c>
      <c r="I80" s="367">
        <f t="shared" si="32"/>
        <v>1.0668040000000001</v>
      </c>
      <c r="J80" s="367">
        <f t="shared" si="32"/>
        <v>1.0668040000000001</v>
      </c>
      <c r="K80" s="367">
        <f t="shared" si="32"/>
        <v>1.0668040000000001</v>
      </c>
      <c r="L80" s="367">
        <f t="shared" si="32"/>
        <v>1.0668040000000001</v>
      </c>
      <c r="M80" s="368"/>
      <c r="P80" s="230" t="s">
        <v>297</v>
      </c>
      <c r="Q80" s="366">
        <f>+Input!C91</f>
        <v>1.2492669629485992E-2</v>
      </c>
      <c r="R80" s="230" t="s">
        <v>296</v>
      </c>
    </row>
    <row r="81" spans="1:17" s="230" customFormat="1" x14ac:dyDescent="0.6">
      <c r="A81" s="210"/>
      <c r="B81" s="230" t="s">
        <v>264</v>
      </c>
      <c r="C81" s="367">
        <f>1/C80</f>
        <v>0.93737931241352668</v>
      </c>
      <c r="D81" s="367">
        <f t="shared" ref="D81:L81" si="33">1/D80</f>
        <v>0.93737931241352668</v>
      </c>
      <c r="E81" s="367">
        <f t="shared" si="33"/>
        <v>0.93737931241352668</v>
      </c>
      <c r="F81" s="367">
        <f t="shared" si="33"/>
        <v>0.93737931241352668</v>
      </c>
      <c r="G81" s="367">
        <f t="shared" si="33"/>
        <v>0.93737931241352668</v>
      </c>
      <c r="H81" s="367">
        <f t="shared" si="33"/>
        <v>0.93737931241352668</v>
      </c>
      <c r="I81" s="367">
        <f t="shared" si="33"/>
        <v>0.93737931241352668</v>
      </c>
      <c r="J81" s="367">
        <f t="shared" si="33"/>
        <v>0.93737931241352668</v>
      </c>
      <c r="K81" s="367">
        <f t="shared" si="33"/>
        <v>0.93737931241352668</v>
      </c>
      <c r="L81" s="367">
        <f t="shared" si="33"/>
        <v>0.93737931241352668</v>
      </c>
      <c r="M81" s="368"/>
      <c r="P81" s="230" t="s">
        <v>298</v>
      </c>
      <c r="Q81" s="233">
        <f>ROUND(1-((1-Q80)/(1-Q79)),7)</f>
        <v>7.9690000000000004E-3</v>
      </c>
    </row>
    <row r="82" spans="1:17" s="230" customFormat="1" x14ac:dyDescent="0.6">
      <c r="A82" s="210"/>
      <c r="C82" s="368"/>
      <c r="D82" s="368"/>
      <c r="E82" s="368"/>
      <c r="F82" s="368"/>
      <c r="G82" s="368"/>
      <c r="H82" s="368"/>
      <c r="I82" s="368"/>
      <c r="J82" s="368"/>
      <c r="K82" s="368"/>
      <c r="L82" s="368"/>
      <c r="M82" s="368"/>
    </row>
    <row r="83" spans="1:17" s="230" customFormat="1" x14ac:dyDescent="0.6">
      <c r="A83" s="210"/>
      <c r="B83" s="219" t="s">
        <v>277</v>
      </c>
      <c r="C83" s="368"/>
      <c r="D83" s="368"/>
      <c r="E83" s="368"/>
      <c r="F83" s="368"/>
      <c r="G83" s="368"/>
      <c r="H83" s="368"/>
      <c r="I83" s="368"/>
      <c r="J83" s="368"/>
      <c r="K83" s="368"/>
      <c r="L83" s="368"/>
      <c r="M83" s="368"/>
    </row>
    <row r="84" spans="1:17" s="230" customFormat="1" x14ac:dyDescent="0.6">
      <c r="A84" s="210"/>
      <c r="B84" s="337" t="s">
        <v>262</v>
      </c>
      <c r="C84" s="231">
        <f>1-((1-$Q$78)/((1-$Q$80)/(1-$Q$79)))</f>
        <v>5.0762518625260045E-2</v>
      </c>
      <c r="D84" s="231">
        <f>+$C84</f>
        <v>5.0762518625260045E-2</v>
      </c>
      <c r="E84" s="231">
        <f t="shared" ref="E84:L84" si="34">+$C84</f>
        <v>5.0762518625260045E-2</v>
      </c>
      <c r="F84" s="231">
        <f t="shared" si="34"/>
        <v>5.0762518625260045E-2</v>
      </c>
      <c r="G84" s="231">
        <f t="shared" si="34"/>
        <v>5.0762518625260045E-2</v>
      </c>
      <c r="H84" s="231">
        <f t="shared" si="34"/>
        <v>5.0762518625260045E-2</v>
      </c>
      <c r="I84" s="231">
        <f t="shared" si="34"/>
        <v>5.0762518625260045E-2</v>
      </c>
      <c r="J84" s="231">
        <f t="shared" si="34"/>
        <v>5.0762518625260045E-2</v>
      </c>
      <c r="K84" s="231">
        <f t="shared" si="34"/>
        <v>5.0762518625260045E-2</v>
      </c>
      <c r="L84" s="231">
        <f t="shared" si="34"/>
        <v>5.0762518625260045E-2</v>
      </c>
      <c r="M84" s="368"/>
    </row>
    <row r="85" spans="1:17" s="230" customFormat="1" x14ac:dyDescent="0.6">
      <c r="A85" s="210"/>
      <c r="B85" s="230" t="s">
        <v>263</v>
      </c>
      <c r="C85" s="367">
        <f>ROUND(1/(1-C84),6)</f>
        <v>1.053477</v>
      </c>
      <c r="D85" s="367">
        <f>+$C$85</f>
        <v>1.053477</v>
      </c>
      <c r="E85" s="367">
        <f t="shared" ref="E85:L85" si="35">+$C$85</f>
        <v>1.053477</v>
      </c>
      <c r="F85" s="367">
        <f t="shared" si="35"/>
        <v>1.053477</v>
      </c>
      <c r="G85" s="367">
        <f t="shared" si="35"/>
        <v>1.053477</v>
      </c>
      <c r="H85" s="367">
        <f t="shared" si="35"/>
        <v>1.053477</v>
      </c>
      <c r="I85" s="367">
        <f t="shared" si="35"/>
        <v>1.053477</v>
      </c>
      <c r="J85" s="367">
        <f t="shared" si="35"/>
        <v>1.053477</v>
      </c>
      <c r="K85" s="367">
        <f t="shared" si="35"/>
        <v>1.053477</v>
      </c>
      <c r="L85" s="367">
        <f t="shared" si="35"/>
        <v>1.053477</v>
      </c>
      <c r="M85" s="368"/>
    </row>
    <row r="86" spans="1:17" s="230" customFormat="1" x14ac:dyDescent="0.6">
      <c r="A86" s="210"/>
      <c r="B86" s="230" t="s">
        <v>264</v>
      </c>
      <c r="C86" s="367">
        <f>1/C85</f>
        <v>0.94923761980565313</v>
      </c>
      <c r="D86" s="367">
        <f t="shared" ref="D86:L86" si="36">1/D85</f>
        <v>0.94923761980565313</v>
      </c>
      <c r="E86" s="367">
        <f t="shared" si="36"/>
        <v>0.94923761980565313</v>
      </c>
      <c r="F86" s="367">
        <f t="shared" si="36"/>
        <v>0.94923761980565313</v>
      </c>
      <c r="G86" s="367">
        <f t="shared" si="36"/>
        <v>0.94923761980565313</v>
      </c>
      <c r="H86" s="367">
        <f t="shared" si="36"/>
        <v>0.94923761980565313</v>
      </c>
      <c r="I86" s="367">
        <f t="shared" si="36"/>
        <v>0.94923761980565313</v>
      </c>
      <c r="J86" s="367">
        <f t="shared" si="36"/>
        <v>0.94923761980565313</v>
      </c>
      <c r="K86" s="367">
        <f t="shared" si="36"/>
        <v>0.94923761980565313</v>
      </c>
      <c r="L86" s="367">
        <f t="shared" si="36"/>
        <v>0.94923761980565313</v>
      </c>
      <c r="M86" s="368"/>
    </row>
    <row r="87" spans="1:17" s="230" customFormat="1" x14ac:dyDescent="0.6">
      <c r="A87" s="210"/>
      <c r="C87" s="369"/>
      <c r="D87" s="368"/>
      <c r="E87" s="368"/>
      <c r="F87" s="368"/>
      <c r="G87" s="368"/>
      <c r="H87" s="368"/>
      <c r="I87" s="368"/>
      <c r="J87" s="368"/>
      <c r="K87" s="368"/>
      <c r="L87" s="368"/>
      <c r="M87" s="368"/>
    </row>
    <row r="88" spans="1:17" s="230" customFormat="1" x14ac:dyDescent="0.6">
      <c r="A88" s="210"/>
    </row>
    <row r="89" spans="1:17" s="230" customFormat="1" x14ac:dyDescent="0.6">
      <c r="A89" s="208" t="s">
        <v>68</v>
      </c>
      <c r="B89" s="206" t="s">
        <v>138</v>
      </c>
    </row>
    <row r="90" spans="1:17" s="230" customFormat="1" x14ac:dyDescent="0.6">
      <c r="A90" s="265"/>
      <c r="B90" s="207" t="s">
        <v>234</v>
      </c>
    </row>
    <row r="91" spans="1:17" s="230" customFormat="1" x14ac:dyDescent="0.6">
      <c r="A91" s="210"/>
      <c r="B91" s="207" t="s">
        <v>40</v>
      </c>
    </row>
    <row r="92" spans="1:17" s="230" customFormat="1" x14ac:dyDescent="0.6">
      <c r="A92" s="210"/>
      <c r="B92" s="206"/>
      <c r="C92" s="203" t="str">
        <f>+C7</f>
        <v>RS</v>
      </c>
      <c r="D92" s="203" t="str">
        <f t="shared" ref="D92:L92" si="37">+D7</f>
        <v>RHS</v>
      </c>
      <c r="E92" s="203" t="str">
        <f t="shared" si="37"/>
        <v>RLM</v>
      </c>
      <c r="F92" s="203" t="str">
        <f t="shared" si="37"/>
        <v>WH</v>
      </c>
      <c r="G92" s="203" t="str">
        <f t="shared" si="37"/>
        <v>WHS</v>
      </c>
      <c r="H92" s="203" t="str">
        <f t="shared" si="37"/>
        <v>HS</v>
      </c>
      <c r="I92" s="203" t="str">
        <f t="shared" si="37"/>
        <v>PSAL</v>
      </c>
      <c r="J92" s="203" t="str">
        <f t="shared" si="37"/>
        <v>BPL</v>
      </c>
      <c r="K92" s="203" t="str">
        <f t="shared" si="37"/>
        <v>GLP</v>
      </c>
      <c r="L92" s="203" t="str">
        <f t="shared" si="37"/>
        <v>LPL-S</v>
      </c>
      <c r="M92" s="203"/>
    </row>
    <row r="93" spans="1:17" s="230" customFormat="1" x14ac:dyDescent="0.6">
      <c r="A93" s="210"/>
    </row>
    <row r="94" spans="1:17" s="230" customFormat="1" x14ac:dyDescent="0.6">
      <c r="A94" s="210"/>
      <c r="B94" s="337" t="s">
        <v>23</v>
      </c>
      <c r="C94" s="370">
        <f t="shared" ref="C94:L94" si="38">(SUMPRODUCT(C14:C17,C50:C53,$C68:$C71,$H68:$H71)*C80+SUMPRODUCT(O14:O17,C50:C53,$E68:$E71,$I68:$I71)*C80)/SUM(C50:C53)</f>
        <v>57.422421658755738</v>
      </c>
      <c r="D94" s="370">
        <f t="shared" si="38"/>
        <v>57.386047970301234</v>
      </c>
      <c r="E94" s="370">
        <f t="shared" si="38"/>
        <v>57.180895750153269</v>
      </c>
      <c r="F94" s="370">
        <f t="shared" si="38"/>
        <v>55.723448112641009</v>
      </c>
      <c r="G94" s="370">
        <f t="shared" si="38"/>
        <v>54.97517801301197</v>
      </c>
      <c r="H94" s="370">
        <f t="shared" si="38"/>
        <v>58.409488669946441</v>
      </c>
      <c r="I94" s="370">
        <f t="shared" si="38"/>
        <v>50.315714726775049</v>
      </c>
      <c r="J94" s="370">
        <f t="shared" si="38"/>
        <v>50.210007830321146</v>
      </c>
      <c r="K94" s="370">
        <f t="shared" si="38"/>
        <v>57.812983567529166</v>
      </c>
      <c r="L94" s="370">
        <f t="shared" si="38"/>
        <v>57.025763873471028</v>
      </c>
      <c r="M94" s="370"/>
    </row>
    <row r="95" spans="1:17" s="230" customFormat="1" x14ac:dyDescent="0.6">
      <c r="A95" s="210"/>
      <c r="B95" s="371" t="s">
        <v>80</v>
      </c>
      <c r="C95" s="370">
        <f t="shared" ref="C95:L95" si="39">(SUMPRODUCT(C14:C17,C50:C53,$C68:$C71,$H68:$H71)*C80)/SUMPRODUCT(C14:C17,C50:C53)</f>
        <v>66.835082021538568</v>
      </c>
      <c r="D95" s="370">
        <f t="shared" si="39"/>
        <v>66.629600395294759</v>
      </c>
      <c r="E95" s="370">
        <f t="shared" si="39"/>
        <v>66.425092813047272</v>
      </c>
      <c r="F95" s="370">
        <f t="shared" si="39"/>
        <v>64.932037562142341</v>
      </c>
      <c r="G95" s="370">
        <f t="shared" si="39"/>
        <v>64.10592780262273</v>
      </c>
      <c r="H95" s="370">
        <f t="shared" si="39"/>
        <v>65.982401865211017</v>
      </c>
      <c r="I95" s="370">
        <f t="shared" si="39"/>
        <v>65.063755850064481</v>
      </c>
      <c r="J95" s="370">
        <f t="shared" si="39"/>
        <v>64.948715658889057</v>
      </c>
      <c r="K95" s="370">
        <f t="shared" si="39"/>
        <v>65.982358553847902</v>
      </c>
      <c r="L95" s="370">
        <f t="shared" si="39"/>
        <v>65.634942810475223</v>
      </c>
      <c r="M95" s="370"/>
    </row>
    <row r="96" spans="1:17" s="230" customFormat="1" x14ac:dyDescent="0.6">
      <c r="A96" s="210"/>
      <c r="B96" s="371" t="s">
        <v>81</v>
      </c>
      <c r="C96" s="370">
        <f t="shared" ref="C96:L96" si="40">(SUMPRODUCT(O14:O17,C50:C53,$E68:$E71,$I68:$I71)*C80)/SUMPRODUCT(O14:O17,C50:C53)</f>
        <v>47.228461958468792</v>
      </c>
      <c r="D96" s="370">
        <f t="shared" si="40"/>
        <v>47.09558629530234</v>
      </c>
      <c r="E96" s="370">
        <f t="shared" si="40"/>
        <v>46.940847447556024</v>
      </c>
      <c r="F96" s="370">
        <f t="shared" si="40"/>
        <v>45.873419970084043</v>
      </c>
      <c r="G96" s="370">
        <f t="shared" si="40"/>
        <v>45.240742286898012</v>
      </c>
      <c r="H96" s="370">
        <f t="shared" si="40"/>
        <v>46.659098918698817</v>
      </c>
      <c r="I96" s="370">
        <f t="shared" si="40"/>
        <v>46.321523442370882</v>
      </c>
      <c r="J96" s="370">
        <f t="shared" si="40"/>
        <v>46.229354306759497</v>
      </c>
      <c r="K96" s="370">
        <f t="shared" si="40"/>
        <v>46.681121062172394</v>
      </c>
      <c r="L96" s="370">
        <f t="shared" si="40"/>
        <v>46.517055520570473</v>
      </c>
      <c r="M96" s="370"/>
    </row>
    <row r="97" spans="1:13" s="230" customFormat="1" x14ac:dyDescent="0.6">
      <c r="A97" s="210"/>
      <c r="C97" s="332"/>
      <c r="D97" s="332"/>
      <c r="E97" s="332"/>
      <c r="F97" s="332"/>
      <c r="G97" s="332"/>
      <c r="H97" s="332"/>
      <c r="I97" s="332"/>
      <c r="J97" s="332"/>
      <c r="K97" s="332"/>
      <c r="L97" s="332"/>
      <c r="M97" s="332"/>
    </row>
    <row r="98" spans="1:13" s="230" customFormat="1" x14ac:dyDescent="0.6">
      <c r="A98" s="210"/>
      <c r="B98" s="337" t="s">
        <v>24</v>
      </c>
      <c r="C98" s="370">
        <f t="shared" ref="C98:L98" si="41">(SUMPRODUCT(C9:C13,C45:C49,$C63:$C67,$H63:$H67)*C80+SUMPRODUCT(O9:O13,C45:C49,$E63:$E67,$I63:$I67)*C80+SUMPRODUCT(C18:C20,C54:C56,$C72:$C74,$H72:$H74)*C80+SUMPRODUCT(O18:O20,C54:C56,$E72:$E74,$I72:$I74)*C80)/SUM(C45:C49,C54:C56)</f>
        <v>63.296081059203544</v>
      </c>
      <c r="D98" s="370">
        <f t="shared" si="41"/>
        <v>67.71223110010105</v>
      </c>
      <c r="E98" s="370">
        <f t="shared" si="41"/>
        <v>62.796668253465363</v>
      </c>
      <c r="F98" s="370">
        <f t="shared" si="41"/>
        <v>61.628087244974701</v>
      </c>
      <c r="G98" s="370">
        <f t="shared" si="41"/>
        <v>60.170257178460034</v>
      </c>
      <c r="H98" s="370">
        <f t="shared" si="41"/>
        <v>68.130863113983864</v>
      </c>
      <c r="I98" s="370">
        <f t="shared" si="41"/>
        <v>59.684108356251848</v>
      </c>
      <c r="J98" s="370">
        <f t="shared" si="41"/>
        <v>59.645230880589565</v>
      </c>
      <c r="K98" s="370">
        <f t="shared" si="41"/>
        <v>61.746065089732738</v>
      </c>
      <c r="L98" s="370">
        <f t="shared" si="41"/>
        <v>60.976798555710225</v>
      </c>
      <c r="M98" s="370"/>
    </row>
    <row r="99" spans="1:13" s="230" customFormat="1" x14ac:dyDescent="0.6">
      <c r="A99" s="210"/>
      <c r="B99" s="371" t="s">
        <v>80</v>
      </c>
      <c r="C99" s="370">
        <f t="shared" ref="C99:L99" si="42">(SUMPRODUCT(C9:C13,C45:C49,$C63:$C67,$H63:$H67)*C80+SUMPRODUCT(C18:C20,C54:C56,$C72:$C74,$H72:$H74)*C80)/(SUMPRODUCT(C9:C13,C45:C49)+SUMPRODUCT(C18:C20,C54:C56))</f>
        <v>68.965319722907992</v>
      </c>
      <c r="D99" s="370">
        <f t="shared" si="42"/>
        <v>73.764592223081223</v>
      </c>
      <c r="E99" s="370">
        <f t="shared" si="42"/>
        <v>68.548290705227942</v>
      </c>
      <c r="F99" s="370">
        <f t="shared" si="42"/>
        <v>67.206871556651336</v>
      </c>
      <c r="G99" s="370">
        <f t="shared" si="42"/>
        <v>65.57021097910112</v>
      </c>
      <c r="H99" s="370">
        <f t="shared" si="42"/>
        <v>73.582848725046034</v>
      </c>
      <c r="I99" s="370">
        <f t="shared" si="42"/>
        <v>69.36070348665406</v>
      </c>
      <c r="J99" s="370">
        <f t="shared" si="42"/>
        <v>69.421671819332119</v>
      </c>
      <c r="K99" s="370">
        <f t="shared" si="42"/>
        <v>66.54659362127633</v>
      </c>
      <c r="L99" s="370">
        <f t="shared" si="42"/>
        <v>65.956699525581854</v>
      </c>
      <c r="M99" s="370"/>
    </row>
    <row r="100" spans="1:13" s="230" customFormat="1" x14ac:dyDescent="0.6">
      <c r="A100" s="210"/>
      <c r="B100" s="371" t="s">
        <v>81</v>
      </c>
      <c r="C100" s="370">
        <f t="shared" ref="C100:L100" si="43">(SUMPRODUCT(O9:O13,C45:C49,$E63:$E67,$I63:$I67)*C80+SUMPRODUCT(O18:O20,C54:C56,$E72:$E74,$I72:$I74)*C80)/(SUMPRODUCT(O9:O13,C45:C49)+SUMPRODUCT(O18:O20,C54:C56))</f>
        <v>57.825174429339818</v>
      </c>
      <c r="D100" s="370">
        <f t="shared" si="43"/>
        <v>62.08507066679848</v>
      </c>
      <c r="E100" s="370">
        <f t="shared" si="43"/>
        <v>57.423189331944485</v>
      </c>
      <c r="F100" s="370">
        <f t="shared" si="43"/>
        <v>56.260893222039726</v>
      </c>
      <c r="G100" s="370">
        <f t="shared" si="43"/>
        <v>54.946393158200394</v>
      </c>
      <c r="H100" s="370">
        <f t="shared" si="43"/>
        <v>62.649764425709037</v>
      </c>
      <c r="I100" s="370">
        <f t="shared" si="43"/>
        <v>55.972389381405677</v>
      </c>
      <c r="J100" s="370">
        <f t="shared" si="43"/>
        <v>55.923591273289794</v>
      </c>
      <c r="K100" s="370">
        <f t="shared" si="43"/>
        <v>55.907921953403928</v>
      </c>
      <c r="L100" s="370">
        <f t="shared" si="43"/>
        <v>55.339331042960112</v>
      </c>
      <c r="M100" s="370"/>
    </row>
    <row r="101" spans="1:13" s="230" customFormat="1" x14ac:dyDescent="0.6">
      <c r="A101" s="210"/>
      <c r="C101" s="332"/>
      <c r="D101" s="332"/>
      <c r="E101" s="332"/>
      <c r="F101" s="332"/>
      <c r="G101" s="332"/>
      <c r="H101" s="332"/>
      <c r="I101" s="332"/>
      <c r="J101" s="332"/>
      <c r="K101" s="332"/>
      <c r="L101" s="332"/>
      <c r="M101" s="332"/>
    </row>
    <row r="102" spans="1:13" s="230" customFormat="1" x14ac:dyDescent="0.6">
      <c r="A102" s="210"/>
      <c r="B102" s="230" t="s">
        <v>22</v>
      </c>
      <c r="C102" s="370">
        <f t="shared" ref="C102:L102" si="44">(C94*SUM(C50:C53)+C98*SUM(C45:C49,C54:C56))/C57</f>
        <v>60.730622046966509</v>
      </c>
      <c r="D102" s="332">
        <f t="shared" si="44"/>
        <v>65.361841433538444</v>
      </c>
      <c r="E102" s="332">
        <f t="shared" si="44"/>
        <v>60.34385670448254</v>
      </c>
      <c r="F102" s="332">
        <f t="shared" si="44"/>
        <v>59.943981475056916</v>
      </c>
      <c r="G102" s="332">
        <f t="shared" si="44"/>
        <v>58.753417406065111</v>
      </c>
      <c r="H102" s="332">
        <f t="shared" si="44"/>
        <v>66.072847841680129</v>
      </c>
      <c r="I102" s="332">
        <f t="shared" si="44"/>
        <v>57.113740506490743</v>
      </c>
      <c r="J102" s="332">
        <f t="shared" si="44"/>
        <v>57.138450302664303</v>
      </c>
      <c r="K102" s="332">
        <f t="shared" si="44"/>
        <v>60.302764867128573</v>
      </c>
      <c r="L102" s="332">
        <f t="shared" si="44"/>
        <v>59.601148779708517</v>
      </c>
      <c r="M102" s="332"/>
    </row>
    <row r="103" spans="1:13" s="230" customFormat="1" x14ac:dyDescent="0.6">
      <c r="A103" s="210"/>
      <c r="C103" s="370"/>
      <c r="D103" s="332"/>
      <c r="E103" s="332"/>
      <c r="F103" s="332"/>
      <c r="G103" s="332"/>
      <c r="H103" s="332"/>
      <c r="I103" s="332"/>
      <c r="J103" s="332"/>
      <c r="K103" s="332"/>
      <c r="L103" s="332"/>
      <c r="M103" s="332"/>
    </row>
    <row r="104" spans="1:13" s="230" customFormat="1" x14ac:dyDescent="0.6">
      <c r="A104" s="210"/>
      <c r="B104" s="230" t="s">
        <v>83</v>
      </c>
      <c r="C104" s="372">
        <f>SUMPRODUCT(C102:L102,C57:L57)/SUM(C57:L57)</f>
        <v>60.351990211177593</v>
      </c>
      <c r="D104" s="332"/>
      <c r="E104" s="332"/>
      <c r="F104" s="332"/>
      <c r="G104" s="332"/>
      <c r="H104" s="332"/>
      <c r="I104" s="332"/>
      <c r="J104" s="332"/>
      <c r="K104" s="332"/>
      <c r="L104" s="332"/>
      <c r="M104" s="332"/>
    </row>
    <row r="105" spans="1:13" s="230" customFormat="1" x14ac:dyDescent="0.6">
      <c r="A105" s="210"/>
      <c r="C105" s="370"/>
      <c r="D105" s="332"/>
      <c r="E105" s="332"/>
      <c r="F105" s="332"/>
      <c r="G105" s="332"/>
      <c r="H105" s="332"/>
      <c r="I105" s="332"/>
      <c r="J105" s="332"/>
      <c r="K105" s="332"/>
      <c r="L105" s="332"/>
      <c r="M105" s="332"/>
    </row>
    <row r="106" spans="1:13" s="230" customFormat="1" x14ac:dyDescent="0.6">
      <c r="A106" s="210"/>
      <c r="C106" s="332"/>
      <c r="D106" s="332"/>
      <c r="E106" s="332"/>
      <c r="F106" s="332"/>
      <c r="G106" s="332"/>
      <c r="H106" s="332"/>
      <c r="I106" s="332"/>
      <c r="J106" s="332"/>
      <c r="K106" s="332"/>
      <c r="L106" s="332"/>
      <c r="M106" s="332"/>
    </row>
    <row r="107" spans="1:13" s="230" customFormat="1" x14ac:dyDescent="0.6">
      <c r="A107" s="208" t="s">
        <v>69</v>
      </c>
      <c r="B107" s="206" t="s">
        <v>132</v>
      </c>
      <c r="C107" s="332"/>
      <c r="D107" s="332"/>
      <c r="E107" s="332"/>
      <c r="F107" s="332"/>
      <c r="G107" s="332"/>
      <c r="H107" s="332"/>
      <c r="I107" s="332"/>
      <c r="J107" s="332"/>
      <c r="K107" s="332"/>
      <c r="L107" s="332"/>
      <c r="M107" s="332"/>
    </row>
    <row r="108" spans="1:13" s="230" customFormat="1" x14ac:dyDescent="0.6">
      <c r="A108" s="210"/>
      <c r="B108" s="207" t="s">
        <v>235</v>
      </c>
      <c r="C108" s="332"/>
      <c r="D108" s="332"/>
      <c r="E108" s="332"/>
      <c r="F108" s="332"/>
      <c r="G108" s="332"/>
      <c r="H108" s="332"/>
      <c r="I108" s="332"/>
      <c r="J108" s="332"/>
      <c r="K108" s="332"/>
      <c r="L108" s="332"/>
      <c r="M108" s="332"/>
    </row>
    <row r="109" spans="1:13" s="230" customFormat="1" x14ac:dyDescent="0.6">
      <c r="A109" s="210"/>
      <c r="B109" s="207" t="s">
        <v>82</v>
      </c>
      <c r="C109" s="332"/>
      <c r="D109" s="332"/>
      <c r="E109" s="332"/>
      <c r="F109" s="332"/>
      <c r="G109" s="332"/>
      <c r="H109" s="332"/>
      <c r="I109" s="332"/>
      <c r="J109" s="332"/>
      <c r="K109" s="332"/>
      <c r="L109" s="332"/>
      <c r="M109" s="332"/>
    </row>
    <row r="110" spans="1:13" s="230" customFormat="1" x14ac:dyDescent="0.6">
      <c r="A110" s="210"/>
      <c r="B110" s="206"/>
      <c r="C110" s="203" t="str">
        <f>+C7</f>
        <v>RS</v>
      </c>
      <c r="D110" s="203" t="str">
        <f t="shared" ref="D110:L110" si="45">+D7</f>
        <v>RHS</v>
      </c>
      <c r="E110" s="203" t="str">
        <f t="shared" si="45"/>
        <v>RLM</v>
      </c>
      <c r="F110" s="203" t="str">
        <f t="shared" si="45"/>
        <v>WH</v>
      </c>
      <c r="G110" s="203" t="str">
        <f t="shared" si="45"/>
        <v>WHS</v>
      </c>
      <c r="H110" s="203" t="str">
        <f t="shared" si="45"/>
        <v>HS</v>
      </c>
      <c r="I110" s="203" t="str">
        <f t="shared" si="45"/>
        <v>PSAL</v>
      </c>
      <c r="J110" s="203" t="str">
        <f t="shared" si="45"/>
        <v>BPL</v>
      </c>
      <c r="K110" s="203" t="str">
        <f t="shared" si="45"/>
        <v>GLP</v>
      </c>
      <c r="L110" s="203" t="str">
        <f t="shared" si="45"/>
        <v>LPL-S</v>
      </c>
      <c r="M110" s="203"/>
    </row>
    <row r="111" spans="1:13" s="230" customFormat="1" x14ac:dyDescent="0.6">
      <c r="A111" s="210"/>
      <c r="C111" s="373"/>
    </row>
    <row r="112" spans="1:13" s="230" customFormat="1" x14ac:dyDescent="0.6">
      <c r="A112" s="210"/>
      <c r="B112" s="337" t="s">
        <v>23</v>
      </c>
      <c r="C112" s="374">
        <f t="shared" ref="C112:L112" si="46">SUM(C50:C53)*C94/1000</f>
        <v>316976.97948252741</v>
      </c>
      <c r="D112" s="374">
        <f t="shared" si="46"/>
        <v>1181.2935054574293</v>
      </c>
      <c r="E112" s="374">
        <f t="shared" si="46"/>
        <v>4384.499275495149</v>
      </c>
      <c r="F112" s="374">
        <f t="shared" si="46"/>
        <v>9.1386454904731256</v>
      </c>
      <c r="G112" s="374">
        <f t="shared" si="46"/>
        <v>0.1649255340390359</v>
      </c>
      <c r="H112" s="374">
        <f t="shared" si="46"/>
        <v>99.586428212572031</v>
      </c>
      <c r="I112" s="374">
        <f t="shared" si="46"/>
        <v>1954.5139385615769</v>
      </c>
      <c r="J112" s="374">
        <f t="shared" si="46"/>
        <v>4005.2021146168877</v>
      </c>
      <c r="K112" s="374">
        <f t="shared" si="46"/>
        <v>129813.10173444686</v>
      </c>
      <c r="L112" s="374">
        <f t="shared" si="46"/>
        <v>94092.494968020852</v>
      </c>
      <c r="M112" s="374"/>
    </row>
    <row r="113" spans="1:30" s="230" customFormat="1" x14ac:dyDescent="0.6">
      <c r="A113" s="210"/>
      <c r="B113" s="371" t="s">
        <v>80</v>
      </c>
      <c r="C113" s="374">
        <f t="shared" ref="C113:L113" si="47">SUMPRODUCT(C50:C53,C14:C17)*C95/1000</f>
        <v>191818.67346886502</v>
      </c>
      <c r="D113" s="374">
        <f t="shared" si="47"/>
        <v>722.54029253412409</v>
      </c>
      <c r="E113" s="374">
        <f t="shared" si="47"/>
        <v>2676.8228654324462</v>
      </c>
      <c r="F113" s="374">
        <f t="shared" si="47"/>
        <v>5.5036265173596721</v>
      </c>
      <c r="G113" s="374">
        <f t="shared" si="47"/>
        <v>9.9235976238459978E-2</v>
      </c>
      <c r="H113" s="374">
        <f t="shared" si="47"/>
        <v>68.409400049265685</v>
      </c>
      <c r="I113" s="374">
        <f t="shared" si="47"/>
        <v>538.61915738338178</v>
      </c>
      <c r="J113" s="374">
        <f t="shared" si="47"/>
        <v>1101.7119635657866</v>
      </c>
      <c r="K113" s="374">
        <f t="shared" si="47"/>
        <v>85448.345633973615</v>
      </c>
      <c r="L113" s="374">
        <f t="shared" si="47"/>
        <v>59528.97799795834</v>
      </c>
      <c r="M113" s="374"/>
    </row>
    <row r="114" spans="1:30" s="230" customFormat="1" x14ac:dyDescent="0.6">
      <c r="A114" s="210"/>
      <c r="B114" s="371" t="s">
        <v>81</v>
      </c>
      <c r="C114" s="374">
        <f t="shared" ref="C114:L114" si="48">SUMPRODUCT(C50:C53,O14:O17)*C96/1000</f>
        <v>125158.30601366243</v>
      </c>
      <c r="D114" s="374">
        <f t="shared" si="48"/>
        <v>458.75321292330506</v>
      </c>
      <c r="E114" s="374">
        <f t="shared" si="48"/>
        <v>1707.6764100627026</v>
      </c>
      <c r="F114" s="374">
        <f t="shared" si="48"/>
        <v>3.6350189731134539</v>
      </c>
      <c r="G114" s="374">
        <f t="shared" si="48"/>
        <v>6.5689557800575907E-2</v>
      </c>
      <c r="H114" s="374">
        <f t="shared" si="48"/>
        <v>31.177028163306357</v>
      </c>
      <c r="I114" s="374">
        <f t="shared" si="48"/>
        <v>1415.8947811781952</v>
      </c>
      <c r="J114" s="374">
        <f t="shared" si="48"/>
        <v>2903.4901510511008</v>
      </c>
      <c r="K114" s="374">
        <f t="shared" si="48"/>
        <v>44364.756100473234</v>
      </c>
      <c r="L114" s="374">
        <f t="shared" si="48"/>
        <v>34563.516970062512</v>
      </c>
      <c r="M114" s="374"/>
    </row>
    <row r="115" spans="1:30" s="230" customFormat="1" x14ac:dyDescent="0.6">
      <c r="A115" s="210"/>
      <c r="C115" s="375"/>
      <c r="D115" s="375"/>
      <c r="E115" s="375"/>
      <c r="F115" s="375"/>
      <c r="G115" s="375"/>
      <c r="H115" s="375"/>
      <c r="I115" s="375"/>
      <c r="J115" s="375"/>
      <c r="K115" s="375"/>
      <c r="L115" s="375"/>
      <c r="M115" s="375"/>
    </row>
    <row r="116" spans="1:30" s="230" customFormat="1" x14ac:dyDescent="0.6">
      <c r="A116" s="210"/>
      <c r="B116" s="337" t="s">
        <v>24</v>
      </c>
      <c r="C116" s="375">
        <f t="shared" ref="C116:L116" si="49">SUM(C45:C49,C54:C56)*C98/1000</f>
        <v>450557.02791544335</v>
      </c>
      <c r="D116" s="375">
        <f t="shared" si="49"/>
        <v>4729.9075622852897</v>
      </c>
      <c r="E116" s="375">
        <f t="shared" si="49"/>
        <v>6209.1949985805104</v>
      </c>
      <c r="F116" s="375">
        <f t="shared" si="49"/>
        <v>25.329143857684603</v>
      </c>
      <c r="G116" s="375">
        <f t="shared" si="49"/>
        <v>0.48136205742768029</v>
      </c>
      <c r="H116" s="375">
        <f t="shared" si="49"/>
        <v>432.54493430486639</v>
      </c>
      <c r="I116" s="375">
        <f t="shared" si="49"/>
        <v>6131.70655608789</v>
      </c>
      <c r="J116" s="375">
        <f t="shared" si="49"/>
        <v>13150.103342705343</v>
      </c>
      <c r="K116" s="375">
        <f t="shared" si="49"/>
        <v>239170.1372791719</v>
      </c>
      <c r="L116" s="375">
        <f t="shared" si="49"/>
        <v>188357.43005869712</v>
      </c>
      <c r="M116" s="375"/>
    </row>
    <row r="117" spans="1:30" s="230" customFormat="1" x14ac:dyDescent="0.6">
      <c r="A117" s="210"/>
      <c r="B117" s="371" t="s">
        <v>80</v>
      </c>
      <c r="C117" s="374">
        <f t="shared" ref="C117:L117" si="50">(SUMPRODUCT(C45:C49,C9:C13)+SUMPRODUCT(C54:C56,C18:C20))*C99/1000</f>
        <v>241086.08710657409</v>
      </c>
      <c r="D117" s="374">
        <f t="shared" si="50"/>
        <v>2482.5483757371976</v>
      </c>
      <c r="E117" s="374">
        <f t="shared" si="50"/>
        <v>3273.760460170638</v>
      </c>
      <c r="F117" s="374">
        <f t="shared" si="50"/>
        <v>13.544039528320209</v>
      </c>
      <c r="G117" s="374">
        <f t="shared" si="50"/>
        <v>0.25793353892849008</v>
      </c>
      <c r="H117" s="374">
        <f t="shared" si="50"/>
        <v>234.20106285666157</v>
      </c>
      <c r="I117" s="374">
        <f t="shared" si="50"/>
        <v>1975.5377644898431</v>
      </c>
      <c r="J117" s="374">
        <f t="shared" si="50"/>
        <v>4219.984051623037</v>
      </c>
      <c r="K117" s="374">
        <f t="shared" si="50"/>
        <v>141452.56560441465</v>
      </c>
      <c r="L117" s="374">
        <f t="shared" si="50"/>
        <v>108179.31192797062</v>
      </c>
      <c r="M117" s="374"/>
    </row>
    <row r="118" spans="1:30" s="230" customFormat="1" x14ac:dyDescent="0.6">
      <c r="A118" s="210"/>
      <c r="B118" s="371" t="s">
        <v>81</v>
      </c>
      <c r="C118" s="374">
        <f t="shared" ref="C118:L118" si="51">+(SUMPRODUCT(C45:C49,O9:O13)+SUMPRODUCT(C54:C56,O18:O20))*C100/1000</f>
        <v>209470.9408088692</v>
      </c>
      <c r="D118" s="374">
        <f t="shared" si="51"/>
        <v>2247.359186548093</v>
      </c>
      <c r="E118" s="374">
        <f t="shared" si="51"/>
        <v>2935.4345384098738</v>
      </c>
      <c r="F118" s="374">
        <f t="shared" si="51"/>
        <v>11.785104329364394</v>
      </c>
      <c r="G118" s="374">
        <f t="shared" si="51"/>
        <v>0.22342851849919027</v>
      </c>
      <c r="H118" s="374">
        <f t="shared" si="51"/>
        <v>198.34387144820491</v>
      </c>
      <c r="I118" s="374">
        <f t="shared" si="51"/>
        <v>4156.1687915980474</v>
      </c>
      <c r="J118" s="374">
        <f t="shared" si="51"/>
        <v>8930.1192910823065</v>
      </c>
      <c r="K118" s="374">
        <f t="shared" si="51"/>
        <v>97717.571674757302</v>
      </c>
      <c r="L118" s="374">
        <f t="shared" si="51"/>
        <v>80178.118130726492</v>
      </c>
      <c r="M118" s="374"/>
    </row>
    <row r="119" spans="1:30" s="230" customFormat="1" x14ac:dyDescent="0.6">
      <c r="A119" s="210"/>
      <c r="C119" s="332"/>
      <c r="D119" s="332"/>
      <c r="E119" s="332"/>
      <c r="F119" s="332"/>
      <c r="G119" s="332"/>
      <c r="H119" s="332"/>
      <c r="I119" s="332"/>
      <c r="J119" s="332"/>
      <c r="K119" s="332"/>
      <c r="L119" s="332"/>
      <c r="M119" s="332"/>
    </row>
    <row r="120" spans="1:30" s="230" customFormat="1" x14ac:dyDescent="0.6">
      <c r="A120" s="210"/>
      <c r="B120" s="230" t="s">
        <v>22</v>
      </c>
      <c r="C120" s="375">
        <f>+C112+C116</f>
        <v>767534.00739797077</v>
      </c>
      <c r="D120" s="375">
        <f t="shared" ref="D120:L120" si="52">+D112+D116</f>
        <v>5911.2010677427188</v>
      </c>
      <c r="E120" s="375">
        <f t="shared" si="52"/>
        <v>10593.69427407566</v>
      </c>
      <c r="F120" s="375">
        <f t="shared" si="52"/>
        <v>34.46778934815773</v>
      </c>
      <c r="G120" s="375">
        <f t="shared" si="52"/>
        <v>0.64628759146671622</v>
      </c>
      <c r="H120" s="375">
        <f t="shared" si="52"/>
        <v>532.13136251743845</v>
      </c>
      <c r="I120" s="375">
        <f t="shared" si="52"/>
        <v>8086.2204946494667</v>
      </c>
      <c r="J120" s="375">
        <f t="shared" si="52"/>
        <v>17155.305457322229</v>
      </c>
      <c r="K120" s="375">
        <f t="shared" si="52"/>
        <v>368983.23901361879</v>
      </c>
      <c r="L120" s="375">
        <f t="shared" si="52"/>
        <v>282449.92502671795</v>
      </c>
      <c r="M120" s="375"/>
    </row>
    <row r="121" spans="1:30" s="230" customFormat="1" x14ac:dyDescent="0.6">
      <c r="A121" s="210"/>
    </row>
    <row r="122" spans="1:30" s="230" customFormat="1" x14ac:dyDescent="0.6">
      <c r="A122" s="210"/>
      <c r="B122" s="230" t="s">
        <v>83</v>
      </c>
      <c r="C122" s="374">
        <f>SUM(C120:L120)</f>
        <v>1461280.8381715547</v>
      </c>
      <c r="E122" s="376"/>
      <c r="F122" s="370"/>
    </row>
    <row r="123" spans="1:30" s="230" customFormat="1" x14ac:dyDescent="0.6">
      <c r="A123" s="210"/>
    </row>
    <row r="124" spans="1:30" s="230" customFormat="1" x14ac:dyDescent="0.6">
      <c r="A124" s="210"/>
    </row>
    <row r="125" spans="1:30" s="230" customFormat="1" x14ac:dyDescent="0.6">
      <c r="A125" s="208" t="s">
        <v>70</v>
      </c>
      <c r="B125" s="206" t="s">
        <v>133</v>
      </c>
      <c r="C125" s="332"/>
      <c r="Q125" s="230" t="s">
        <v>144</v>
      </c>
      <c r="T125" s="230" t="s">
        <v>143</v>
      </c>
      <c r="W125" s="230" t="s">
        <v>145</v>
      </c>
      <c r="Z125" s="230" t="s">
        <v>147</v>
      </c>
    </row>
    <row r="126" spans="1:30" s="230" customFormat="1" x14ac:dyDescent="0.6">
      <c r="A126" s="210"/>
      <c r="B126" s="207" t="s">
        <v>236</v>
      </c>
      <c r="C126" s="332"/>
      <c r="W126" s="230" t="s">
        <v>146</v>
      </c>
      <c r="Z126" s="230" t="s">
        <v>148</v>
      </c>
      <c r="AC126" s="230" t="s">
        <v>149</v>
      </c>
    </row>
    <row r="127" spans="1:30" s="230" customFormat="1" x14ac:dyDescent="0.6">
      <c r="A127" s="210"/>
      <c r="B127" s="207" t="s">
        <v>40</v>
      </c>
      <c r="C127" s="332"/>
    </row>
    <row r="128" spans="1:30" s="230" customFormat="1" x14ac:dyDescent="0.6">
      <c r="A128" s="210"/>
      <c r="B128" s="206"/>
      <c r="C128" s="203" t="str">
        <f>+C7</f>
        <v>RS</v>
      </c>
      <c r="D128" s="203" t="str">
        <f t="shared" ref="D128:L128" si="53">+D7</f>
        <v>RHS</v>
      </c>
      <c r="E128" s="203" t="str">
        <f t="shared" si="53"/>
        <v>RLM</v>
      </c>
      <c r="F128" s="203" t="str">
        <f t="shared" si="53"/>
        <v>WH</v>
      </c>
      <c r="G128" s="203" t="str">
        <f t="shared" si="53"/>
        <v>WHS</v>
      </c>
      <c r="H128" s="203" t="str">
        <f t="shared" si="53"/>
        <v>HS</v>
      </c>
      <c r="I128" s="203" t="str">
        <f t="shared" si="53"/>
        <v>PSAL</v>
      </c>
      <c r="J128" s="203" t="str">
        <f t="shared" si="53"/>
        <v>BPL</v>
      </c>
      <c r="K128" s="203" t="str">
        <f t="shared" si="53"/>
        <v>GLP</v>
      </c>
      <c r="L128" s="203" t="str">
        <f t="shared" si="53"/>
        <v>LPL-S</v>
      </c>
      <c r="M128" s="203"/>
      <c r="O128" s="203"/>
      <c r="P128" s="203"/>
      <c r="Q128" s="203" t="str">
        <f>+E128</f>
        <v>RLM</v>
      </c>
      <c r="R128" s="203" t="str">
        <f>+L128</f>
        <v>LPL-S</v>
      </c>
      <c r="S128" s="203"/>
      <c r="T128" s="203" t="str">
        <f>+E128</f>
        <v>RLM</v>
      </c>
      <c r="U128" s="203" t="str">
        <f>+L128</f>
        <v>LPL-S</v>
      </c>
      <c r="V128" s="203"/>
      <c r="W128" s="203" t="str">
        <f>+E128</f>
        <v>RLM</v>
      </c>
      <c r="X128" s="203" t="str">
        <f>+L128</f>
        <v>LPL-S</v>
      </c>
      <c r="Z128" s="203" t="str">
        <f>+E128</f>
        <v>RLM</v>
      </c>
      <c r="AA128" s="203" t="str">
        <f>+L128</f>
        <v>LPL-S</v>
      </c>
      <c r="AC128" s="236" t="str">
        <f>+E128</f>
        <v>RLM</v>
      </c>
      <c r="AD128" s="203" t="str">
        <f>+L128</f>
        <v>LPL-S</v>
      </c>
    </row>
    <row r="129" spans="1:39" s="230" customFormat="1" x14ac:dyDescent="0.6">
      <c r="A129" s="210"/>
      <c r="C129" s="373"/>
    </row>
    <row r="130" spans="1:39" s="230" customFormat="1" x14ac:dyDescent="0.6">
      <c r="A130" s="210"/>
      <c r="B130" s="337" t="s">
        <v>23</v>
      </c>
      <c r="C130" s="372">
        <f t="shared" ref="C130:L130" si="54">+C112/SUM(C50:C53)*1000</f>
        <v>57.422421658755738</v>
      </c>
      <c r="D130" s="372">
        <f t="shared" si="54"/>
        <v>57.386047970301242</v>
      </c>
      <c r="E130" s="372">
        <f t="shared" si="54"/>
        <v>57.180895750153269</v>
      </c>
      <c r="F130" s="372">
        <f t="shared" si="54"/>
        <v>55.723448112641009</v>
      </c>
      <c r="G130" s="372">
        <f t="shared" si="54"/>
        <v>54.975178013011963</v>
      </c>
      <c r="H130" s="372">
        <f t="shared" si="54"/>
        <v>58.409488669946441</v>
      </c>
      <c r="I130" s="372">
        <f t="shared" si="54"/>
        <v>50.315714726775056</v>
      </c>
      <c r="J130" s="372">
        <f t="shared" si="54"/>
        <v>50.210007830321146</v>
      </c>
      <c r="K130" s="372">
        <f t="shared" si="54"/>
        <v>57.812983567529166</v>
      </c>
      <c r="L130" s="372">
        <f t="shared" si="54"/>
        <v>57.025763873471021</v>
      </c>
      <c r="M130" s="372"/>
    </row>
    <row r="131" spans="1:39" s="230" customFormat="1" x14ac:dyDescent="0.6">
      <c r="A131" s="210"/>
      <c r="B131" s="371" t="s">
        <v>84</v>
      </c>
      <c r="C131" s="374"/>
      <c r="E131" s="372">
        <f>+(E113*1000-W131*AVERAGE(E$95,E$96))/Q131</f>
        <v>67.44230845007111</v>
      </c>
      <c r="F131" s="372"/>
      <c r="G131" s="374"/>
      <c r="H131" s="374"/>
      <c r="I131" s="374"/>
      <c r="J131" s="374"/>
      <c r="K131" s="374"/>
      <c r="L131" s="372">
        <f>+(L113*1000-X131*AVERAGE(L$95,L$96))/R131</f>
        <v>66.785739402495693</v>
      </c>
      <c r="M131" s="372"/>
      <c r="N131" s="372"/>
      <c r="Q131" s="336">
        <f>SUMPRODUCT(E50:E53,E32:E35)</f>
        <v>36488.456615306808</v>
      </c>
      <c r="R131" s="336">
        <f>SUMPRODUCT(L50:L53,L32:L35)</f>
        <v>809513.84237300314</v>
      </c>
      <c r="T131" s="336">
        <f>SUMPRODUCT(E50:E53,E14:E17)</f>
        <v>40298.368463952866</v>
      </c>
      <c r="U131" s="336">
        <f>SUMPRODUCT(L50:L53,L14:L17)</f>
        <v>906970.82147007855</v>
      </c>
      <c r="W131" s="336">
        <f>+T131-Q131</f>
        <v>3809.9118486460575</v>
      </c>
      <c r="X131" s="336">
        <f>+U131-R131</f>
        <v>97456.979097075411</v>
      </c>
      <c r="Z131" s="375">
        <f>+E131*Q131/1000</f>
        <v>2460.8657459165593</v>
      </c>
      <c r="AA131" s="375">
        <f>+L131*R131/1000</f>
        <v>54063.980519436365</v>
      </c>
    </row>
    <row r="132" spans="1:39" s="230" customFormat="1" ht="15.25" x14ac:dyDescent="1.05">
      <c r="A132" s="210"/>
      <c r="B132" s="371" t="s">
        <v>85</v>
      </c>
      <c r="C132" s="372"/>
      <c r="D132" s="372"/>
      <c r="E132" s="372">
        <f>+(E114*1000-W132*AVERAGE(E$95,E$96))/Q132</f>
        <v>47.864393906052584</v>
      </c>
      <c r="F132" s="374"/>
      <c r="G132" s="374"/>
      <c r="H132" s="374"/>
      <c r="I132" s="374"/>
      <c r="J132" s="374"/>
      <c r="K132" s="374"/>
      <c r="L132" s="372">
        <f>+(L114*1000-X132*AVERAGE(L$95,L$96))/R132</f>
        <v>47.625445066689657</v>
      </c>
      <c r="M132" s="372"/>
      <c r="N132" s="372"/>
      <c r="Q132" s="336">
        <f>SUMPRODUCT(E50:E53,Q32:Q35)</f>
        <v>40189.238233210788</v>
      </c>
      <c r="R132" s="336">
        <f>SUMPRODUCT(L50:L53,X32:X35)</f>
        <v>840485.88716667704</v>
      </c>
      <c r="T132" s="336">
        <f>SUMPRODUCT(E50:E53,Q14:Q17)</f>
        <v>36379.326384564723</v>
      </c>
      <c r="U132" s="336">
        <f>SUMPRODUCT(L50:L53,X14:X17)</f>
        <v>743028.90806960152</v>
      </c>
      <c r="W132" s="336">
        <f>+T132-Q132</f>
        <v>-3809.9118486460648</v>
      </c>
      <c r="X132" s="336">
        <f>+U132-R132</f>
        <v>-97456.979097075528</v>
      </c>
      <c r="Z132" s="238">
        <f>+E132*Q132/1000</f>
        <v>1923.63352957859</v>
      </c>
      <c r="AA132" s="238">
        <f>+L132*R132/1000</f>
        <v>40028.514448584494</v>
      </c>
    </row>
    <row r="133" spans="1:39" s="230" customFormat="1" x14ac:dyDescent="0.6">
      <c r="A133" s="210"/>
      <c r="C133" s="372"/>
      <c r="D133" s="372"/>
      <c r="E133" s="375"/>
      <c r="F133" s="375"/>
      <c r="G133" s="375"/>
      <c r="H133" s="375"/>
      <c r="I133" s="375"/>
      <c r="J133" s="375"/>
      <c r="K133" s="375"/>
      <c r="L133" s="375"/>
      <c r="M133" s="375"/>
      <c r="Q133" s="336"/>
      <c r="R133" s="336"/>
      <c r="T133" s="336"/>
      <c r="U133" s="336"/>
      <c r="W133" s="336"/>
      <c r="X133" s="336"/>
      <c r="Z133" s="375">
        <f>+Z132+Z131</f>
        <v>4384.499275495149</v>
      </c>
      <c r="AA133" s="375">
        <f>+AA132+AA131</f>
        <v>94092.494968020852</v>
      </c>
      <c r="AC133" s="373">
        <f>+E112</f>
        <v>4384.499275495149</v>
      </c>
      <c r="AD133" s="373">
        <f>+L112</f>
        <v>94092.494968020852</v>
      </c>
    </row>
    <row r="134" spans="1:39" s="230" customFormat="1" x14ac:dyDescent="0.6">
      <c r="A134" s="210"/>
      <c r="B134" s="337" t="s">
        <v>24</v>
      </c>
      <c r="C134" s="332">
        <f t="shared" ref="C134:L134" si="55">+C116/SUM(C45:C49,C54:C56)*1000</f>
        <v>63.296081059203537</v>
      </c>
      <c r="D134" s="332">
        <f t="shared" si="55"/>
        <v>67.71223110010105</v>
      </c>
      <c r="E134" s="332">
        <f t="shared" si="55"/>
        <v>62.796668253465363</v>
      </c>
      <c r="F134" s="332">
        <f t="shared" si="55"/>
        <v>61.628087244974708</v>
      </c>
      <c r="G134" s="332">
        <f t="shared" si="55"/>
        <v>60.170257178460034</v>
      </c>
      <c r="H134" s="332">
        <f t="shared" si="55"/>
        <v>68.13086311398385</v>
      </c>
      <c r="I134" s="332">
        <f t="shared" si="55"/>
        <v>59.684108356251848</v>
      </c>
      <c r="J134" s="332">
        <f t="shared" si="55"/>
        <v>59.645230880589565</v>
      </c>
      <c r="K134" s="332">
        <f t="shared" si="55"/>
        <v>61.746065089732738</v>
      </c>
      <c r="L134" s="332">
        <f t="shared" si="55"/>
        <v>60.976798555710218</v>
      </c>
      <c r="M134" s="332"/>
      <c r="Q134" s="336"/>
      <c r="R134" s="336"/>
      <c r="T134" s="336"/>
      <c r="U134" s="336"/>
      <c r="W134" s="336"/>
      <c r="X134" s="336"/>
      <c r="Z134" s="375"/>
      <c r="AA134" s="375"/>
      <c r="AC134" s="373"/>
    </row>
    <row r="135" spans="1:39" s="230" customFormat="1" x14ac:dyDescent="0.6">
      <c r="A135" s="210"/>
      <c r="B135" s="371" t="s">
        <v>84</v>
      </c>
      <c r="C135" s="374"/>
      <c r="D135" s="374"/>
      <c r="E135" s="372">
        <f>+(E117*1000-W135*AVERAGE(E$99,E$100))/Q135</f>
        <v>69.274864745993838</v>
      </c>
      <c r="F135" s="372"/>
      <c r="G135" s="372"/>
      <c r="H135" s="374"/>
      <c r="I135" s="374"/>
      <c r="J135" s="374"/>
      <c r="K135" s="374"/>
      <c r="L135" s="372">
        <f>+(L117*1000-X135*AVERAGE(L$99,L$100))/R135</f>
        <v>66.563727088637279</v>
      </c>
      <c r="M135" s="372"/>
      <c r="N135" s="372"/>
      <c r="Q135" s="336">
        <f>SUMPRODUCT(E45:E49,E27:E31)+SUMPRODUCT(E54:E56,E36:E38)</f>
        <v>42240.985578643624</v>
      </c>
      <c r="R135" s="336">
        <f>SUMPRODUCT(L45:L49,L27:L31)+SUMPRODUCT(L54:L56,L36:L38)</f>
        <v>1471855.5353254918</v>
      </c>
      <c r="T135" s="336">
        <f>SUMPRODUCT(E45:E49,E9:E13)+SUMPRODUCT(E54:E56,E18:E20)</f>
        <v>47758.45504665457</v>
      </c>
      <c r="U135" s="336">
        <f>SUMPRODUCT(L45:L49,L9:L13)+SUMPRODUCT(L54:L56,L18:L20)</f>
        <v>1640156.5376389455</v>
      </c>
      <c r="W135" s="336">
        <f>+T135-Q135</f>
        <v>5517.469468010946</v>
      </c>
      <c r="X135" s="336">
        <f>+U135-R135</f>
        <v>168301.0023134537</v>
      </c>
      <c r="Z135" s="375">
        <f>+E135*Q135/1000</f>
        <v>2926.2385626980131</v>
      </c>
      <c r="AA135" s="375">
        <f>+L135*R135/1000</f>
        <v>97972.190167306151</v>
      </c>
      <c r="AC135" s="373"/>
    </row>
    <row r="136" spans="1:39" s="230" customFormat="1" ht="15.25" x14ac:dyDescent="1.05">
      <c r="A136" s="210"/>
      <c r="B136" s="371" t="s">
        <v>85</v>
      </c>
      <c r="C136" s="374"/>
      <c r="D136" s="374"/>
      <c r="E136" s="372">
        <f>+(E118*1000-W136*AVERAGE(E$99,E$100))/Q136</f>
        <v>57.965084493620729</v>
      </c>
      <c r="F136" s="372"/>
      <c r="G136" s="372"/>
      <c r="H136" s="374"/>
      <c r="I136" s="374"/>
      <c r="J136" s="374"/>
      <c r="K136" s="374"/>
      <c r="L136" s="372">
        <f>+(L118*1000-X136*AVERAGE(L$99,L$100))/R136</f>
        <v>55.891820940053243</v>
      </c>
      <c r="M136" s="372"/>
      <c r="N136" s="372"/>
      <c r="Q136" s="336">
        <f>SUMPRODUCT(E45:E49,Q27:Q31)+SUMPRODUCT(E54:E56,Q36:Q38)</f>
        <v>56636.792037175393</v>
      </c>
      <c r="R136" s="336">
        <f>SUMPRODUCT(L45:L49,X27:X31)+SUMPRODUCT(L54:L56,X36:X38)</f>
        <v>1617146.0934925273</v>
      </c>
      <c r="T136" s="336">
        <f>SUMPRODUCT(E45:E49,Q9:Q13)+SUMPRODUCT(E54:E56,Q18:Q20)</f>
        <v>51119.322569164462</v>
      </c>
      <c r="U136" s="336">
        <f>SUMPRODUCT(L45:L49,X9:X13)+SUMPRODUCT(L54:L56,X18:X20)</f>
        <v>1448845.0911790738</v>
      </c>
      <c r="W136" s="336">
        <f>+T136-Q136</f>
        <v>-5517.4694680109315</v>
      </c>
      <c r="X136" s="336">
        <f>+U136-R136</f>
        <v>-168301.00231345347</v>
      </c>
      <c r="Z136" s="238">
        <f>+E136*Q136/1000</f>
        <v>3282.9564358824978</v>
      </c>
      <c r="AA136" s="238">
        <f>+L136*R136/1000</f>
        <v>90385.239891390927</v>
      </c>
      <c r="AC136" s="373"/>
    </row>
    <row r="137" spans="1:39" s="230" customFormat="1" x14ac:dyDescent="0.6">
      <c r="A137" s="210"/>
      <c r="C137" s="332"/>
      <c r="D137" s="332"/>
      <c r="E137" s="332"/>
      <c r="F137" s="332"/>
      <c r="G137" s="332"/>
      <c r="H137" s="332"/>
      <c r="I137" s="332"/>
      <c r="J137" s="332"/>
      <c r="K137" s="332"/>
      <c r="L137" s="332"/>
      <c r="M137" s="332"/>
      <c r="Z137" s="375">
        <f>+Z136+Z135</f>
        <v>6209.1949985805113</v>
      </c>
      <c r="AA137" s="375">
        <f>+AA136+AA135</f>
        <v>188357.43005869706</v>
      </c>
      <c r="AC137" s="373">
        <f>+E116</f>
        <v>6209.1949985805104</v>
      </c>
      <c r="AD137" s="373">
        <f>+L116</f>
        <v>188357.43005869712</v>
      </c>
    </row>
    <row r="138" spans="1:39" s="230" customFormat="1" x14ac:dyDescent="0.6">
      <c r="A138" s="210"/>
      <c r="B138" s="230" t="s">
        <v>86</v>
      </c>
      <c r="C138" s="370">
        <f t="shared" ref="C138:L138" si="56">(C130*SUM(C50:C53)+C134*SUM(C45:C49,C54:C56))/C57</f>
        <v>60.730622046966509</v>
      </c>
      <c r="D138" s="370">
        <f t="shared" si="56"/>
        <v>65.361841433538444</v>
      </c>
      <c r="E138" s="370">
        <f t="shared" si="56"/>
        <v>60.34385670448254</v>
      </c>
      <c r="F138" s="370">
        <f t="shared" si="56"/>
        <v>59.94398147505693</v>
      </c>
      <c r="G138" s="370">
        <f t="shared" si="56"/>
        <v>58.753417406065097</v>
      </c>
      <c r="H138" s="370">
        <f t="shared" si="56"/>
        <v>66.072847841680115</v>
      </c>
      <c r="I138" s="370">
        <f t="shared" si="56"/>
        <v>57.11374050649075</v>
      </c>
      <c r="J138" s="370">
        <f t="shared" si="56"/>
        <v>57.138450302664303</v>
      </c>
      <c r="K138" s="370">
        <f t="shared" si="56"/>
        <v>60.302764867128573</v>
      </c>
      <c r="L138" s="370">
        <f t="shared" si="56"/>
        <v>59.60114877970851</v>
      </c>
      <c r="M138" s="370"/>
      <c r="AC138" s="373"/>
    </row>
    <row r="139" spans="1:39" s="230" customFormat="1" x14ac:dyDescent="0.6">
      <c r="A139" s="210"/>
      <c r="B139" s="230" t="s">
        <v>87</v>
      </c>
      <c r="C139" s="372">
        <f>+C122/SUM(C57:L57)*1000</f>
        <v>60.351990211177608</v>
      </c>
      <c r="T139" s="336"/>
      <c r="U139" s="336"/>
    </row>
    <row r="140" spans="1:39" s="230" customFormat="1" x14ac:dyDescent="0.6">
      <c r="A140" s="210"/>
      <c r="T140" s="336"/>
      <c r="U140" s="336"/>
    </row>
    <row r="141" spans="1:39" s="230" customFormat="1" x14ac:dyDescent="0.6">
      <c r="A141" s="210"/>
      <c r="T141" s="336"/>
      <c r="U141" s="336"/>
    </row>
    <row r="142" spans="1:39" s="230" customFormat="1" x14ac:dyDescent="0.6">
      <c r="A142" s="208" t="s">
        <v>71</v>
      </c>
      <c r="B142" s="206" t="s">
        <v>158</v>
      </c>
      <c r="L142" s="203" t="s">
        <v>198</v>
      </c>
      <c r="T142" s="336"/>
      <c r="U142" s="336"/>
    </row>
    <row r="143" spans="1:39" s="230" customFormat="1" x14ac:dyDescent="0.6">
      <c r="A143" s="210"/>
      <c r="B143" s="207" t="str">
        <f>Input!B97</f>
        <v>Obligations - Peak Load shares eff 6/1/22, scaling factors eff 6/1/22, Transmission Loads eff 1/1/22; costs are market estimates</v>
      </c>
      <c r="L143" s="203" t="s">
        <v>301</v>
      </c>
      <c r="T143" s="336"/>
      <c r="U143" s="336"/>
    </row>
    <row r="144" spans="1:39" s="230" customFormat="1" x14ac:dyDescent="0.6">
      <c r="A144" s="210"/>
      <c r="B144" s="207" t="s">
        <v>77</v>
      </c>
      <c r="C144" s="203" t="str">
        <f>+C7</f>
        <v>RS</v>
      </c>
      <c r="D144" s="203" t="str">
        <f t="shared" ref="D144:L144" si="57">+D7</f>
        <v>RHS</v>
      </c>
      <c r="E144" s="203" t="str">
        <f t="shared" si="57"/>
        <v>RLM</v>
      </c>
      <c r="F144" s="203" t="str">
        <f t="shared" si="57"/>
        <v>WH</v>
      </c>
      <c r="G144" s="203" t="str">
        <f t="shared" si="57"/>
        <v>WHS</v>
      </c>
      <c r="H144" s="203" t="str">
        <f t="shared" si="57"/>
        <v>HS</v>
      </c>
      <c r="I144" s="203" t="str">
        <f t="shared" si="57"/>
        <v>PSAL</v>
      </c>
      <c r="J144" s="203" t="str">
        <f t="shared" si="57"/>
        <v>BPL</v>
      </c>
      <c r="K144" s="203" t="str">
        <f t="shared" si="57"/>
        <v>GLP</v>
      </c>
      <c r="L144" s="203" t="str">
        <f t="shared" si="57"/>
        <v>LPL-S</v>
      </c>
      <c r="M144" s="203"/>
      <c r="T144" s="336"/>
      <c r="U144" s="336"/>
      <c r="AD144" s="203" t="s">
        <v>0</v>
      </c>
      <c r="AE144" s="203" t="s">
        <v>1</v>
      </c>
      <c r="AF144" s="203" t="s">
        <v>2</v>
      </c>
      <c r="AG144" s="203" t="s">
        <v>3</v>
      </c>
      <c r="AH144" s="203" t="s">
        <v>4</v>
      </c>
      <c r="AI144" s="203" t="s">
        <v>6</v>
      </c>
      <c r="AJ144" s="203" t="s">
        <v>37</v>
      </c>
      <c r="AK144" s="203" t="s">
        <v>38</v>
      </c>
      <c r="AL144" s="203" t="s">
        <v>5</v>
      </c>
      <c r="AM144" s="203" t="s">
        <v>36</v>
      </c>
    </row>
    <row r="145" spans="1:39" s="230" customFormat="1" x14ac:dyDescent="0.6">
      <c r="A145" s="210"/>
      <c r="B145" s="207"/>
      <c r="C145" s="203"/>
      <c r="D145" s="203"/>
      <c r="E145" s="203"/>
      <c r="F145" s="203"/>
      <c r="G145" s="203"/>
      <c r="H145" s="203"/>
      <c r="I145" s="203"/>
      <c r="J145" s="203"/>
      <c r="K145" s="203"/>
      <c r="M145" s="203"/>
      <c r="R145" s="496"/>
      <c r="S145" s="496"/>
      <c r="T145" s="496"/>
      <c r="U145" s="496"/>
      <c r="V145" s="496"/>
      <c r="AC145" s="239" t="s">
        <v>302</v>
      </c>
      <c r="AD145" s="377">
        <f>Input!C101</f>
        <v>4301.1486338380355</v>
      </c>
      <c r="AE145" s="377">
        <f>Input!D101</f>
        <v>17.594271730170394</v>
      </c>
      <c r="AF145" s="377">
        <f>Input!E101</f>
        <v>57.617459314069976</v>
      </c>
      <c r="AG145" s="377">
        <f>Input!F101</f>
        <v>0</v>
      </c>
      <c r="AH145" s="377">
        <f>Input!G101</f>
        <v>0</v>
      </c>
      <c r="AI145" s="377">
        <f>Input!H101</f>
        <v>2.7838318964466953</v>
      </c>
      <c r="AJ145" s="377">
        <f>Input!I101</f>
        <v>0</v>
      </c>
      <c r="AK145" s="377">
        <f>Input!J101</f>
        <v>0</v>
      </c>
      <c r="AL145" s="377">
        <f>Input!K101</f>
        <v>1578.0102650290635</v>
      </c>
      <c r="AM145" s="377">
        <f>Input!L101</f>
        <v>1264.8204320369362</v>
      </c>
    </row>
    <row r="146" spans="1:39" s="230" customFormat="1" x14ac:dyDescent="0.6">
      <c r="A146" s="210"/>
      <c r="AC146" s="239" t="s">
        <v>286</v>
      </c>
      <c r="AD146" s="377">
        <f>Input!C102</f>
        <v>4773.2263926587857</v>
      </c>
      <c r="AE146" s="377">
        <f>Input!D102</f>
        <v>19.716739692485959</v>
      </c>
      <c r="AF146" s="377">
        <f>Input!E102</f>
        <v>64.846768801356319</v>
      </c>
      <c r="AG146" s="377">
        <f>Input!F102</f>
        <v>0</v>
      </c>
      <c r="AH146" s="377">
        <f>Input!G102</f>
        <v>0</v>
      </c>
      <c r="AI146" s="377">
        <f>Input!H102</f>
        <v>3.1118460419414049</v>
      </c>
      <c r="AJ146" s="377">
        <f>Input!I102</f>
        <v>0</v>
      </c>
      <c r="AK146" s="377">
        <f>Input!J102</f>
        <v>0</v>
      </c>
      <c r="AL146" s="377">
        <f>Input!K102</f>
        <v>1694.5838255724541</v>
      </c>
      <c r="AM146" s="377">
        <f>Input!L102</f>
        <v>1324.5594542755998</v>
      </c>
    </row>
    <row r="147" spans="1:39" s="230" customFormat="1" x14ac:dyDescent="0.6">
      <c r="A147" s="240"/>
      <c r="B147" s="230" t="s">
        <v>25</v>
      </c>
      <c r="C147" s="377">
        <f>ROUND(AD145*$AD$148*$AD$149,1)</f>
        <v>5149.6000000000004</v>
      </c>
      <c r="D147" s="377">
        <f t="shared" ref="D147:K147" si="58">ROUND(AE145*$AD$148*$AD$149,1)</f>
        <v>21.1</v>
      </c>
      <c r="E147" s="377">
        <f t="shared" si="58"/>
        <v>69</v>
      </c>
      <c r="F147" s="377">
        <f t="shared" si="58"/>
        <v>0</v>
      </c>
      <c r="G147" s="377">
        <f t="shared" si="58"/>
        <v>0</v>
      </c>
      <c r="H147" s="377">
        <f t="shared" si="58"/>
        <v>3.3</v>
      </c>
      <c r="I147" s="377">
        <f t="shared" si="58"/>
        <v>0</v>
      </c>
      <c r="J147" s="377">
        <f t="shared" si="58"/>
        <v>0</v>
      </c>
      <c r="K147" s="377">
        <f t="shared" si="58"/>
        <v>1889.3</v>
      </c>
      <c r="L147" s="377">
        <f>ROUND(AM145*$AD$148*$AD$149*(1-AE45),1)</f>
        <v>1000.9</v>
      </c>
      <c r="M147" s="377"/>
      <c r="S147" s="239"/>
      <c r="U147" s="378"/>
      <c r="V147" s="378"/>
    </row>
    <row r="148" spans="1:39" s="230" customFormat="1" x14ac:dyDescent="0.6">
      <c r="C148" s="379"/>
      <c r="S148" s="239"/>
      <c r="U148" s="378"/>
      <c r="V148" s="378"/>
      <c r="AC148" s="239" t="s">
        <v>287</v>
      </c>
      <c r="AD148" s="380">
        <f>Input!C104</f>
        <v>1.0978092211019459</v>
      </c>
    </row>
    <row r="149" spans="1:39" s="230" customFormat="1" x14ac:dyDescent="0.6">
      <c r="A149" s="240"/>
      <c r="B149" s="230" t="s">
        <v>26</v>
      </c>
      <c r="C149" s="377">
        <f>ROUND(AD146,1)</f>
        <v>4773.2</v>
      </c>
      <c r="D149" s="377">
        <f t="shared" ref="D149:K149" si="59">ROUND(AE146,1)</f>
        <v>19.7</v>
      </c>
      <c r="E149" s="377">
        <f t="shared" si="59"/>
        <v>64.8</v>
      </c>
      <c r="F149" s="377">
        <f t="shared" si="59"/>
        <v>0</v>
      </c>
      <c r="G149" s="377">
        <f t="shared" si="59"/>
        <v>0</v>
      </c>
      <c r="H149" s="377">
        <f t="shared" si="59"/>
        <v>3.1</v>
      </c>
      <c r="I149" s="377">
        <f t="shared" si="59"/>
        <v>0</v>
      </c>
      <c r="J149" s="377">
        <f t="shared" si="59"/>
        <v>0</v>
      </c>
      <c r="K149" s="377">
        <f t="shared" si="59"/>
        <v>1694.6</v>
      </c>
      <c r="L149" s="377">
        <f>ROUND(AM146*(1-AF45),1)</f>
        <v>875.5</v>
      </c>
      <c r="M149" s="377"/>
      <c r="S149" s="239"/>
      <c r="U149" s="378"/>
      <c r="V149" s="381"/>
      <c r="X149" s="230" t="str">
        <f>+Input!B105</f>
        <v>PJM June 1, 2022 (through May 31, 2023) Forecast Pool Requirement</v>
      </c>
      <c r="AD149" s="380">
        <f>Input!C105</f>
        <v>1.0906</v>
      </c>
    </row>
    <row r="150" spans="1:39" s="230" customFormat="1" x14ac:dyDescent="0.6">
      <c r="C150" s="377"/>
      <c r="D150" s="377"/>
      <c r="E150" s="377"/>
      <c r="F150" s="377"/>
      <c r="G150" s="377"/>
      <c r="H150" s="377"/>
      <c r="I150" s="377"/>
      <c r="J150" s="377"/>
      <c r="K150" s="377"/>
      <c r="M150" s="377"/>
      <c r="V150" s="378"/>
    </row>
    <row r="151" spans="1:39" s="230" customFormat="1" x14ac:dyDescent="0.6">
      <c r="A151" s="210"/>
      <c r="B151" s="230" t="s">
        <v>110</v>
      </c>
      <c r="I151" s="377"/>
      <c r="K151" s="203"/>
      <c r="M151" s="377"/>
    </row>
    <row r="152" spans="1:39" s="230" customFormat="1" x14ac:dyDescent="0.6">
      <c r="A152" s="210"/>
      <c r="D152" s="239" t="s">
        <v>103</v>
      </c>
      <c r="E152" s="382">
        <v>122</v>
      </c>
      <c r="G152" s="239" t="s">
        <v>105</v>
      </c>
      <c r="H152" s="230">
        <v>4</v>
      </c>
      <c r="I152" s="377"/>
      <c r="M152" s="377"/>
    </row>
    <row r="153" spans="1:39" s="230" customFormat="1" x14ac:dyDescent="0.6">
      <c r="A153" s="210"/>
      <c r="D153" s="383" t="s">
        <v>104</v>
      </c>
      <c r="E153" s="453">
        <v>244</v>
      </c>
      <c r="G153" s="383" t="s">
        <v>106</v>
      </c>
      <c r="H153" s="230">
        <v>8</v>
      </c>
      <c r="I153" s="377"/>
      <c r="K153" s="332"/>
      <c r="L153" s="332"/>
      <c r="M153" s="377"/>
    </row>
    <row r="154" spans="1:39" s="230" customFormat="1" x14ac:dyDescent="0.6">
      <c r="A154" s="210"/>
      <c r="G154" s="239" t="s">
        <v>111</v>
      </c>
      <c r="H154" s="230">
        <f>+H152+H153</f>
        <v>12</v>
      </c>
      <c r="I154" s="377"/>
      <c r="J154" s="384"/>
      <c r="K154" s="332"/>
      <c r="L154" s="332"/>
      <c r="M154" s="377"/>
    </row>
    <row r="155" spans="1:39" s="230" customFormat="1" x14ac:dyDescent="0.6">
      <c r="A155" s="210"/>
      <c r="B155" s="230" t="s">
        <v>101</v>
      </c>
      <c r="C155" s="239" t="s">
        <v>179</v>
      </c>
      <c r="D155" s="385">
        <v>0</v>
      </c>
      <c r="E155" s="276" t="s">
        <v>30</v>
      </c>
      <c r="K155" s="386"/>
      <c r="L155" s="387"/>
    </row>
    <row r="156" spans="1:39" s="230" customFormat="1" x14ac:dyDescent="0.6">
      <c r="A156" s="210"/>
      <c r="C156" s="239"/>
      <c r="D156" s="385"/>
      <c r="E156" s="276"/>
      <c r="K156" s="386"/>
      <c r="L156" s="387"/>
    </row>
    <row r="157" spans="1:39" s="230" customFormat="1" ht="39" x14ac:dyDescent="0.6">
      <c r="A157" s="210"/>
      <c r="D157" s="242" t="s">
        <v>306</v>
      </c>
      <c r="E157" s="242" t="s">
        <v>367</v>
      </c>
      <c r="F157" s="230" t="s">
        <v>307</v>
      </c>
      <c r="I157" s="248"/>
      <c r="K157" s="386"/>
      <c r="L157" s="387"/>
    </row>
    <row r="158" spans="1:39" s="230" customFormat="1" x14ac:dyDescent="0.6">
      <c r="A158" s="210"/>
      <c r="B158" s="230" t="s">
        <v>102</v>
      </c>
      <c r="C158" s="239" t="s">
        <v>150</v>
      </c>
      <c r="D158" s="248">
        <f>Input!E113</f>
        <v>53.53</v>
      </c>
      <c r="E158" s="248">
        <v>0</v>
      </c>
      <c r="F158" s="388">
        <f>SUM(D158:E158)</f>
        <v>53.53</v>
      </c>
      <c r="G158" s="276" t="s">
        <v>98</v>
      </c>
      <c r="K158" s="389"/>
    </row>
    <row r="159" spans="1:39" s="230" customFormat="1" x14ac:dyDescent="0.6">
      <c r="A159" s="210"/>
      <c r="C159" s="239" t="s">
        <v>151</v>
      </c>
      <c r="D159" s="248">
        <f>Input!E114</f>
        <v>53.53</v>
      </c>
      <c r="E159" s="248">
        <v>0</v>
      </c>
      <c r="F159" s="388">
        <f>SUM(D159:E159)</f>
        <v>53.53</v>
      </c>
      <c r="G159" s="276" t="s">
        <v>98</v>
      </c>
      <c r="Q159" s="239" t="s">
        <v>100</v>
      </c>
    </row>
    <row r="160" spans="1:39" s="230" customFormat="1" x14ac:dyDescent="0.6">
      <c r="A160" s="210"/>
      <c r="E160" s="388"/>
      <c r="P160" s="239" t="s">
        <v>107</v>
      </c>
      <c r="Q160" s="370">
        <f>(F158*E152+F159*E153)/1000</f>
        <v>19.59198</v>
      </c>
      <c r="R160" s="230" t="s">
        <v>99</v>
      </c>
    </row>
    <row r="161" spans="1:18" s="230" customFormat="1" x14ac:dyDescent="0.6">
      <c r="A161" s="208"/>
      <c r="C161" s="203" t="str">
        <f>+C7</f>
        <v>RS</v>
      </c>
      <c r="D161" s="203" t="str">
        <f>+D7</f>
        <v>RHS</v>
      </c>
      <c r="J161" s="239"/>
    </row>
    <row r="162" spans="1:18" s="230" customFormat="1" x14ac:dyDescent="0.6">
      <c r="A162" s="208"/>
      <c r="B162" s="244" t="s">
        <v>186</v>
      </c>
      <c r="C162" s="244"/>
      <c r="D162" s="244"/>
      <c r="J162" s="239"/>
      <c r="K162" s="332"/>
    </row>
    <row r="163" spans="1:18" s="230" customFormat="1" x14ac:dyDescent="0.6">
      <c r="A163" s="208"/>
      <c r="B163" s="239" t="s">
        <v>160</v>
      </c>
      <c r="C163" s="346">
        <f>ROUND(Q165/Q167,3)</f>
        <v>0.64600000000000002</v>
      </c>
      <c r="D163" s="346">
        <f>ROUND(R165/R167,3)</f>
        <v>0.66100000000000003</v>
      </c>
      <c r="F163" s="207" t="s">
        <v>326</v>
      </c>
      <c r="G163" s="245"/>
      <c r="H163" s="390"/>
      <c r="I163" s="390"/>
      <c r="J163" s="239"/>
      <c r="K163" s="332"/>
      <c r="P163" s="246" t="s">
        <v>328</v>
      </c>
      <c r="Q163" s="246"/>
      <c r="R163" s="246"/>
    </row>
    <row r="164" spans="1:18" s="230" customFormat="1" x14ac:dyDescent="0.6">
      <c r="A164" s="208"/>
      <c r="B164" s="239" t="s">
        <v>185</v>
      </c>
      <c r="C164" s="346">
        <f>1-C163</f>
        <v>0.35399999999999998</v>
      </c>
      <c r="D164" s="346">
        <f>1-D163</f>
        <v>0.33899999999999997</v>
      </c>
      <c r="J164" s="239"/>
      <c r="K164" s="332"/>
      <c r="Q164" s="230" t="s">
        <v>0</v>
      </c>
      <c r="R164" s="230" t="s">
        <v>1</v>
      </c>
    </row>
    <row r="165" spans="1:18" s="230" customFormat="1" x14ac:dyDescent="0.6">
      <c r="A165" s="208"/>
      <c r="J165" s="239"/>
      <c r="K165" s="332"/>
      <c r="P165" s="230" t="s">
        <v>283</v>
      </c>
      <c r="Q165" s="391">
        <v>3528124</v>
      </c>
      <c r="R165" s="391">
        <v>19973</v>
      </c>
    </row>
    <row r="166" spans="1:18" s="230" customFormat="1" x14ac:dyDescent="0.6">
      <c r="A166" s="208"/>
      <c r="B166" s="239" t="s">
        <v>184</v>
      </c>
      <c r="C166" s="335">
        <f>Input!C119</f>
        <v>0.86519999999999975</v>
      </c>
      <c r="D166" s="335">
        <f>Input!D119</f>
        <v>1.1569000000000003</v>
      </c>
      <c r="E166" s="230" t="s">
        <v>161</v>
      </c>
      <c r="F166" s="213" t="s">
        <v>187</v>
      </c>
      <c r="J166" s="239"/>
      <c r="K166" s="332"/>
      <c r="P166" s="230" t="s">
        <v>284</v>
      </c>
      <c r="Q166" s="392">
        <v>1931618</v>
      </c>
      <c r="R166" s="392">
        <v>10227</v>
      </c>
    </row>
    <row r="167" spans="1:18" s="230" customFormat="1" x14ac:dyDescent="0.6">
      <c r="A167" s="208"/>
      <c r="J167" s="239"/>
      <c r="K167" s="332"/>
      <c r="P167" s="230" t="s">
        <v>285</v>
      </c>
      <c r="Q167" s="391">
        <f>SUM(Q165:Q166)</f>
        <v>5459742</v>
      </c>
      <c r="R167" s="391">
        <f>SUM(R165:R166)</f>
        <v>30200</v>
      </c>
    </row>
    <row r="168" spans="1:18" s="230" customFormat="1" x14ac:dyDescent="0.6">
      <c r="A168" s="208" t="s">
        <v>72</v>
      </c>
      <c r="B168" s="8" t="s">
        <v>314</v>
      </c>
      <c r="J168" s="239"/>
      <c r="K168" s="332"/>
      <c r="Q168" s="391"/>
      <c r="R168" s="391"/>
    </row>
    <row r="169" spans="1:18" s="230" customFormat="1" x14ac:dyDescent="0.6">
      <c r="B169" s="265" t="s">
        <v>315</v>
      </c>
      <c r="D169" s="332">
        <f>+Input!D123</f>
        <v>2</v>
      </c>
    </row>
    <row r="170" spans="1:18" s="230" customFormat="1" x14ac:dyDescent="0.6">
      <c r="A170" s="208"/>
      <c r="B170" s="265" t="s">
        <v>316</v>
      </c>
      <c r="D170" s="332">
        <f>+Input!D124</f>
        <v>17.21</v>
      </c>
    </row>
    <row r="171" spans="1:18" s="230" customFormat="1" x14ac:dyDescent="0.6">
      <c r="A171" s="210"/>
      <c r="B171" s="265" t="s">
        <v>317</v>
      </c>
      <c r="D171" s="248">
        <f>SUM(D169:D170)</f>
        <v>19.21</v>
      </c>
      <c r="E171" s="276" t="s">
        <v>142</v>
      </c>
    </row>
    <row r="172" spans="1:18" s="230" customFormat="1" x14ac:dyDescent="0.6">
      <c r="A172" s="210"/>
      <c r="B172" s="207"/>
      <c r="F172" s="276"/>
    </row>
    <row r="173" spans="1:18" s="230" customFormat="1" x14ac:dyDescent="0.6">
      <c r="A173" s="210"/>
      <c r="B173" s="206"/>
      <c r="E173" s="375"/>
      <c r="F173" s="276"/>
    </row>
    <row r="174" spans="1:18" s="230" customFormat="1" x14ac:dyDescent="0.6">
      <c r="A174" s="208" t="s">
        <v>74</v>
      </c>
      <c r="B174" s="206" t="s">
        <v>139</v>
      </c>
    </row>
    <row r="175" spans="1:18" s="230" customFormat="1" x14ac:dyDescent="0.6">
      <c r="A175" s="208"/>
      <c r="B175" s="206"/>
    </row>
    <row r="176" spans="1:18" s="230" customFormat="1" x14ac:dyDescent="0.6">
      <c r="A176" s="208"/>
      <c r="B176" s="206"/>
      <c r="C176" s="203" t="str">
        <f t="shared" ref="C176:J176" si="60">+C7</f>
        <v>RS</v>
      </c>
      <c r="D176" s="203" t="str">
        <f t="shared" si="60"/>
        <v>RHS</v>
      </c>
      <c r="E176" s="203" t="str">
        <f t="shared" si="60"/>
        <v>RLM</v>
      </c>
      <c r="F176" s="203" t="str">
        <f t="shared" si="60"/>
        <v>WH</v>
      </c>
      <c r="G176" s="203" t="str">
        <f t="shared" si="60"/>
        <v>WHS</v>
      </c>
      <c r="H176" s="203" t="str">
        <f t="shared" si="60"/>
        <v>HS</v>
      </c>
      <c r="I176" s="203" t="str">
        <f t="shared" si="60"/>
        <v>PSAL</v>
      </c>
      <c r="J176" s="203" t="str">
        <f t="shared" si="60"/>
        <v>BPL</v>
      </c>
    </row>
    <row r="177" spans="1:13" s="230" customFormat="1" x14ac:dyDescent="0.6">
      <c r="A177" s="208"/>
      <c r="B177" s="206"/>
    </row>
    <row r="178" spans="1:13" s="230" customFormat="1" x14ac:dyDescent="0.6">
      <c r="A178" s="210"/>
      <c r="B178" s="239" t="s">
        <v>118</v>
      </c>
      <c r="C178" s="370">
        <f>(+$D$155*C149*$H$154/12)/C57</f>
        <v>0</v>
      </c>
      <c r="D178" s="370">
        <f>(+$D$155*D149*$H$154/12)/D57</f>
        <v>0</v>
      </c>
      <c r="E178" s="370">
        <f>(+$D$155*E149*$H$154/12)/SUMPRODUCT(E27:E38,E45:E56)</f>
        <v>0</v>
      </c>
      <c r="F178" s="370">
        <f>(+$D$155*F149*$H$154/12)/F57</f>
        <v>0</v>
      </c>
      <c r="G178" s="370">
        <f>(+$D$155*G149*$H$154/12)/G57</f>
        <v>0</v>
      </c>
      <c r="H178" s="370">
        <f>(+$D$155*H149*$H$154/12)/H57</f>
        <v>0</v>
      </c>
      <c r="I178" s="370">
        <f>(+$D$155*I149*$H$154/12)/I57</f>
        <v>0</v>
      </c>
      <c r="J178" s="370">
        <f>(+$D$155*J149*$H$154/12)/J57</f>
        <v>0</v>
      </c>
      <c r="K178" s="370"/>
      <c r="L178" s="370"/>
      <c r="M178" s="370"/>
    </row>
    <row r="179" spans="1:13" s="230" customFormat="1" x14ac:dyDescent="0.6">
      <c r="A179" s="210"/>
      <c r="B179" s="239"/>
      <c r="C179" s="370"/>
      <c r="D179" s="370"/>
      <c r="E179" s="370"/>
      <c r="F179" s="370"/>
      <c r="G179" s="370"/>
      <c r="H179" s="370"/>
      <c r="I179" s="370"/>
      <c r="J179" s="370"/>
      <c r="K179" s="370"/>
      <c r="L179" s="370"/>
      <c r="M179" s="370"/>
    </row>
    <row r="180" spans="1:13" s="230" customFormat="1" x14ac:dyDescent="0.6">
      <c r="A180" s="210"/>
      <c r="B180" s="239" t="s">
        <v>152</v>
      </c>
      <c r="K180" s="370"/>
      <c r="L180" s="370"/>
      <c r="M180" s="370"/>
    </row>
    <row r="181" spans="1:13" s="230" customFormat="1" x14ac:dyDescent="0.6">
      <c r="A181" s="208"/>
      <c r="B181" s="239" t="s">
        <v>153</v>
      </c>
      <c r="C181" s="370">
        <f>((+$Q$160*C147*1000)/C57)</f>
        <v>7.9829227633276849</v>
      </c>
      <c r="D181" s="370">
        <f>((+$Q$160*D147*1000)/D57)</f>
        <v>4.5709801057471182</v>
      </c>
      <c r="E181" s="370">
        <f>(+$Q$160*E147*1000)/SUMPRODUCT(E45:E56,E27:E38)</f>
        <v>17.170788745965176</v>
      </c>
      <c r="F181" s="370">
        <f>((+$Q$160*F147*1000)/F57)</f>
        <v>0</v>
      </c>
      <c r="G181" s="370">
        <f>((+$Q$160*G147*1000)/G57)</f>
        <v>0</v>
      </c>
      <c r="H181" s="370">
        <f>((+$Q$160*H147*1000)/H57)</f>
        <v>8.0277980500893698</v>
      </c>
      <c r="I181" s="370">
        <f>((+$Q$160*I147*1000)/I57)</f>
        <v>0</v>
      </c>
      <c r="J181" s="370">
        <f>((+$Q$160*J147*1000)/J57)</f>
        <v>0</v>
      </c>
      <c r="K181" s="370"/>
      <c r="L181" s="370"/>
      <c r="M181" s="370"/>
    </row>
    <row r="182" spans="1:13" s="230" customFormat="1" x14ac:dyDescent="0.6">
      <c r="A182" s="210"/>
      <c r="B182" s="239" t="s">
        <v>154</v>
      </c>
      <c r="C182" s="393">
        <f>(C147*$F$158*$E$152)/SUM(C50:C53)</f>
        <v>6.0923430736581352</v>
      </c>
      <c r="D182" s="393">
        <f>(D147*$F$158*$E$152)/SUM(D50:D53)</f>
        <v>6.6940357913285951</v>
      </c>
      <c r="E182" s="393">
        <f>(E147*$F$158*$E$152)/SUMPRODUCT(E50:E53,E32:E35)</f>
        <v>12.349536861774746</v>
      </c>
      <c r="F182" s="393">
        <f>(F147*$F$158*$E$152)/SUM(F50:F53)</f>
        <v>0</v>
      </c>
      <c r="G182" s="393">
        <f>(G147*$F$158*$E$152)/SUM(G50:G53)</f>
        <v>0</v>
      </c>
      <c r="H182" s="393">
        <f>(H147*$F$158*$E$152)/SUM(H50:H53)</f>
        <v>12.640209211319879</v>
      </c>
      <c r="I182" s="393">
        <f>(I147*$F$158*$E$152)/SUM(I50:I53)</f>
        <v>0</v>
      </c>
      <c r="J182" s="393">
        <f>(J147*$F$158*$E$152)/SUM(J50:J53)</f>
        <v>0</v>
      </c>
      <c r="K182" s="370"/>
      <c r="L182" s="370"/>
      <c r="M182" s="370"/>
    </row>
    <row r="183" spans="1:13" s="230" customFormat="1" x14ac:dyDescent="0.6">
      <c r="A183" s="210"/>
      <c r="B183" s="239" t="s">
        <v>155</v>
      </c>
      <c r="C183" s="370">
        <f>(C147*$F$159*$E$153)/SUM(C45:C49,C54:C56)</f>
        <v>9.4490385163211954</v>
      </c>
      <c r="D183" s="370">
        <f>(D147*$F$159*$E$153)/SUM(D45:D49,D54:D56)</f>
        <v>3.945336003009499</v>
      </c>
      <c r="E183" s="370">
        <f>(E147*$F$159*$E$153)/(SUMPRODUCT(E45:E49,E27:E31)+SUMPRODUCT(E54:E56,E36:E38))</f>
        <v>21.335465251446411</v>
      </c>
      <c r="F183" s="370">
        <f>(F147*$F$159*$E$153)/SUM(F45:F49,F54:F56)</f>
        <v>0</v>
      </c>
      <c r="G183" s="370">
        <f>(G147*$F$159*$E$153)/SUM(G45:G49,G54:G56)</f>
        <v>0</v>
      </c>
      <c r="H183" s="370">
        <f>(H147*$F$159*$E$153)/SUM(H45:H49,H54:H56)</f>
        <v>6.7891228948168081</v>
      </c>
      <c r="I183" s="370">
        <f>(I147*$F$159*$E$153)/SUM(I45:I49,I54:I56)</f>
        <v>0</v>
      </c>
      <c r="J183" s="370">
        <f>(J147*$F$159*$E$153)/SUM(J45:J49,J54:J56)</f>
        <v>0</v>
      </c>
      <c r="K183" s="370"/>
      <c r="L183" s="370"/>
      <c r="M183" s="370"/>
    </row>
    <row r="184" spans="1:13" s="230" customFormat="1" x14ac:dyDescent="0.6">
      <c r="A184" s="210"/>
      <c r="E184" s="394" t="s">
        <v>156</v>
      </c>
      <c r="F184" s="370"/>
      <c r="G184" s="370"/>
      <c r="H184" s="370"/>
      <c r="K184" s="370"/>
      <c r="L184" s="370"/>
      <c r="M184" s="370"/>
    </row>
    <row r="185" spans="1:13" s="230" customFormat="1" x14ac:dyDescent="0.6">
      <c r="A185" s="210"/>
      <c r="E185" s="394" t="s">
        <v>157</v>
      </c>
      <c r="F185" s="370"/>
      <c r="G185" s="370"/>
      <c r="H185" s="370"/>
      <c r="K185" s="370"/>
      <c r="L185" s="370"/>
      <c r="M185" s="370"/>
    </row>
    <row r="186" spans="1:13" s="230" customFormat="1" x14ac:dyDescent="0.6">
      <c r="A186" s="210"/>
    </row>
    <row r="187" spans="1:13" s="230" customFormat="1" x14ac:dyDescent="0.6">
      <c r="A187" s="208" t="s">
        <v>73</v>
      </c>
      <c r="B187" s="206" t="s">
        <v>134</v>
      </c>
    </row>
    <row r="188" spans="1:13" s="230" customFormat="1" x14ac:dyDescent="0.6">
      <c r="A188" s="210"/>
      <c r="B188" s="206"/>
      <c r="K188" s="320"/>
    </row>
    <row r="189" spans="1:13" s="230" customFormat="1" x14ac:dyDescent="0.6">
      <c r="A189" s="210"/>
      <c r="B189" s="206" t="s">
        <v>41</v>
      </c>
    </row>
    <row r="190" spans="1:13" s="230" customFormat="1" x14ac:dyDescent="0.6">
      <c r="A190" s="210"/>
      <c r="B190" s="207" t="s">
        <v>333</v>
      </c>
    </row>
    <row r="191" spans="1:13" s="230" customFormat="1" x14ac:dyDescent="0.6">
      <c r="A191" s="210"/>
      <c r="B191" s="207" t="s">
        <v>40</v>
      </c>
    </row>
    <row r="192" spans="1:13" s="230" customFormat="1" x14ac:dyDescent="0.6">
      <c r="A192" s="210"/>
      <c r="C192" s="203" t="str">
        <f t="shared" ref="C192:J192" si="61">+C7</f>
        <v>RS</v>
      </c>
      <c r="D192" s="203" t="str">
        <f t="shared" si="61"/>
        <v>RHS</v>
      </c>
      <c r="E192" s="203" t="str">
        <f t="shared" si="61"/>
        <v>RLM</v>
      </c>
      <c r="F192" s="203" t="str">
        <f t="shared" si="61"/>
        <v>WH</v>
      </c>
      <c r="G192" s="203" t="str">
        <f t="shared" si="61"/>
        <v>WHS</v>
      </c>
      <c r="H192" s="203" t="str">
        <f t="shared" si="61"/>
        <v>HS</v>
      </c>
      <c r="I192" s="203" t="str">
        <f t="shared" si="61"/>
        <v>PSAL</v>
      </c>
      <c r="J192" s="203" t="str">
        <f t="shared" si="61"/>
        <v>BPL</v>
      </c>
    </row>
    <row r="193" spans="1:11" s="230" customFormat="1" x14ac:dyDescent="0.6">
      <c r="A193" s="210"/>
      <c r="C193" s="203"/>
      <c r="D193" s="203"/>
      <c r="E193" s="370"/>
      <c r="F193" s="203"/>
      <c r="G193" s="203"/>
    </row>
    <row r="194" spans="1:11" s="230" customFormat="1" x14ac:dyDescent="0.6">
      <c r="A194" s="210"/>
      <c r="B194" s="337" t="s">
        <v>23</v>
      </c>
      <c r="C194" s="370">
        <f>+C130+($D$171*C80)+C$178+C181</f>
        <v>85.898649262083424</v>
      </c>
      <c r="D194" s="370">
        <f>+D130+($D$171*D80)+D$178+D181</f>
        <v>82.450332916048353</v>
      </c>
      <c r="E194" s="370"/>
      <c r="F194" s="370">
        <f>+F130+($D$171*F80)+F$178+F181</f>
        <v>76.216752952641016</v>
      </c>
      <c r="G194" s="370">
        <f>+G130+($D$171*G80)+G$178+G181</f>
        <v>75.468482853011963</v>
      </c>
      <c r="H194" s="370">
        <f>+H130+($D$171*H80)+H$178+H181</f>
        <v>86.930591560035822</v>
      </c>
      <c r="I194" s="370">
        <f>+I130+($D$171*I80)+I$178+I181</f>
        <v>70.809019566775063</v>
      </c>
      <c r="J194" s="370">
        <f>+J130+($D$171*J80)+J$178+J181</f>
        <v>70.703312670321154</v>
      </c>
      <c r="K194" s="370"/>
    </row>
    <row r="195" spans="1:11" s="230" customFormat="1" x14ac:dyDescent="0.6">
      <c r="A195" s="210"/>
      <c r="B195" s="371" t="s">
        <v>84</v>
      </c>
      <c r="C195" s="370"/>
      <c r="D195" s="370"/>
      <c r="E195" s="370">
        <f>+E131+($D$171*E80)+E$178+E181</f>
        <v>105.10640203603629</v>
      </c>
      <c r="F195" s="370"/>
      <c r="G195" s="370"/>
      <c r="H195" s="370"/>
      <c r="I195" s="370"/>
      <c r="J195" s="370"/>
    </row>
    <row r="196" spans="1:11" s="230" customFormat="1" x14ac:dyDescent="0.6">
      <c r="A196" s="210"/>
      <c r="B196" s="371" t="s">
        <v>85</v>
      </c>
      <c r="C196" s="370"/>
      <c r="D196" s="370"/>
      <c r="E196" s="370">
        <f>+E132+($D$171*E80)</f>
        <v>68.357698746052591</v>
      </c>
      <c r="F196" s="370"/>
      <c r="G196" s="370"/>
      <c r="H196" s="370"/>
      <c r="I196" s="370"/>
      <c r="J196" s="370"/>
    </row>
    <row r="197" spans="1:11" s="230" customFormat="1" x14ac:dyDescent="0.6">
      <c r="A197" s="210"/>
      <c r="B197" s="239" t="s">
        <v>160</v>
      </c>
      <c r="C197" s="370">
        <f>(C194*SUM(C50:C53)-C166*10*C164*SUM(C50:C53))/SUM(C50:C53)</f>
        <v>82.83584126208342</v>
      </c>
      <c r="D197" s="370">
        <f>(D194*SUM(D50:D53)-D166*10*D164*SUM(D50:D53))/SUM(D50:D53)</f>
        <v>78.528441916048351</v>
      </c>
      <c r="E197" s="370"/>
      <c r="F197" s="370"/>
      <c r="G197" s="370"/>
      <c r="H197" s="370"/>
      <c r="I197" s="370"/>
      <c r="J197" s="370"/>
    </row>
    <row r="198" spans="1:11" s="230" customFormat="1" x14ac:dyDescent="0.6">
      <c r="A198" s="210"/>
      <c r="B198" s="239" t="s">
        <v>159</v>
      </c>
      <c r="C198" s="370">
        <f>+C197+C166*10</f>
        <v>91.487841262083421</v>
      </c>
      <c r="D198" s="370">
        <f>+D197+D166*10</f>
        <v>90.097441916048354</v>
      </c>
      <c r="E198" s="370"/>
      <c r="F198" s="370"/>
      <c r="G198" s="370"/>
      <c r="H198" s="370"/>
      <c r="I198" s="370"/>
      <c r="J198" s="370"/>
    </row>
    <row r="199" spans="1:11" s="230" customFormat="1" x14ac:dyDescent="0.6">
      <c r="A199" s="210"/>
      <c r="C199" s="370"/>
      <c r="D199" s="370"/>
      <c r="E199" s="370"/>
      <c r="F199" s="370"/>
      <c r="G199" s="370"/>
      <c r="H199" s="370"/>
      <c r="I199" s="370"/>
      <c r="J199" s="370"/>
    </row>
    <row r="200" spans="1:11" s="230" customFormat="1" x14ac:dyDescent="0.6">
      <c r="A200" s="210"/>
      <c r="B200" s="337" t="s">
        <v>24</v>
      </c>
      <c r="C200" s="370">
        <f>+C134+($D$171*C80)+C$178+C181</f>
        <v>91.772308662531216</v>
      </c>
      <c r="D200" s="370">
        <f>+D134+($D$171*D80)+D$178+D181</f>
        <v>92.776516045848183</v>
      </c>
      <c r="E200" s="370"/>
      <c r="F200" s="370">
        <f>+F134+($D$171*F80)+F$178+F181</f>
        <v>82.121392084974715</v>
      </c>
      <c r="G200" s="370">
        <f>+G134+($D$171*G80)+G$178+G181</f>
        <v>80.663562018460041</v>
      </c>
      <c r="H200" s="370">
        <f>+H134+($D$171*H80)+H$178+H181</f>
        <v>96.65196600407323</v>
      </c>
      <c r="I200" s="370">
        <f>+I134+($D$171*I80)+I$178+I181</f>
        <v>80.177413196251848</v>
      </c>
      <c r="J200" s="370">
        <f>+J134+($D$171*J80)+J$178+J181</f>
        <v>80.138535720589573</v>
      </c>
      <c r="K200" s="370"/>
    </row>
    <row r="201" spans="1:11" s="230" customFormat="1" x14ac:dyDescent="0.6">
      <c r="A201" s="210"/>
      <c r="B201" s="371" t="s">
        <v>84</v>
      </c>
      <c r="C201" s="370"/>
      <c r="D201" s="370"/>
      <c r="E201" s="370">
        <f>+E135+($D$171*E80)+E$178+E181</f>
        <v>106.93895833195901</v>
      </c>
      <c r="F201" s="370"/>
      <c r="G201" s="370"/>
      <c r="H201" s="370"/>
      <c r="I201" s="370"/>
      <c r="J201" s="370"/>
    </row>
    <row r="202" spans="1:11" s="230" customFormat="1" x14ac:dyDescent="0.6">
      <c r="A202" s="210"/>
      <c r="B202" s="371" t="s">
        <v>85</v>
      </c>
      <c r="C202" s="370"/>
      <c r="D202" s="370"/>
      <c r="E202" s="370">
        <f>+E136+($D$171*E80)</f>
        <v>78.45838933362073</v>
      </c>
      <c r="F202" s="370"/>
      <c r="G202" s="370"/>
      <c r="H202" s="370"/>
      <c r="I202" s="370"/>
      <c r="J202" s="370"/>
    </row>
    <row r="203" spans="1:11" s="230" customFormat="1" x14ac:dyDescent="0.6">
      <c r="A203" s="210"/>
      <c r="C203" s="370"/>
      <c r="D203" s="370"/>
      <c r="E203" s="370"/>
      <c r="F203" s="370"/>
      <c r="G203" s="370"/>
      <c r="H203" s="370"/>
      <c r="I203" s="370"/>
      <c r="J203" s="370"/>
    </row>
    <row r="204" spans="1:11" s="230" customFormat="1" x14ac:dyDescent="0.6">
      <c r="A204" s="210"/>
      <c r="B204" s="230" t="s">
        <v>112</v>
      </c>
      <c r="C204" s="370">
        <f>+C138+($D$171*C80)+C$178+C181</f>
        <v>89.206849650294188</v>
      </c>
      <c r="D204" s="370">
        <f>+D138+($D$171*D80)+D$178+D181</f>
        <v>90.426126379285563</v>
      </c>
      <c r="E204" s="370">
        <f>((E195*SUMPRODUCT(E32:E35,E50:E53)+E196*SUMPRODUCT(Q32:Q35,E50:E53))+(E201*(SUMPRODUCT(E27:E31,E45:E49)+SUMPRODUCT(E36:E38,E54:E56))+E202*(SUMPRODUCT(Q27:Q31,E45:E49)+SUMPRODUCT(Q36:Q38,E54:E56))))/E57</f>
        <v>88.537557328354339</v>
      </c>
      <c r="F204" s="370">
        <f>+F138+($D$171*F80)+F$178+F181</f>
        <v>80.437286315056937</v>
      </c>
      <c r="G204" s="370">
        <f>+G138+($D$171*G80)+G$178+G181</f>
        <v>79.246722246065104</v>
      </c>
      <c r="H204" s="370">
        <f>+H138+($D$171*H80)+H$178+H181</f>
        <v>94.593950731769496</v>
      </c>
      <c r="I204" s="370">
        <f>+I138+($D$171*I80)+I$178+I181</f>
        <v>77.60704534649075</v>
      </c>
      <c r="J204" s="370">
        <f>+J138+($D$171*J80)+J$178+J181</f>
        <v>77.631755142664304</v>
      </c>
      <c r="K204" s="370"/>
    </row>
    <row r="205" spans="1:11" s="230" customFormat="1" x14ac:dyDescent="0.6">
      <c r="A205" s="210"/>
      <c r="C205" s="370"/>
      <c r="D205" s="370"/>
      <c r="E205" s="370"/>
      <c r="F205" s="370"/>
      <c r="G205" s="370"/>
      <c r="H205" s="370"/>
      <c r="I205" s="370"/>
      <c r="J205" s="370"/>
      <c r="K205" s="370"/>
    </row>
    <row r="206" spans="1:11" s="230" customFormat="1" x14ac:dyDescent="0.6">
      <c r="A206" s="210"/>
      <c r="B206" s="206" t="s">
        <v>32</v>
      </c>
    </row>
    <row r="207" spans="1:11" s="230" customFormat="1" x14ac:dyDescent="0.6">
      <c r="A207" s="210"/>
      <c r="B207" s="207" t="s">
        <v>89</v>
      </c>
    </row>
    <row r="208" spans="1:11" s="230" customFormat="1" x14ac:dyDescent="0.6">
      <c r="A208" s="210"/>
      <c r="B208" s="207" t="s">
        <v>40</v>
      </c>
    </row>
    <row r="209" spans="1:15" s="230" customFormat="1" x14ac:dyDescent="0.6">
      <c r="A209" s="210"/>
      <c r="C209" s="203" t="str">
        <f>+K7</f>
        <v>GLP</v>
      </c>
      <c r="D209" s="203" t="str">
        <f>+L7</f>
        <v>LPL-S</v>
      </c>
      <c r="E209" s="203"/>
      <c r="H209" s="206" t="s">
        <v>31</v>
      </c>
      <c r="I209" s="203" t="str">
        <f>+C209</f>
        <v>GLP</v>
      </c>
      <c r="J209" s="203" t="str">
        <f>+D209</f>
        <v>LPL-S</v>
      </c>
    </row>
    <row r="210" spans="1:15" s="230" customFormat="1" x14ac:dyDescent="0.6">
      <c r="A210" s="210"/>
      <c r="C210" s="203"/>
      <c r="D210" s="203"/>
      <c r="F210" s="206"/>
    </row>
    <row r="211" spans="1:15" s="230" customFormat="1" x14ac:dyDescent="0.6">
      <c r="A211" s="210"/>
      <c r="B211" s="337" t="s">
        <v>23</v>
      </c>
      <c r="C211" s="370">
        <f>+K130+($D$171*K80)</f>
        <v>78.306288407529166</v>
      </c>
      <c r="D211" s="370">
        <f>+L130+($D$171*L$80)</f>
        <v>77.519068713471029</v>
      </c>
      <c r="E211" s="388"/>
      <c r="H211" s="249" t="s">
        <v>28</v>
      </c>
    </row>
    <row r="212" spans="1:15" s="230" customFormat="1" x14ac:dyDescent="0.6">
      <c r="A212" s="210"/>
      <c r="B212" s="371" t="s">
        <v>84</v>
      </c>
      <c r="C212" s="370"/>
      <c r="D212" s="370">
        <f>+L131+($D$171*L$80)</f>
        <v>87.279044242495701</v>
      </c>
      <c r="H212" s="239" t="s">
        <v>47</v>
      </c>
      <c r="I212" s="395">
        <f>+$F158*$E152/$H152/1000</f>
        <v>1.632665</v>
      </c>
      <c r="J212" s="395">
        <f>+$F158*$E152/$H152/1000</f>
        <v>1.632665</v>
      </c>
      <c r="K212" s="276" t="s">
        <v>51</v>
      </c>
      <c r="O212" s="396"/>
    </row>
    <row r="213" spans="1:15" s="230" customFormat="1" x14ac:dyDescent="0.6">
      <c r="A213" s="210"/>
      <c r="B213" s="371" t="s">
        <v>85</v>
      </c>
      <c r="C213" s="370"/>
      <c r="D213" s="370">
        <f>+L132+($D$171*L$80)</f>
        <v>68.118749906689658</v>
      </c>
      <c r="H213" s="239" t="s">
        <v>48</v>
      </c>
      <c r="I213" s="395">
        <f>+$F159*$E153/$H153/1000</f>
        <v>1.632665</v>
      </c>
      <c r="J213" s="395">
        <f>+$F159*$E153/$H153/1000</f>
        <v>1.632665</v>
      </c>
      <c r="K213" s="276" t="s">
        <v>51</v>
      </c>
    </row>
    <row r="214" spans="1:15" s="230" customFormat="1" x14ac:dyDescent="0.6">
      <c r="A214" s="210"/>
      <c r="C214" s="370"/>
      <c r="D214" s="370"/>
      <c r="H214" s="239" t="s">
        <v>289</v>
      </c>
      <c r="I214" s="395">
        <f>($F$158*$E$152+$F$159*$E$153)/$H$154/1000</f>
        <v>1.632665</v>
      </c>
      <c r="J214" s="395">
        <f>($F$158*$E$152+$F$159*$E$153)/$H$154/1000</f>
        <v>1.632665</v>
      </c>
      <c r="K214" s="276" t="s">
        <v>51</v>
      </c>
    </row>
    <row r="215" spans="1:15" s="230" customFormat="1" x14ac:dyDescent="0.6">
      <c r="A215" s="210"/>
      <c r="B215" s="337" t="s">
        <v>24</v>
      </c>
      <c r="C215" s="370">
        <f>+K134+($D$171*K80)</f>
        <v>82.239369929732746</v>
      </c>
      <c r="D215" s="370">
        <f>+L134+($D$171*L$80)</f>
        <v>81.470103395710225</v>
      </c>
    </row>
    <row r="216" spans="1:15" s="230" customFormat="1" x14ac:dyDescent="0.6">
      <c r="A216" s="210"/>
      <c r="B216" s="371" t="s">
        <v>84</v>
      </c>
      <c r="C216" s="370"/>
      <c r="D216" s="370">
        <f>+L135+($D$171*L$80)</f>
        <v>87.057031928637286</v>
      </c>
      <c r="H216" s="249" t="s">
        <v>29</v>
      </c>
      <c r="I216" s="397"/>
      <c r="J216" s="397"/>
      <c r="K216" s="276"/>
    </row>
    <row r="217" spans="1:15" s="230" customFormat="1" x14ac:dyDescent="0.6">
      <c r="A217" s="210"/>
      <c r="B217" s="371" t="s">
        <v>85</v>
      </c>
      <c r="C217" s="370"/>
      <c r="D217" s="370">
        <f>+L136+($D$171*L$80)</f>
        <v>76.385125780053244</v>
      </c>
      <c r="H217" s="239" t="s">
        <v>49</v>
      </c>
      <c r="I217" s="395">
        <f>+$D155/1000/12</f>
        <v>0</v>
      </c>
      <c r="J217" s="395">
        <f>+$D155/1000/12</f>
        <v>0</v>
      </c>
      <c r="K217" s="276" t="s">
        <v>52</v>
      </c>
    </row>
    <row r="218" spans="1:15" s="230" customFormat="1" x14ac:dyDescent="0.6">
      <c r="A218" s="210"/>
      <c r="B218" s="371"/>
      <c r="C218" s="370"/>
      <c r="D218" s="370"/>
    </row>
    <row r="219" spans="1:15" s="230" customFormat="1" x14ac:dyDescent="0.6">
      <c r="A219" s="210"/>
      <c r="B219" s="230" t="s">
        <v>114</v>
      </c>
      <c r="C219" s="370">
        <f>+K138+($D$171*K80)</f>
        <v>80.796069707128581</v>
      </c>
      <c r="D219" s="370">
        <f>+L138+($D$171*L$80)</f>
        <v>80.094453619708517</v>
      </c>
    </row>
    <row r="220" spans="1:15" s="230" customFormat="1" x14ac:dyDescent="0.6">
      <c r="A220" s="210"/>
      <c r="C220" s="370"/>
      <c r="D220" s="370"/>
    </row>
    <row r="221" spans="1:15" s="230" customFormat="1" x14ac:dyDescent="0.6">
      <c r="A221" s="210"/>
      <c r="B221" s="253" t="s">
        <v>334</v>
      </c>
      <c r="C221" s="370"/>
      <c r="D221" s="370"/>
    </row>
    <row r="222" spans="1:15" s="230" customFormat="1" x14ac:dyDescent="0.6">
      <c r="A222" s="210"/>
      <c r="B222" s="337" t="s">
        <v>23</v>
      </c>
      <c r="C222" s="370">
        <f>(C211*W49+((I214*$H152)*K147*1000)+(I217*$H152*K149*1000))/W49</f>
        <v>83.801252442922106</v>
      </c>
      <c r="D222" s="370">
        <f>(D211*X49+((J214*$H152)*L147*1000)+(J217*$H152*L149*1000))/X49</f>
        <v>81.480607298585582</v>
      </c>
      <c r="F222" s="230" t="s">
        <v>121</v>
      </c>
    </row>
    <row r="223" spans="1:15" s="230" customFormat="1" x14ac:dyDescent="0.6">
      <c r="A223" s="210"/>
      <c r="B223" s="371" t="s">
        <v>84</v>
      </c>
      <c r="C223" s="370"/>
      <c r="D223" s="370">
        <f>(D212*X50+((J214*$H152)*L147*1000)+(J217*$H152*L149*1000))/X50</f>
        <v>95.35369010011172</v>
      </c>
    </row>
    <row r="224" spans="1:15" s="230" customFormat="1" x14ac:dyDescent="0.6">
      <c r="A224" s="210"/>
      <c r="B224" s="371" t="s">
        <v>85</v>
      </c>
      <c r="C224" s="370"/>
      <c r="D224" s="370">
        <f>+D213</f>
        <v>68.118749906689658</v>
      </c>
    </row>
    <row r="225" spans="1:7" s="230" customFormat="1" x14ac:dyDescent="0.6">
      <c r="A225" s="210"/>
      <c r="C225" s="370"/>
      <c r="D225" s="370"/>
    </row>
    <row r="226" spans="1:7" s="230" customFormat="1" x14ac:dyDescent="0.6">
      <c r="A226" s="210"/>
      <c r="B226" s="337" t="s">
        <v>24</v>
      </c>
      <c r="C226" s="370">
        <f>(C215*W45+((I214*$H153)*K147*1000)+(I217*$H153*K149*1000))/W45</f>
        <v>88.610116482259699</v>
      </c>
      <c r="D226" s="370">
        <f>(D215*X45+((J214*$H153)*L147*1000)+(J217*$H153*L149*1000))/X45</f>
        <v>85.702239457419694</v>
      </c>
    </row>
    <row r="227" spans="1:7" s="230" customFormat="1" x14ac:dyDescent="0.6">
      <c r="A227" s="210"/>
      <c r="B227" s="371" t="s">
        <v>84</v>
      </c>
      <c r="C227" s="370"/>
      <c r="D227" s="370">
        <f>(D216*X46+((J214*$H153)*L147*1000)+(J217*$H153*L149*1000))/X46</f>
        <v>95.939068836633808</v>
      </c>
    </row>
    <row r="228" spans="1:7" s="230" customFormat="1" x14ac:dyDescent="0.6">
      <c r="A228" s="210"/>
      <c r="B228" s="371" t="s">
        <v>85</v>
      </c>
      <c r="C228" s="370"/>
      <c r="D228" s="370">
        <f>+D217</f>
        <v>76.385125780053244</v>
      </c>
    </row>
    <row r="229" spans="1:7" s="230" customFormat="1" x14ac:dyDescent="0.6">
      <c r="A229" s="210"/>
      <c r="B229" s="371"/>
      <c r="C229" s="370"/>
      <c r="D229" s="370"/>
    </row>
    <row r="230" spans="1:7" s="230" customFormat="1" x14ac:dyDescent="0.6">
      <c r="A230" s="210"/>
      <c r="B230" s="230" t="s">
        <v>335</v>
      </c>
      <c r="C230" s="370">
        <f>(C219*K57+((I214*$H152+I214*$H153)*K147*1000)+(I217*$H154*K149*1000))/K57</f>
        <v>86.845435404772019</v>
      </c>
      <c r="D230" s="370">
        <f>(D219*L57+((J214*$H152+J214*$H153)*L147*1000)+(J217*$H154*L149*1000))/L57</f>
        <v>84.232374523110778</v>
      </c>
    </row>
    <row r="231" spans="1:7" s="230" customFormat="1" x14ac:dyDescent="0.6">
      <c r="A231" s="210"/>
      <c r="C231" s="374"/>
      <c r="D231" s="374"/>
    </row>
    <row r="232" spans="1:7" s="230" customFormat="1" x14ac:dyDescent="0.6">
      <c r="A232" s="210"/>
      <c r="B232" s="206" t="s">
        <v>108</v>
      </c>
      <c r="C232" s="370"/>
      <c r="D232" s="370"/>
    </row>
    <row r="233" spans="1:7" s="230" customFormat="1" x14ac:dyDescent="0.6">
      <c r="A233" s="210"/>
      <c r="B233" s="239" t="s">
        <v>59</v>
      </c>
      <c r="C233" s="375">
        <f>(+SUMPRODUCT(C204:J204,C57:J57)+SUMPRODUCT(C230:D230,K57:L57))/1000</f>
        <v>2116823.2832924342</v>
      </c>
      <c r="G233" s="373"/>
    </row>
    <row r="234" spans="1:7" s="230" customFormat="1" x14ac:dyDescent="0.6">
      <c r="A234" s="210"/>
      <c r="C234" s="239" t="s">
        <v>140</v>
      </c>
      <c r="D234" s="370">
        <f>+C233/SUM(C57:L57)*1000</f>
        <v>87.426382892909331</v>
      </c>
      <c r="E234" s="230" t="s">
        <v>44</v>
      </c>
    </row>
    <row r="235" spans="1:7" s="230" customFormat="1" x14ac:dyDescent="0.6">
      <c r="A235" s="210"/>
      <c r="C235" s="239" t="s">
        <v>280</v>
      </c>
      <c r="D235" s="370">
        <f>+C233/SUMPRODUCT(C57:L57,C85:L85)*1000</f>
        <v>82.988411605482895</v>
      </c>
      <c r="E235" s="230" t="s">
        <v>265</v>
      </c>
    </row>
    <row r="236" spans="1:7" s="230" customFormat="1" x14ac:dyDescent="0.6">
      <c r="A236" s="210"/>
    </row>
    <row r="237" spans="1:7" s="230" customFormat="1" x14ac:dyDescent="0.6">
      <c r="A237" s="210"/>
      <c r="E237" s="397"/>
    </row>
    <row r="238" spans="1:7" s="230" customFormat="1" x14ac:dyDescent="0.6">
      <c r="A238" s="208" t="s">
        <v>92</v>
      </c>
      <c r="B238" s="206" t="s">
        <v>266</v>
      </c>
    </row>
    <row r="239" spans="1:7" s="230" customFormat="1" x14ac:dyDescent="0.6">
      <c r="A239" s="210"/>
      <c r="B239" s="206"/>
    </row>
    <row r="240" spans="1:7" s="230" customFormat="1" x14ac:dyDescent="0.6">
      <c r="A240" s="210"/>
      <c r="B240" s="206" t="s">
        <v>41</v>
      </c>
    </row>
    <row r="241" spans="1:13" s="230" customFormat="1" x14ac:dyDescent="0.6">
      <c r="A241" s="210"/>
      <c r="B241" s="207" t="s">
        <v>333</v>
      </c>
    </row>
    <row r="242" spans="1:13" s="230" customFormat="1" x14ac:dyDescent="0.6">
      <c r="A242" s="210"/>
      <c r="B242" s="206"/>
    </row>
    <row r="243" spans="1:13" s="230" customFormat="1" x14ac:dyDescent="0.6">
      <c r="A243" s="210"/>
      <c r="C243" s="203" t="str">
        <f t="shared" ref="C243:J243" si="62">+C7</f>
        <v>RS</v>
      </c>
      <c r="D243" s="203" t="str">
        <f t="shared" si="62"/>
        <v>RHS</v>
      </c>
      <c r="E243" s="203" t="str">
        <f t="shared" si="62"/>
        <v>RLM</v>
      </c>
      <c r="F243" s="203" t="str">
        <f t="shared" si="62"/>
        <v>WH</v>
      </c>
      <c r="G243" s="203" t="str">
        <f t="shared" si="62"/>
        <v>WHS</v>
      </c>
      <c r="H243" s="203" t="str">
        <f t="shared" si="62"/>
        <v>HS</v>
      </c>
      <c r="I243" s="203" t="str">
        <f t="shared" si="62"/>
        <v>PSAL</v>
      </c>
      <c r="J243" s="203" t="str">
        <f t="shared" si="62"/>
        <v>BPL</v>
      </c>
    </row>
    <row r="244" spans="1:13" s="230" customFormat="1" x14ac:dyDescent="0.6">
      <c r="A244" s="210"/>
      <c r="C244" s="203"/>
      <c r="D244" s="203"/>
      <c r="E244" s="203"/>
      <c r="F244" s="203"/>
      <c r="G244" s="203"/>
    </row>
    <row r="245" spans="1:13" s="230" customFormat="1" x14ac:dyDescent="0.6">
      <c r="A245" s="210"/>
      <c r="B245" s="337" t="s">
        <v>23</v>
      </c>
      <c r="E245" s="107"/>
      <c r="F245" s="69">
        <f>ROUND(+F194/$D$235,3)</f>
        <v>0.91800000000000004</v>
      </c>
      <c r="G245" s="69">
        <f>ROUND(+G194/$D$235,3)</f>
        <v>0.90900000000000003</v>
      </c>
      <c r="H245" s="69">
        <f>ROUND(+H194/$D$235,3)</f>
        <v>1.048</v>
      </c>
      <c r="I245" s="107">
        <f>ROUND(+I194/$D$235,3)</f>
        <v>0.85299999999999998</v>
      </c>
      <c r="J245" s="107">
        <f>ROUND(+J194/$D$235,3)</f>
        <v>0.85199999999999998</v>
      </c>
      <c r="K245" s="266"/>
      <c r="L245" s="266"/>
      <c r="M245" s="266"/>
    </row>
    <row r="246" spans="1:13" s="230" customFormat="1" x14ac:dyDescent="0.6">
      <c r="A246" s="210"/>
      <c r="B246" s="371" t="s">
        <v>84</v>
      </c>
      <c r="C246" s="70"/>
      <c r="D246" s="109"/>
      <c r="E246" s="69">
        <f>ROUND(+E195/$D$235,3)</f>
        <v>1.2669999999999999</v>
      </c>
      <c r="F246" s="107"/>
      <c r="G246" s="107"/>
      <c r="H246" s="107"/>
      <c r="J246" s="110" t="s">
        <v>167</v>
      </c>
      <c r="K246" s="266"/>
      <c r="L246" s="266"/>
      <c r="M246" s="266"/>
    </row>
    <row r="247" spans="1:13" s="230" customFormat="1" x14ac:dyDescent="0.6">
      <c r="A247" s="210"/>
      <c r="B247" s="371" t="s">
        <v>85</v>
      </c>
      <c r="C247" s="70"/>
      <c r="D247" s="109"/>
      <c r="E247" s="69">
        <f>ROUND(+E196/$D$235,3)</f>
        <v>0.82399999999999995</v>
      </c>
      <c r="F247" s="107"/>
      <c r="G247" s="107"/>
      <c r="H247" s="398"/>
      <c r="J247" s="110" t="s">
        <v>168</v>
      </c>
      <c r="K247" s="259">
        <f>ROUND((I245*U49+J245*V49)/(U49+V49),3)</f>
        <v>0.85199999999999998</v>
      </c>
      <c r="L247" s="266"/>
      <c r="M247" s="266"/>
    </row>
    <row r="248" spans="1:13" s="230" customFormat="1" x14ac:dyDescent="0.6">
      <c r="A248" s="210"/>
      <c r="E248" s="70"/>
      <c r="F248" s="109"/>
      <c r="G248" s="109"/>
      <c r="L248" s="266"/>
      <c r="M248" s="266"/>
    </row>
    <row r="249" spans="1:13" s="230" customFormat="1" x14ac:dyDescent="0.6">
      <c r="A249" s="210"/>
      <c r="B249" s="260" t="s">
        <v>164</v>
      </c>
      <c r="C249" s="69">
        <f>ROUND(+C194/$D$235,3)</f>
        <v>1.0349999999999999</v>
      </c>
      <c r="D249" s="69">
        <f>ROUND(+D194/$D$235,3)</f>
        <v>0.99399999999999999</v>
      </c>
      <c r="E249" s="70"/>
      <c r="F249" s="109"/>
      <c r="G249" s="109"/>
      <c r="H249" s="109"/>
      <c r="I249" s="109"/>
      <c r="J249" s="109"/>
      <c r="K249" s="266"/>
      <c r="L249" s="266"/>
      <c r="M249" s="266"/>
    </row>
    <row r="250" spans="1:13" s="230" customFormat="1" x14ac:dyDescent="0.6">
      <c r="A250" s="208"/>
      <c r="B250" s="260" t="s">
        <v>172</v>
      </c>
      <c r="C250" s="73">
        <f>ROUND(+C197-C194,3)</f>
        <v>-3.0630000000000002</v>
      </c>
      <c r="D250" s="73">
        <f>ROUND(D197-D194,3)</f>
        <v>-3.9220000000000002</v>
      </c>
      <c r="E250" s="265" t="s">
        <v>165</v>
      </c>
      <c r="F250" s="109"/>
      <c r="G250" s="109"/>
      <c r="H250" s="109"/>
      <c r="I250" s="109"/>
      <c r="J250" s="109"/>
      <c r="K250" s="266"/>
      <c r="L250" s="266"/>
      <c r="M250" s="266"/>
    </row>
    <row r="251" spans="1:13" s="230" customFormat="1" x14ac:dyDescent="0.6">
      <c r="A251" s="208"/>
      <c r="B251" s="260" t="s">
        <v>172</v>
      </c>
      <c r="C251" s="73">
        <f>ROUND(+C198-C194,3)</f>
        <v>5.5890000000000004</v>
      </c>
      <c r="D251" s="73">
        <f>ROUND(D198-D194,3)</f>
        <v>7.6470000000000002</v>
      </c>
      <c r="E251" s="265" t="s">
        <v>166</v>
      </c>
      <c r="F251" s="109"/>
      <c r="G251" s="109"/>
      <c r="H251" s="109"/>
      <c r="I251" s="109"/>
      <c r="J251" s="109"/>
      <c r="K251" s="266"/>
      <c r="L251" s="266"/>
      <c r="M251" s="266"/>
    </row>
    <row r="252" spans="1:13" s="230" customFormat="1" x14ac:dyDescent="0.6">
      <c r="A252" s="210"/>
      <c r="G252" s="109"/>
      <c r="H252" s="109"/>
      <c r="I252" s="109"/>
      <c r="J252" s="109"/>
      <c r="K252" s="266"/>
      <c r="L252" s="266"/>
      <c r="M252" s="266"/>
    </row>
    <row r="253" spans="1:13" s="230" customFormat="1" x14ac:dyDescent="0.6">
      <c r="A253" s="210"/>
      <c r="H253" s="109"/>
      <c r="I253" s="109"/>
      <c r="J253" s="109"/>
      <c r="K253" s="266"/>
      <c r="L253" s="266"/>
      <c r="M253" s="266"/>
    </row>
    <row r="254" spans="1:13" s="230" customFormat="1" x14ac:dyDescent="0.6">
      <c r="A254" s="210"/>
      <c r="C254" s="109"/>
      <c r="D254" s="109"/>
      <c r="E254" s="109"/>
      <c r="F254" s="109"/>
      <c r="G254" s="109"/>
      <c r="H254" s="109"/>
      <c r="I254" s="109"/>
      <c r="J254" s="109"/>
      <c r="K254" s="266"/>
      <c r="L254" s="266"/>
      <c r="M254" s="266"/>
    </row>
    <row r="255" spans="1:13" s="230" customFormat="1" x14ac:dyDescent="0.6">
      <c r="A255" s="210"/>
      <c r="B255" s="337" t="s">
        <v>24</v>
      </c>
      <c r="C255" s="69">
        <f>ROUND(+C200/$D$235,3)</f>
        <v>1.1060000000000001</v>
      </c>
      <c r="D255" s="69">
        <f>ROUND(+D200/$D$235,3)</f>
        <v>1.1180000000000001</v>
      </c>
      <c r="E255" s="107"/>
      <c r="F255" s="69">
        <f>ROUND(+F200/$D$235,3)</f>
        <v>0.99</v>
      </c>
      <c r="G255" s="69">
        <f>ROUND(+G200/$D$235,3)</f>
        <v>0.97199999999999998</v>
      </c>
      <c r="H255" s="69">
        <f>ROUND(+H200/$D$235,3)</f>
        <v>1.165</v>
      </c>
      <c r="I255" s="107">
        <f>ROUND(+I200/$D$235,3)</f>
        <v>0.96599999999999997</v>
      </c>
      <c r="J255" s="107">
        <f>ROUND(+J200/$D$235,3)</f>
        <v>0.96599999999999997</v>
      </c>
      <c r="K255" s="266"/>
      <c r="L255" s="266"/>
      <c r="M255" s="266"/>
    </row>
    <row r="256" spans="1:13" s="230" customFormat="1" x14ac:dyDescent="0.6">
      <c r="A256" s="210"/>
      <c r="B256" s="371" t="s">
        <v>84</v>
      </c>
      <c r="C256" s="109"/>
      <c r="D256" s="109"/>
      <c r="E256" s="69">
        <f>ROUND(+E201/$D$235,3)</f>
        <v>1.2889999999999999</v>
      </c>
      <c r="F256" s="109"/>
      <c r="G256" s="109"/>
      <c r="H256" s="109"/>
      <c r="J256" s="110" t="s">
        <v>167</v>
      </c>
      <c r="K256" s="266"/>
      <c r="L256" s="266"/>
      <c r="M256" s="266"/>
    </row>
    <row r="257" spans="1:13" s="230" customFormat="1" x14ac:dyDescent="0.6">
      <c r="A257" s="210"/>
      <c r="B257" s="371" t="s">
        <v>85</v>
      </c>
      <c r="C257" s="109"/>
      <c r="D257" s="109"/>
      <c r="E257" s="69">
        <f>ROUND(+E202/$D$235,3)</f>
        <v>0.94499999999999995</v>
      </c>
      <c r="F257" s="109"/>
      <c r="G257" s="109"/>
      <c r="J257" s="110" t="s">
        <v>168</v>
      </c>
      <c r="K257" s="259">
        <f>ROUND((I255*U45+J255*V45)/(U45+V45),3)</f>
        <v>0.96599999999999997</v>
      </c>
      <c r="L257" s="266"/>
      <c r="M257" s="266"/>
    </row>
    <row r="258" spans="1:13" s="230" customFormat="1" x14ac:dyDescent="0.6">
      <c r="A258" s="210"/>
      <c r="C258" s="399"/>
      <c r="D258" s="399"/>
      <c r="E258" s="399"/>
      <c r="F258" s="399"/>
      <c r="G258" s="399"/>
      <c r="K258" s="266"/>
      <c r="L258" s="266"/>
      <c r="M258" s="266"/>
    </row>
    <row r="259" spans="1:13" s="230" customFormat="1" x14ac:dyDescent="0.6">
      <c r="A259" s="210"/>
      <c r="B259" s="230" t="s">
        <v>113</v>
      </c>
      <c r="C259" s="400">
        <f>ROUND(+C204/$D$235,3)</f>
        <v>1.075</v>
      </c>
      <c r="D259" s="400">
        <f t="shared" ref="D259:J259" si="63">ROUND(+D204/$D$235,3)</f>
        <v>1.0900000000000001</v>
      </c>
      <c r="E259" s="400">
        <f t="shared" si="63"/>
        <v>1.0669999999999999</v>
      </c>
      <c r="F259" s="400">
        <f t="shared" si="63"/>
        <v>0.96899999999999997</v>
      </c>
      <c r="G259" s="400">
        <f t="shared" si="63"/>
        <v>0.95499999999999996</v>
      </c>
      <c r="H259" s="400">
        <f t="shared" si="63"/>
        <v>1.1399999999999999</v>
      </c>
      <c r="I259" s="400">
        <f t="shared" si="63"/>
        <v>0.93500000000000005</v>
      </c>
      <c r="J259" s="400">
        <f t="shared" si="63"/>
        <v>0.93500000000000005</v>
      </c>
      <c r="K259" s="266"/>
      <c r="L259" s="266"/>
      <c r="M259" s="266"/>
    </row>
    <row r="260" spans="1:13" s="230" customFormat="1" x14ac:dyDescent="0.6">
      <c r="A260" s="210"/>
    </row>
    <row r="261" spans="1:13" s="230" customFormat="1" x14ac:dyDescent="0.6">
      <c r="A261" s="210"/>
    </row>
    <row r="262" spans="1:13" s="230" customFormat="1" x14ac:dyDescent="0.6">
      <c r="A262" s="210"/>
      <c r="B262" s="206" t="s">
        <v>32</v>
      </c>
    </row>
    <row r="263" spans="1:13" s="230" customFormat="1" x14ac:dyDescent="0.6">
      <c r="A263" s="210"/>
      <c r="B263" s="207" t="s">
        <v>89</v>
      </c>
    </row>
    <row r="264" spans="1:13" s="230" customFormat="1" x14ac:dyDescent="0.6">
      <c r="A264" s="210"/>
    </row>
    <row r="265" spans="1:13" s="230" customFormat="1" x14ac:dyDescent="0.6">
      <c r="A265" s="210"/>
      <c r="C265" s="203" t="str">
        <f>+K7</f>
        <v>GLP</v>
      </c>
      <c r="D265" s="203" t="str">
        <f>+C265</f>
        <v>GLP</v>
      </c>
      <c r="E265" s="203" t="str">
        <f>+L7</f>
        <v>LPL-S</v>
      </c>
      <c r="F265" s="203" t="str">
        <f>+E265</f>
        <v>LPL-S</v>
      </c>
      <c r="H265" s="206" t="s">
        <v>31</v>
      </c>
    </row>
    <row r="266" spans="1:13" s="230" customFormat="1" ht="26" x14ac:dyDescent="0.6">
      <c r="A266" s="210"/>
      <c r="C266" s="203" t="s">
        <v>122</v>
      </c>
      <c r="D266" s="263" t="s">
        <v>172</v>
      </c>
      <c r="E266" s="203" t="s">
        <v>122</v>
      </c>
      <c r="F266" s="263" t="s">
        <v>172</v>
      </c>
    </row>
    <row r="267" spans="1:13" s="230" customFormat="1" x14ac:dyDescent="0.6">
      <c r="A267" s="210"/>
      <c r="B267" s="337" t="s">
        <v>23</v>
      </c>
      <c r="C267" s="69">
        <f>ROUND(+C222/$D$235,3)</f>
        <v>1.01</v>
      </c>
      <c r="D267" s="259">
        <f>ROUND(+C211-C222,3)</f>
        <v>-5.4950000000000001</v>
      </c>
      <c r="E267" s="398"/>
      <c r="F267" s="398"/>
      <c r="H267" s="249" t="s">
        <v>28</v>
      </c>
    </row>
    <row r="268" spans="1:13" s="230" customFormat="1" x14ac:dyDescent="0.6">
      <c r="A268" s="210"/>
      <c r="B268" s="371" t="s">
        <v>84</v>
      </c>
      <c r="C268" s="107"/>
      <c r="D268" s="259"/>
      <c r="E268" s="69">
        <f>ROUND(D223/$D$235,3)</f>
        <v>1.149</v>
      </c>
      <c r="F268" s="259">
        <f>ROUND(+D212-D223,3)</f>
        <v>-8.0749999999999993</v>
      </c>
      <c r="H268" s="239" t="s">
        <v>47</v>
      </c>
      <c r="I268" s="401">
        <f t="shared" ref="I268:J270" si="64">ROUND(+I212,4)</f>
        <v>1.6327</v>
      </c>
      <c r="J268" s="401">
        <f t="shared" si="64"/>
        <v>1.6327</v>
      </c>
      <c r="K268" s="276" t="s">
        <v>51</v>
      </c>
    </row>
    <row r="269" spans="1:13" s="230" customFormat="1" x14ac:dyDescent="0.6">
      <c r="A269" s="210"/>
      <c r="B269" s="371" t="s">
        <v>85</v>
      </c>
      <c r="C269" s="107"/>
      <c r="D269" s="259"/>
      <c r="E269" s="69">
        <f>ROUND(D224/$D$235,3)</f>
        <v>0.82099999999999995</v>
      </c>
      <c r="F269" s="259">
        <f>ROUND(+D213-D224,3)</f>
        <v>0</v>
      </c>
      <c r="H269" s="239" t="s">
        <v>48</v>
      </c>
      <c r="I269" s="401">
        <f t="shared" si="64"/>
        <v>1.6327</v>
      </c>
      <c r="J269" s="401">
        <f t="shared" si="64"/>
        <v>1.6327</v>
      </c>
      <c r="K269" s="276" t="s">
        <v>51</v>
      </c>
    </row>
    <row r="270" spans="1:13" s="230" customFormat="1" x14ac:dyDescent="0.6">
      <c r="A270" s="210"/>
      <c r="C270" s="107"/>
      <c r="D270" s="259"/>
      <c r="E270" s="107"/>
      <c r="F270" s="259"/>
      <c r="H270" s="239" t="s">
        <v>289</v>
      </c>
      <c r="I270" s="401">
        <f t="shared" si="64"/>
        <v>1.6327</v>
      </c>
      <c r="J270" s="401">
        <f t="shared" si="64"/>
        <v>1.6327</v>
      </c>
      <c r="K270" s="276" t="s">
        <v>51</v>
      </c>
    </row>
    <row r="271" spans="1:13" s="230" customFormat="1" x14ac:dyDescent="0.6">
      <c r="A271" s="210"/>
      <c r="B271" s="337" t="s">
        <v>24</v>
      </c>
      <c r="C271" s="69">
        <f>ROUND(+C226/$D$235,3)</f>
        <v>1.0680000000000001</v>
      </c>
      <c r="D271" s="259">
        <f>ROUND(+C215-C226,3)</f>
        <v>-6.3710000000000004</v>
      </c>
      <c r="E271" s="69"/>
      <c r="F271" s="259"/>
    </row>
    <row r="272" spans="1:13" s="230" customFormat="1" x14ac:dyDescent="0.6">
      <c r="A272" s="210"/>
      <c r="B272" s="371" t="s">
        <v>84</v>
      </c>
      <c r="C272" s="107"/>
      <c r="D272" s="398"/>
      <c r="E272" s="69">
        <f>ROUND(D227/$D$235,3)</f>
        <v>1.1559999999999999</v>
      </c>
      <c r="F272" s="259">
        <f>ROUND(+D216-D227,3)</f>
        <v>-8.8819999999999997</v>
      </c>
      <c r="H272" s="249" t="s">
        <v>29</v>
      </c>
      <c r="I272" s="397"/>
      <c r="J272" s="397"/>
    </row>
    <row r="273" spans="1:11" s="230" customFormat="1" x14ac:dyDescent="0.6">
      <c r="A273" s="210"/>
      <c r="B273" s="371" t="s">
        <v>85</v>
      </c>
      <c r="C273" s="107"/>
      <c r="D273" s="398"/>
      <c r="E273" s="69">
        <f>ROUND(D228/$D$235,3)</f>
        <v>0.92</v>
      </c>
      <c r="F273" s="259">
        <f>ROUND(+D217-D228,3)</f>
        <v>0</v>
      </c>
      <c r="H273" s="239" t="s">
        <v>49</v>
      </c>
      <c r="I273" s="401">
        <f>ROUND(+I217,4)</f>
        <v>0</v>
      </c>
      <c r="J273" s="401">
        <f>ROUND(+J217,4)</f>
        <v>0</v>
      </c>
      <c r="K273" s="276" t="s">
        <v>52</v>
      </c>
    </row>
    <row r="274" spans="1:11" s="230" customFormat="1" x14ac:dyDescent="0.6">
      <c r="A274" s="210"/>
      <c r="C274" s="400"/>
      <c r="D274" s="398"/>
      <c r="E274" s="400"/>
      <c r="F274" s="398"/>
    </row>
    <row r="275" spans="1:11" s="230" customFormat="1" x14ac:dyDescent="0.6">
      <c r="A275" s="210"/>
      <c r="B275" s="230" t="s">
        <v>335</v>
      </c>
      <c r="C275" s="400">
        <f>ROUND(+C230/$D$235,3)</f>
        <v>1.046</v>
      </c>
      <c r="D275" s="398"/>
      <c r="E275" s="400">
        <f>ROUND(+D230/$D$235,3)</f>
        <v>1.0149999999999999</v>
      </c>
      <c r="F275" s="398"/>
    </row>
    <row r="276" spans="1:11" s="230" customFormat="1" x14ac:dyDescent="0.6">
      <c r="A276" s="210"/>
      <c r="C276" s="266"/>
      <c r="E276" s="266"/>
    </row>
    <row r="277" spans="1:11" s="230" customFormat="1" x14ac:dyDescent="0.6">
      <c r="A277" s="210"/>
      <c r="C277" s="266"/>
      <c r="E277" s="266"/>
    </row>
    <row r="278" spans="1:11" s="230" customFormat="1" x14ac:dyDescent="0.6">
      <c r="A278" s="265"/>
    </row>
    <row r="279" spans="1:11" s="230" customFormat="1" x14ac:dyDescent="0.6">
      <c r="A279" s="206" t="s">
        <v>27</v>
      </c>
      <c r="E279" s="332"/>
      <c r="G279" s="396"/>
    </row>
    <row r="280" spans="1:11" s="230" customFormat="1" x14ac:dyDescent="0.6">
      <c r="A280" s="210"/>
      <c r="B280" s="239" t="s">
        <v>34</v>
      </c>
      <c r="C280" s="388">
        <f>+F158</f>
        <v>53.53</v>
      </c>
      <c r="D280" s="276" t="s">
        <v>180</v>
      </c>
      <c r="E280" s="265" t="s">
        <v>47</v>
      </c>
      <c r="G280" s="396"/>
    </row>
    <row r="281" spans="1:11" s="230" customFormat="1" x14ac:dyDescent="0.6">
      <c r="A281" s="210"/>
      <c r="B281" s="239"/>
      <c r="C281" s="388">
        <f>+F159</f>
        <v>53.53</v>
      </c>
      <c r="D281" s="276" t="s">
        <v>180</v>
      </c>
      <c r="E281" s="265" t="s">
        <v>48</v>
      </c>
    </row>
    <row r="282" spans="1:11" s="230" customFormat="1" x14ac:dyDescent="0.6">
      <c r="A282" s="210"/>
      <c r="B282" s="239"/>
    </row>
    <row r="283" spans="1:11" s="230" customFormat="1" x14ac:dyDescent="0.6">
      <c r="A283" s="210"/>
      <c r="B283" s="239" t="s">
        <v>35</v>
      </c>
      <c r="C283" s="388">
        <f>+D155</f>
        <v>0</v>
      </c>
      <c r="D283" s="276" t="s">
        <v>30</v>
      </c>
      <c r="E283" s="375"/>
    </row>
    <row r="284" spans="1:11" s="230" customFormat="1" x14ac:dyDescent="0.6">
      <c r="A284" s="210"/>
      <c r="B284" s="239" t="s">
        <v>115</v>
      </c>
      <c r="C284" s="318">
        <f>+H152</f>
        <v>4</v>
      </c>
      <c r="D284" s="230" t="s">
        <v>116</v>
      </c>
      <c r="E284" s="375"/>
    </row>
    <row r="285" spans="1:11" s="230" customFormat="1" x14ac:dyDescent="0.6">
      <c r="A285" s="210"/>
      <c r="B285" s="239"/>
      <c r="C285" s="318">
        <f>+H153</f>
        <v>8</v>
      </c>
      <c r="D285" s="230" t="s">
        <v>117</v>
      </c>
      <c r="E285" s="375"/>
    </row>
    <row r="286" spans="1:11" s="230" customFormat="1" x14ac:dyDescent="0.6">
      <c r="A286" s="210"/>
      <c r="B286" s="239" t="s">
        <v>319</v>
      </c>
      <c r="C286" s="388">
        <f>+D171</f>
        <v>19.21</v>
      </c>
      <c r="D286" s="230" t="s">
        <v>141</v>
      </c>
    </row>
    <row r="287" spans="1:11" s="230" customFormat="1" x14ac:dyDescent="0.6">
      <c r="A287" s="210"/>
      <c r="B287" s="239" t="s">
        <v>137</v>
      </c>
      <c r="C287" s="230" t="s">
        <v>174</v>
      </c>
    </row>
    <row r="288" spans="1:11" s="230" customFormat="1" x14ac:dyDescent="0.6">
      <c r="A288" s="210"/>
      <c r="B288" s="239" t="s">
        <v>33</v>
      </c>
      <c r="C288" s="265" t="str">
        <f>" forecasted "&amp;(Input!D2-1)&amp;" energy use by class, PJM and PSE&amp;G on/off % from "&amp;(Input!D2-4)&amp;", "&amp;(Input!D2-3)&amp;" &amp; "&amp;(Input!D2-2)&amp;" class load profiles"</f>
        <v xml:space="preserve"> forecasted 2022 energy use by class, PJM and PSE&amp;G on/off % from 2019, 2020 &amp; 2021 class load profiles</v>
      </c>
    </row>
    <row r="289" spans="1:13" s="230" customFormat="1" x14ac:dyDescent="0.6">
      <c r="A289" s="210"/>
      <c r="B289" s="239"/>
      <c r="C289" s="265"/>
    </row>
    <row r="290" spans="1:13" s="230" customFormat="1" x14ac:dyDescent="0.6">
      <c r="A290" s="210"/>
      <c r="B290" s="239" t="s">
        <v>45</v>
      </c>
      <c r="C290" s="230" t="s">
        <v>231</v>
      </c>
    </row>
    <row r="291" spans="1:13" s="230" customFormat="1" x14ac:dyDescent="0.6">
      <c r="A291" s="210"/>
      <c r="B291" s="239" t="s">
        <v>46</v>
      </c>
      <c r="C291" s="230" t="s">
        <v>230</v>
      </c>
    </row>
    <row r="292" spans="1:13" s="230" customFormat="1" x14ac:dyDescent="0.6">
      <c r="A292" s="210"/>
      <c r="B292" s="239" t="s">
        <v>63</v>
      </c>
      <c r="C292" s="230" t="s">
        <v>94</v>
      </c>
    </row>
    <row r="293" spans="1:13" s="230" customFormat="1" x14ac:dyDescent="0.6">
      <c r="A293" s="265"/>
      <c r="C293" s="230" t="s">
        <v>97</v>
      </c>
    </row>
    <row r="294" spans="1:13" s="230" customFormat="1" x14ac:dyDescent="0.6">
      <c r="A294" s="265"/>
      <c r="B294" s="239" t="s">
        <v>90</v>
      </c>
      <c r="C294" s="230" t="s">
        <v>95</v>
      </c>
    </row>
    <row r="295" spans="1:13" s="230" customFormat="1" x14ac:dyDescent="0.6">
      <c r="A295" s="210"/>
      <c r="B295" s="239" t="s">
        <v>320</v>
      </c>
      <c r="C295" s="266" t="s">
        <v>321</v>
      </c>
      <c r="E295" s="266"/>
    </row>
    <row r="296" spans="1:13" s="230" customFormat="1" x14ac:dyDescent="0.6">
      <c r="A296" s="210"/>
      <c r="C296" s="266"/>
      <c r="E296" s="266"/>
    </row>
    <row r="297" spans="1:13" s="230" customFormat="1" x14ac:dyDescent="0.6">
      <c r="A297" s="210"/>
      <c r="C297" s="266"/>
      <c r="E297" s="266"/>
    </row>
    <row r="298" spans="1:13" s="230" customFormat="1" x14ac:dyDescent="0.6">
      <c r="A298" s="208" t="s">
        <v>93</v>
      </c>
      <c r="B298" s="206" t="s">
        <v>135</v>
      </c>
    </row>
    <row r="299" spans="1:13" s="230" customFormat="1" x14ac:dyDescent="0.6">
      <c r="A299" s="210"/>
      <c r="B299" s="206"/>
    </row>
    <row r="300" spans="1:13" s="230" customFormat="1" x14ac:dyDescent="0.6">
      <c r="A300" s="210"/>
      <c r="C300" s="203" t="s">
        <v>0</v>
      </c>
      <c r="D300" s="203" t="s">
        <v>1</v>
      </c>
      <c r="E300" s="203" t="s">
        <v>2</v>
      </c>
      <c r="F300" s="203" t="s">
        <v>3</v>
      </c>
      <c r="G300" s="203" t="s">
        <v>4</v>
      </c>
      <c r="H300" s="203" t="s">
        <v>6</v>
      </c>
      <c r="I300" s="203" t="s">
        <v>37</v>
      </c>
      <c r="J300" s="203" t="s">
        <v>38</v>
      </c>
      <c r="K300" s="203" t="s">
        <v>5</v>
      </c>
      <c r="L300" s="203" t="s">
        <v>36</v>
      </c>
      <c r="M300" s="203"/>
    </row>
    <row r="301" spans="1:13" s="230" customFormat="1" x14ac:dyDescent="0.6">
      <c r="A301" s="210"/>
      <c r="B301" s="230" t="s">
        <v>58</v>
      </c>
    </row>
    <row r="302" spans="1:13" s="230" customFormat="1" x14ac:dyDescent="0.6">
      <c r="A302" s="210"/>
      <c r="B302" s="275" t="s">
        <v>53</v>
      </c>
      <c r="C302" s="375">
        <f>(+C197*SUM(C50:C53)*C163+C198*SUM(C50:C53)*C164)/1000</f>
        <v>474168.34048782301</v>
      </c>
      <c r="D302" s="375">
        <f>(+D197*SUM(D50:D53)*D163+D198*SUM(D50:D53)*D164)/1000</f>
        <v>1697.2425570573673</v>
      </c>
      <c r="E302" s="375">
        <f>(E195*SUMPRODUCT(E32:E35,E50:E53)+E196*SUMPRODUCT(Q32:Q35,E50:E53))/1000</f>
        <v>6582.4142306620661</v>
      </c>
      <c r="F302" s="375">
        <f>+F194*SUM(F50:F53)/1000</f>
        <v>12.499547484233126</v>
      </c>
      <c r="G302" s="375">
        <f>+G194*SUM(G50:G53)/1000</f>
        <v>0.22640544855903591</v>
      </c>
      <c r="H302" s="375">
        <f>+H194*SUM(H50:H53)/1000</f>
        <v>148.21405413747934</v>
      </c>
      <c r="I302" s="375">
        <f>+I194*SUM(I50:I53)/1000</f>
        <v>2750.576365071377</v>
      </c>
      <c r="J302" s="375">
        <f>+J194*SUM(J50:J53)/1000</f>
        <v>5639.9325483988478</v>
      </c>
      <c r="K302" s="375">
        <f>(C211*SUM(K50:K53)/1000)+(I212*$H152*K147)+(I217*$H152*K149)</f>
        <v>188167.08354344565</v>
      </c>
      <c r="L302" s="375">
        <f>(D211*SUM(L50:L53)/1000)+(J212*$H152*L147)+(J217*$H152*L149)</f>
        <v>134442.98000539507</v>
      </c>
      <c r="M302" s="375"/>
    </row>
    <row r="303" spans="1:13" s="230" customFormat="1" x14ac:dyDescent="0.6">
      <c r="A303" s="210"/>
      <c r="B303" s="275" t="s">
        <v>54</v>
      </c>
      <c r="C303" s="375">
        <f>+C200*SUM(C45:C49,C54:C56)/1000</f>
        <v>653257.79959826567</v>
      </c>
      <c r="D303" s="375">
        <f>+D200*SUM(D45:D49,D54:D56)/1000</f>
        <v>6480.7249402107655</v>
      </c>
      <c r="E303" s="375">
        <f>(E201*(SUMPRODUCT(E27:E31,E45:E49)+SUMPRODUCT(E36:E38,E54:E56))+E202*(SUMPRODUCT(Q27:Q31,E45:E49)+SUMPRODUCT(Q36:Q38,E54:E56)))/1000</f>
        <v>8960.8384769554705</v>
      </c>
      <c r="F303" s="375">
        <f>+F200*SUM(F45:F49,F54:F56)/1000</f>
        <v>33.751892146924604</v>
      </c>
      <c r="G303" s="375">
        <f>+G200*SUM(G45:G49,G54:G56)/1000</f>
        <v>0.64530849614768038</v>
      </c>
      <c r="H303" s="375">
        <f>+H200*SUM(H45:H49,H54:H56)/1000</f>
        <v>613.61791668080741</v>
      </c>
      <c r="I303" s="375">
        <f>+I200*SUM(I45:I49,I54:I56)/1000</f>
        <v>8237.1067221301309</v>
      </c>
      <c r="J303" s="375">
        <f>+J200*SUM(J45:J49,J54:J56)/1000</f>
        <v>17668.303247389824</v>
      </c>
      <c r="K303" s="375">
        <f>(C215*SUM(K45:K49,K54:K56)/1000)+(I213*$H153*K147)+(I217*$H153*K149)</f>
        <v>343226.62816791324</v>
      </c>
      <c r="L303" s="375">
        <f>(D215*SUM(L45:L49,L54:L56)/1000)+(J213*$H153*L147)+(J217*$H153*L149)</f>
        <v>264734.35727732134</v>
      </c>
      <c r="M303" s="375"/>
    </row>
    <row r="304" spans="1:13" s="230" customFormat="1" x14ac:dyDescent="0.6">
      <c r="A304" s="210"/>
      <c r="B304" s="275" t="s">
        <v>19</v>
      </c>
      <c r="C304" s="373">
        <f>+C303+C302</f>
        <v>1127426.1400860888</v>
      </c>
      <c r="D304" s="373">
        <f t="shared" ref="D304:J304" si="65">+D303+D302</f>
        <v>8177.9674972681332</v>
      </c>
      <c r="E304" s="373">
        <f t="shared" si="65"/>
        <v>15543.252707617536</v>
      </c>
      <c r="F304" s="373">
        <f t="shared" si="65"/>
        <v>46.25143963115773</v>
      </c>
      <c r="G304" s="373">
        <f t="shared" si="65"/>
        <v>0.87171394470671626</v>
      </c>
      <c r="H304" s="373">
        <f t="shared" si="65"/>
        <v>761.83197081828678</v>
      </c>
      <c r="I304" s="373">
        <f t="shared" si="65"/>
        <v>10987.683087201509</v>
      </c>
      <c r="J304" s="375">
        <f t="shared" si="65"/>
        <v>23308.235795788671</v>
      </c>
      <c r="K304" s="375">
        <f>+K303+K302</f>
        <v>531393.71171135886</v>
      </c>
      <c r="L304" s="375">
        <f>+L303+L302</f>
        <v>399177.33728271641</v>
      </c>
      <c r="M304" s="375"/>
    </row>
    <row r="305" spans="1:13" s="230" customFormat="1" x14ac:dyDescent="0.6">
      <c r="A305" s="210"/>
      <c r="B305" s="275"/>
    </row>
    <row r="306" spans="1:13" s="230" customFormat="1" x14ac:dyDescent="0.6">
      <c r="A306" s="210"/>
      <c r="B306" s="230" t="s">
        <v>57</v>
      </c>
    </row>
    <row r="307" spans="1:13" s="230" customFormat="1" x14ac:dyDescent="0.6">
      <c r="A307" s="210"/>
      <c r="B307" s="275" t="s">
        <v>53</v>
      </c>
      <c r="C307" s="334">
        <f>+C302/C304</f>
        <v>0.42057596824180088</v>
      </c>
      <c r="D307" s="334">
        <f t="shared" ref="D307:I307" si="66">+D302/D304</f>
        <v>0.20753843270034206</v>
      </c>
      <c r="E307" s="334">
        <f t="shared" si="66"/>
        <v>0.42349013777766831</v>
      </c>
      <c r="F307" s="334">
        <f t="shared" si="66"/>
        <v>0.27025207396598927</v>
      </c>
      <c r="G307" s="334">
        <f t="shared" si="66"/>
        <v>0.2597244772024484</v>
      </c>
      <c r="H307" s="334">
        <f t="shared" si="66"/>
        <v>0.19454953298728331</v>
      </c>
      <c r="I307" s="334">
        <f t="shared" si="66"/>
        <v>0.25033269919071999</v>
      </c>
      <c r="J307" s="334">
        <f>+J302/J304</f>
        <v>0.24197166176849258</v>
      </c>
      <c r="K307" s="334">
        <f>+K302/K304</f>
        <v>0.35410107307715716</v>
      </c>
      <c r="L307" s="334">
        <f>+L302/L304</f>
        <v>0.33680013229352285</v>
      </c>
      <c r="M307" s="334"/>
    </row>
    <row r="308" spans="1:13" s="230" customFormat="1" x14ac:dyDescent="0.6">
      <c r="A308" s="210"/>
      <c r="B308" s="275" t="s">
        <v>54</v>
      </c>
      <c r="C308" s="334">
        <f>+C303/C304</f>
        <v>0.57942403175819901</v>
      </c>
      <c r="D308" s="334">
        <f t="shared" ref="D308:I308" si="67">+D303/D304</f>
        <v>0.79246156729965789</v>
      </c>
      <c r="E308" s="334">
        <f t="shared" si="67"/>
        <v>0.5765098622223318</v>
      </c>
      <c r="F308" s="334">
        <f t="shared" si="67"/>
        <v>0.72974792603401073</v>
      </c>
      <c r="G308" s="334">
        <f t="shared" si="67"/>
        <v>0.7402755227975516</v>
      </c>
      <c r="H308" s="334">
        <f t="shared" si="67"/>
        <v>0.80545046701271661</v>
      </c>
      <c r="I308" s="334">
        <f t="shared" si="67"/>
        <v>0.7496673008092799</v>
      </c>
      <c r="J308" s="334">
        <f>+J303/J304</f>
        <v>0.7580283382315075</v>
      </c>
      <c r="K308" s="334">
        <f>+K303/K304</f>
        <v>0.6458989269228429</v>
      </c>
      <c r="L308" s="334">
        <f>+L303/L304</f>
        <v>0.66319986770647721</v>
      </c>
      <c r="M308" s="334"/>
    </row>
    <row r="309" spans="1:13" s="230" customFormat="1" x14ac:dyDescent="0.6">
      <c r="A309" s="210"/>
    </row>
    <row r="310" spans="1:13" s="230" customFormat="1" x14ac:dyDescent="0.6">
      <c r="A310" s="210"/>
      <c r="B310" s="230" t="s">
        <v>55</v>
      </c>
    </row>
    <row r="311" spans="1:13" s="230" customFormat="1" x14ac:dyDescent="0.6">
      <c r="A311" s="210"/>
      <c r="B311" s="275" t="s">
        <v>53</v>
      </c>
      <c r="C311" s="402">
        <f>+SUM(C302:L302)</f>
        <v>813609.50974492356</v>
      </c>
    </row>
    <row r="312" spans="1:13" s="230" customFormat="1" x14ac:dyDescent="0.6">
      <c r="A312" s="210"/>
      <c r="B312" s="275" t="s">
        <v>54</v>
      </c>
      <c r="C312" s="402">
        <f>+SUM(C303:L303)</f>
        <v>1303213.7735475104</v>
      </c>
    </row>
    <row r="313" spans="1:13" s="230" customFormat="1" x14ac:dyDescent="0.6">
      <c r="A313" s="210"/>
      <c r="B313" s="275" t="s">
        <v>19</v>
      </c>
      <c r="C313" s="373">
        <f>+C312+C311</f>
        <v>2116823.2832924342</v>
      </c>
      <c r="D313" s="396"/>
    </row>
    <row r="314" spans="1:13" s="230" customFormat="1" x14ac:dyDescent="0.6">
      <c r="A314" s="210"/>
      <c r="L314" s="267" t="s">
        <v>182</v>
      </c>
    </row>
    <row r="315" spans="1:13" s="230" customFormat="1" x14ac:dyDescent="0.6">
      <c r="A315" s="210"/>
      <c r="B315" s="230" t="s">
        <v>56</v>
      </c>
      <c r="D315" s="230" t="s">
        <v>274</v>
      </c>
      <c r="K315" s="275" t="s">
        <v>281</v>
      </c>
    </row>
    <row r="316" spans="1:13" s="230" customFormat="1" x14ac:dyDescent="0.6">
      <c r="A316" s="210"/>
      <c r="B316" s="275" t="s">
        <v>53</v>
      </c>
      <c r="C316" s="334">
        <f>+C311/C313</f>
        <v>0.38435400638614636</v>
      </c>
      <c r="E316" s="332">
        <f>+C311/SUMPRODUCT(O49:X49,C85:L85)*1000</f>
        <v>80.171267136736944</v>
      </c>
      <c r="F316" s="230" t="s">
        <v>275</v>
      </c>
      <c r="I316" s="230" t="s">
        <v>136</v>
      </c>
      <c r="K316" s="275" t="s">
        <v>53</v>
      </c>
      <c r="L316" s="335">
        <f>IF(ROUND(E316/$D$235,4)&lt;ROUND(E317/$D$235,4),1,ROUND(E316/$D$235,4))</f>
        <v>1</v>
      </c>
      <c r="M316" s="268"/>
    </row>
    <row r="317" spans="1:13" s="230" customFormat="1" x14ac:dyDescent="0.6">
      <c r="A317" s="210"/>
      <c r="B317" s="275" t="s">
        <v>54</v>
      </c>
      <c r="C317" s="334">
        <f>+C312/C313</f>
        <v>0.61564599361385353</v>
      </c>
      <c r="E317" s="332">
        <f>+C312/SUMPRODUCT(O45:X45,C85:L85)*1000</f>
        <v>84.849819926288134</v>
      </c>
      <c r="F317" s="230" t="s">
        <v>275</v>
      </c>
      <c r="K317" s="275" t="s">
        <v>54</v>
      </c>
      <c r="L317" s="335">
        <f>IF(ROUND(E316/$D$235,4)&lt;ROUND(E317/$D$235,4),1,ROUND(E317/$D$235,4))</f>
        <v>1</v>
      </c>
      <c r="M317" s="268"/>
    </row>
    <row r="318" spans="1:13" s="230" customFormat="1" x14ac:dyDescent="0.6">
      <c r="A318" s="210"/>
    </row>
    <row r="319" spans="1:13" s="230" customFormat="1" x14ac:dyDescent="0.6">
      <c r="A319" s="210"/>
      <c r="C319" s="266"/>
      <c r="E319" s="266"/>
    </row>
    <row r="320" spans="1:13" s="230" customFormat="1" x14ac:dyDescent="0.6">
      <c r="A320" s="208" t="s">
        <v>128</v>
      </c>
      <c r="B320" s="206" t="s">
        <v>222</v>
      </c>
      <c r="C320" s="266"/>
      <c r="E320" s="266"/>
    </row>
    <row r="321" spans="1:12" s="230" customFormat="1" x14ac:dyDescent="0.6">
      <c r="A321" s="210"/>
      <c r="C321" s="266"/>
      <c r="E321" s="266"/>
    </row>
    <row r="322" spans="1:12" s="230" customFormat="1" x14ac:dyDescent="0.6">
      <c r="A322" s="210"/>
      <c r="B322" s="239" t="s">
        <v>125</v>
      </c>
      <c r="C322" s="370">
        <f>D235</f>
        <v>82.988411605482895</v>
      </c>
      <c r="E322" s="269" t="s">
        <v>276</v>
      </c>
    </row>
    <row r="323" spans="1:12" s="230" customFormat="1" x14ac:dyDescent="0.6">
      <c r="A323" s="210"/>
      <c r="B323" s="239" t="s">
        <v>127</v>
      </c>
      <c r="C323" s="403">
        <f>+L316</f>
        <v>1</v>
      </c>
      <c r="E323" s="266"/>
    </row>
    <row r="324" spans="1:12" s="230" customFormat="1" x14ac:dyDescent="0.6">
      <c r="A324" s="210"/>
      <c r="B324" s="239" t="s">
        <v>126</v>
      </c>
      <c r="C324" s="403">
        <f>+L317</f>
        <v>1</v>
      </c>
      <c r="E324" s="266"/>
    </row>
    <row r="325" spans="1:12" s="230" customFormat="1" x14ac:dyDescent="0.6">
      <c r="A325" s="210"/>
      <c r="C325" s="266"/>
      <c r="E325" s="266"/>
    </row>
    <row r="326" spans="1:12" s="230" customFormat="1" x14ac:dyDescent="0.6">
      <c r="A326" s="210"/>
      <c r="C326" s="203" t="s">
        <v>0</v>
      </c>
      <c r="D326" s="203" t="s">
        <v>1</v>
      </c>
      <c r="E326" s="203" t="s">
        <v>2</v>
      </c>
      <c r="F326" s="203" t="s">
        <v>3</v>
      </c>
      <c r="G326" s="203" t="s">
        <v>4</v>
      </c>
      <c r="H326" s="203" t="s">
        <v>6</v>
      </c>
      <c r="I326" s="203" t="s">
        <v>37</v>
      </c>
      <c r="J326" s="203" t="s">
        <v>38</v>
      </c>
      <c r="K326" s="203" t="s">
        <v>5</v>
      </c>
      <c r="L326" s="203" t="s">
        <v>36</v>
      </c>
    </row>
    <row r="327" spans="1:12" s="230" customFormat="1" x14ac:dyDescent="0.6">
      <c r="A327" s="210"/>
      <c r="B327" s="230" t="s">
        <v>123</v>
      </c>
    </row>
    <row r="328" spans="1:12" s="230" customFormat="1" x14ac:dyDescent="0.6">
      <c r="A328" s="210"/>
      <c r="B328" s="275" t="s">
        <v>53</v>
      </c>
      <c r="C328" s="375">
        <f>+($C$322*C249*O49+C250*O53+C251*O54)/1000</f>
        <v>474136.12937593285</v>
      </c>
      <c r="D328" s="375">
        <f>+($C$322*D249*P49+D250*P53+D251*P54)/1000</f>
        <v>1698.0667655886771</v>
      </c>
      <c r="E328" s="374">
        <f>(($C$322*E246*Q50)+(C322*E247*Q51))/1000</f>
        <v>6584.8654652667456</v>
      </c>
      <c r="F328" s="375">
        <f>+$C$322*F245*R49/1000</f>
        <v>12.494071344028661</v>
      </c>
      <c r="G328" s="375">
        <f>+$C$322*G245*S49/1000</f>
        <v>0.22630939844815187</v>
      </c>
      <c r="H328" s="375">
        <f>+$C$322*H245*T49/1000</f>
        <v>148.2844076844807</v>
      </c>
      <c r="I328" s="375">
        <f>+$C$322*K247*U49/1000</f>
        <v>2746.5794911903649</v>
      </c>
      <c r="J328" s="375">
        <f>+$C$322*K247*V49/1000</f>
        <v>5640.1570197648152</v>
      </c>
      <c r="K328" s="374">
        <f>+($C$322*C267+D267)*W49/1000+(I268*H152*K147)+(I273*H152*K149)</f>
        <v>188205.53621784886</v>
      </c>
      <c r="L328" s="374">
        <f>(($C$322*E268+F268)*X50+(C322*E269*X51))/1000+(J268*$H$152*L147)+(J273*$H$152*L149)</f>
        <v>134455.21468479026</v>
      </c>
    </row>
    <row r="329" spans="1:12" s="230" customFormat="1" x14ac:dyDescent="0.6">
      <c r="A329" s="210"/>
      <c r="B329" s="275" t="s">
        <v>54</v>
      </c>
      <c r="C329" s="375">
        <f>+$C$322*C255*O45/1000</f>
        <v>653349.44396722747</v>
      </c>
      <c r="D329" s="375">
        <f>+$C$322*D255*P45/1000</f>
        <v>6481.041243951443</v>
      </c>
      <c r="E329" s="374">
        <f>(($C$322*E256*Q46)+(C322*E257*Q47))/1000</f>
        <v>8960.2919039597382</v>
      </c>
      <c r="F329" s="375">
        <f>+$C$322*F255*R45/1000</f>
        <v>33.767154798154941</v>
      </c>
      <c r="G329" s="375">
        <f>+$C$322*G255*S45/1000</f>
        <v>0.64531788864423489</v>
      </c>
      <c r="H329" s="375">
        <f>+$C$322*H255*T45/1000</f>
        <v>613.8054172097909</v>
      </c>
      <c r="I329" s="375">
        <f>+$C$322*K257*U45/1000</f>
        <v>8236.0169412410596</v>
      </c>
      <c r="J329" s="375">
        <f>+$C$322*K257*V45/1000</f>
        <v>17674.53596664557</v>
      </c>
      <c r="K329" s="374">
        <f>+($C$322*C271+D271)*W45/1000+(I269*H153*K147)+(I273*H153*K149)</f>
        <v>343309.48212573706</v>
      </c>
      <c r="L329" s="374">
        <f>(($C$322*E272+F272)*X46+C322*E273*X47)/1000+(J269*$H$153*L147)+(J273*$H$153*L149)</f>
        <v>264670.24701330578</v>
      </c>
    </row>
    <row r="330" spans="1:12" s="230" customFormat="1" x14ac:dyDescent="0.6">
      <c r="A330" s="210"/>
      <c r="B330" s="275" t="s">
        <v>19</v>
      </c>
      <c r="C330" s="373">
        <f>+C329+C328</f>
        <v>1127485.5733431603</v>
      </c>
      <c r="D330" s="373">
        <f t="shared" ref="D330:L330" si="68">+D329+D328</f>
        <v>8179.1080095401203</v>
      </c>
      <c r="E330" s="373">
        <f t="shared" si="68"/>
        <v>15545.157369226483</v>
      </c>
      <c r="F330" s="373">
        <f t="shared" si="68"/>
        <v>46.261226142183602</v>
      </c>
      <c r="G330" s="373">
        <f t="shared" si="68"/>
        <v>0.87162728709238679</v>
      </c>
      <c r="H330" s="373">
        <f t="shared" si="68"/>
        <v>762.0898248942716</v>
      </c>
      <c r="I330" s="373">
        <f t="shared" si="68"/>
        <v>10982.596432431425</v>
      </c>
      <c r="J330" s="373">
        <f t="shared" si="68"/>
        <v>23314.692986410384</v>
      </c>
      <c r="K330" s="373">
        <f t="shared" si="68"/>
        <v>531515.01834358589</v>
      </c>
      <c r="L330" s="373">
        <f t="shared" si="68"/>
        <v>399125.46169809601</v>
      </c>
    </row>
    <row r="331" spans="1:12" s="230" customFormat="1" x14ac:dyDescent="0.6">
      <c r="A331" s="210"/>
      <c r="B331" s="275"/>
      <c r="C331" s="373"/>
      <c r="D331" s="373"/>
      <c r="E331" s="373"/>
      <c r="F331" s="373"/>
      <c r="G331" s="373"/>
      <c r="H331" s="373"/>
      <c r="I331" s="373"/>
      <c r="J331" s="373"/>
      <c r="K331" s="373"/>
      <c r="L331" s="373"/>
    </row>
    <row r="332" spans="1:12" s="230" customFormat="1" x14ac:dyDescent="0.6">
      <c r="A332" s="210"/>
      <c r="B332" s="275" t="s">
        <v>169</v>
      </c>
      <c r="C332" s="373">
        <f>SUM(C328:L328)</f>
        <v>813627.55380880949</v>
      </c>
      <c r="D332" s="373"/>
      <c r="E332" s="373"/>
      <c r="F332" s="373"/>
      <c r="G332" s="373"/>
      <c r="H332" s="373"/>
      <c r="I332" s="373"/>
      <c r="J332" s="373"/>
      <c r="K332" s="373"/>
      <c r="L332" s="373"/>
    </row>
    <row r="333" spans="1:12" s="230" customFormat="1" x14ac:dyDescent="0.6">
      <c r="A333" s="210"/>
      <c r="B333" s="275" t="s">
        <v>170</v>
      </c>
      <c r="C333" s="373">
        <f>SUM(C329:L329)</f>
        <v>1303329.2770519648</v>
      </c>
      <c r="E333" s="266"/>
    </row>
    <row r="334" spans="1:12" s="230" customFormat="1" x14ac:dyDescent="0.6">
      <c r="A334" s="210"/>
      <c r="B334" s="275" t="s">
        <v>171</v>
      </c>
      <c r="C334" s="373">
        <f>+C333+C332</f>
        <v>2116956.830860774</v>
      </c>
      <c r="E334" s="266"/>
    </row>
    <row r="335" spans="1:12" s="230" customFormat="1" x14ac:dyDescent="0.6">
      <c r="A335" s="210"/>
      <c r="B335" s="275"/>
      <c r="C335" s="266"/>
      <c r="E335" s="266"/>
    </row>
    <row r="336" spans="1:12" s="230" customFormat="1" x14ac:dyDescent="0.6">
      <c r="A336" s="210"/>
      <c r="C336" s="203" t="s">
        <v>0</v>
      </c>
      <c r="D336" s="203" t="s">
        <v>1</v>
      </c>
      <c r="E336" s="203" t="s">
        <v>2</v>
      </c>
      <c r="F336" s="203" t="s">
        <v>3</v>
      </c>
      <c r="G336" s="203" t="s">
        <v>4</v>
      </c>
      <c r="H336" s="203" t="s">
        <v>6</v>
      </c>
      <c r="I336" s="203" t="s">
        <v>37</v>
      </c>
      <c r="J336" s="203" t="s">
        <v>38</v>
      </c>
      <c r="K336" s="203" t="s">
        <v>5</v>
      </c>
      <c r="L336" s="203" t="s">
        <v>36</v>
      </c>
    </row>
    <row r="337" spans="1:12" s="230" customFormat="1" x14ac:dyDescent="0.6">
      <c r="A337" s="210"/>
      <c r="B337" s="230" t="s">
        <v>124</v>
      </c>
    </row>
    <row r="338" spans="1:12" s="230" customFormat="1" x14ac:dyDescent="0.6">
      <c r="A338" s="210"/>
      <c r="B338" s="275" t="s">
        <v>53</v>
      </c>
      <c r="C338" s="375">
        <f t="shared" ref="C338:L338" si="69">+$C$322*$C$323*O49*C85/1000</f>
        <v>482601.56879419531</v>
      </c>
      <c r="D338" s="375">
        <f t="shared" si="69"/>
        <v>1799.6746939339046</v>
      </c>
      <c r="E338" s="375">
        <f t="shared" si="69"/>
        <v>6703.6535091721589</v>
      </c>
      <c r="F338" s="375">
        <f t="shared" si="69"/>
        <v>14.337926794437125</v>
      </c>
      <c r="G338" s="375">
        <f t="shared" si="69"/>
        <v>0.26227914867872787</v>
      </c>
      <c r="H338" s="375">
        <f t="shared" si="69"/>
        <v>149.05936350593859</v>
      </c>
      <c r="I338" s="375">
        <f t="shared" si="69"/>
        <v>3396.0778434750619</v>
      </c>
      <c r="J338" s="375">
        <f t="shared" si="69"/>
        <v>6973.9151369844822</v>
      </c>
      <c r="K338" s="375">
        <f t="shared" si="69"/>
        <v>196306.94069776722</v>
      </c>
      <c r="L338" s="375">
        <f t="shared" si="69"/>
        <v>144253.50812793287</v>
      </c>
    </row>
    <row r="339" spans="1:12" s="230" customFormat="1" x14ac:dyDescent="0.6">
      <c r="A339" s="210"/>
      <c r="B339" s="275" t="s">
        <v>54</v>
      </c>
      <c r="C339" s="375">
        <f t="shared" ref="C339:L339" si="70">+$C$322*$C$324*O45*C85/1000</f>
        <v>622322.43416117784</v>
      </c>
      <c r="D339" s="375">
        <f t="shared" si="70"/>
        <v>6107.001687436702</v>
      </c>
      <c r="E339" s="375">
        <f t="shared" si="70"/>
        <v>8644.5264454405315</v>
      </c>
      <c r="F339" s="375">
        <f t="shared" si="70"/>
        <v>35.932243368985723</v>
      </c>
      <c r="G339" s="375">
        <f t="shared" si="70"/>
        <v>0.69941106314327439</v>
      </c>
      <c r="H339" s="375">
        <f t="shared" si="70"/>
        <v>555.04711545572445</v>
      </c>
      <c r="I339" s="375">
        <f t="shared" si="70"/>
        <v>8981.8368728859314</v>
      </c>
      <c r="J339" s="375">
        <f t="shared" si="70"/>
        <v>19275.0694891655</v>
      </c>
      <c r="K339" s="375">
        <f t="shared" si="70"/>
        <v>338641.49833566457</v>
      </c>
      <c r="L339" s="375">
        <f t="shared" si="70"/>
        <v>270060.23915786471</v>
      </c>
    </row>
    <row r="340" spans="1:12" s="230" customFormat="1" x14ac:dyDescent="0.6">
      <c r="A340" s="210"/>
      <c r="B340" s="275" t="s">
        <v>19</v>
      </c>
      <c r="C340" s="373">
        <f t="shared" ref="C340:L340" si="71">+C339+C338</f>
        <v>1104924.0029553731</v>
      </c>
      <c r="D340" s="373">
        <f t="shared" si="71"/>
        <v>7906.6763813706066</v>
      </c>
      <c r="E340" s="373">
        <f t="shared" si="71"/>
        <v>15348.179954612689</v>
      </c>
      <c r="F340" s="373">
        <f t="shared" si="71"/>
        <v>50.270170163422847</v>
      </c>
      <c r="G340" s="373">
        <f t="shared" si="71"/>
        <v>0.96169021182200232</v>
      </c>
      <c r="H340" s="373">
        <f t="shared" si="71"/>
        <v>704.10647896166302</v>
      </c>
      <c r="I340" s="373">
        <f t="shared" si="71"/>
        <v>12377.914716360992</v>
      </c>
      <c r="J340" s="375">
        <f t="shared" si="71"/>
        <v>26248.984626149984</v>
      </c>
      <c r="K340" s="375">
        <f t="shared" si="71"/>
        <v>534948.43903343182</v>
      </c>
      <c r="L340" s="375">
        <f t="shared" si="71"/>
        <v>414313.74728579761</v>
      </c>
    </row>
    <row r="341" spans="1:12" s="230" customFormat="1" x14ac:dyDescent="0.6">
      <c r="A341" s="210"/>
      <c r="C341" s="266"/>
      <c r="D341" s="266"/>
      <c r="E341" s="266"/>
      <c r="F341" s="266"/>
      <c r="G341" s="266"/>
      <c r="H341" s="266"/>
      <c r="I341" s="266"/>
      <c r="J341" s="266"/>
      <c r="K341" s="266"/>
      <c r="L341" s="266"/>
    </row>
    <row r="342" spans="1:12" s="230" customFormat="1" x14ac:dyDescent="0.6">
      <c r="A342" s="210"/>
      <c r="B342" s="275" t="s">
        <v>169</v>
      </c>
      <c r="C342" s="373">
        <f>SUM(C338:L338)</f>
        <v>842198.99837291008</v>
      </c>
    </row>
    <row r="343" spans="1:12" s="230" customFormat="1" x14ac:dyDescent="0.6">
      <c r="A343" s="210"/>
      <c r="B343" s="275" t="s">
        <v>170</v>
      </c>
      <c r="C343" s="373">
        <f>SUM(C339:L339)</f>
        <v>1274624.2849195236</v>
      </c>
    </row>
    <row r="344" spans="1:12" s="230" customFormat="1" x14ac:dyDescent="0.6">
      <c r="A344" s="210"/>
      <c r="B344" s="275" t="s">
        <v>171</v>
      </c>
      <c r="C344" s="373">
        <f>+C343+C342</f>
        <v>2116823.2832924337</v>
      </c>
    </row>
    <row r="345" spans="1:12" s="230" customFormat="1" x14ac:dyDescent="0.6">
      <c r="A345" s="210"/>
      <c r="C345" s="266"/>
      <c r="E345" s="266"/>
    </row>
    <row r="346" spans="1:12" s="230" customFormat="1" x14ac:dyDescent="0.6">
      <c r="A346" s="265"/>
      <c r="B346" s="239" t="s">
        <v>181</v>
      </c>
      <c r="C346" s="373">
        <f>+C334-C344</f>
        <v>133.54756834032014</v>
      </c>
    </row>
    <row r="347" spans="1:12" s="230" customFormat="1" x14ac:dyDescent="0.6">
      <c r="A347" s="265"/>
      <c r="C347" s="230" t="s">
        <v>183</v>
      </c>
    </row>
    <row r="348" spans="1:12" s="230" customFormat="1" x14ac:dyDescent="0.6">
      <c r="A348" s="265"/>
    </row>
    <row r="350" spans="1:12" x14ac:dyDescent="0.6">
      <c r="A350" s="208" t="s">
        <v>229</v>
      </c>
      <c r="B350" s="206" t="s">
        <v>228</v>
      </c>
      <c r="C350" s="213" t="s">
        <v>267</v>
      </c>
    </row>
    <row r="351" spans="1:12" x14ac:dyDescent="0.6">
      <c r="B351" s="207" t="s">
        <v>78</v>
      </c>
    </row>
    <row r="352" spans="1:12" x14ac:dyDescent="0.6">
      <c r="B352" s="220" t="s">
        <v>53</v>
      </c>
      <c r="C352" s="223">
        <f>SUMPRODUCT(O49:X49,C85:L85)</f>
        <v>10148392.794606369</v>
      </c>
    </row>
    <row r="353" spans="2:3" x14ac:dyDescent="0.6">
      <c r="B353" s="220" t="s">
        <v>54</v>
      </c>
      <c r="C353" s="271">
        <f>SUMPRODUCT(O45:X45,C85:L85)</f>
        <v>15359063.515746474</v>
      </c>
    </row>
    <row r="354" spans="2:3" x14ac:dyDescent="0.6">
      <c r="B354" s="220" t="s">
        <v>19</v>
      </c>
      <c r="C354" s="223">
        <f>+C353+C352</f>
        <v>25507456.310352843</v>
      </c>
    </row>
  </sheetData>
  <customSheetViews>
    <customSheetView guid="{782F5CFE-DE26-4D5A-B82E-30A424B0A39B}"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1"/>
      <headerFooter alignWithMargins="0">
        <oddHeader>&amp;C&amp;"Arial,Bold"Public Service Electric and Gas Company Specific Addendum
Attachment 2</oddHeader>
        <oddFooter>&amp;CPage &amp;P of &amp;N</oddFooter>
      </headerFooter>
    </customSheetView>
    <customSheetView guid="{88B031DE-0423-45A5-B384-E560A52FDD07}"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2"/>
      <headerFooter alignWithMargins="0">
        <oddHeader>&amp;C&amp;"Arial,Bold"Public Service Electric and Gas Company Specific Addendum
Attachment 2</oddHeader>
        <oddFooter>&amp;CPage &amp;P of &amp;N</oddFooter>
      </headerFooter>
    </customSheetView>
    <customSheetView guid="{D5524E47-947F-4D9F-AE8B-3F0380261994}"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3"/>
      <headerFooter alignWithMargins="0">
        <oddHeader>&amp;C&amp;"Arial,Bold"Public Service Electric and Gas Company Specific Addendum
Attachment 2</oddHeader>
        <oddFooter>&amp;CPage &amp;P of &amp;N</oddFooter>
      </headerFooter>
    </customSheetView>
    <customSheetView guid="{9BF7FAF1-D686-4A6B-A2BE-0DAD43841920}"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4"/>
      <headerFooter alignWithMargins="0">
        <oddHeader>&amp;C&amp;"Arial,Bold"Public Service Electric and Gas Company Specific Addendum
Attachment 2</oddHeader>
        <oddFooter>&amp;CPage &amp;P of &amp;N</oddFooter>
      </headerFooter>
    </customSheetView>
  </customSheetViews>
  <mergeCells count="1">
    <mergeCell ref="R145:V145"/>
  </mergeCells>
  <phoneticPr fontId="0" type="noConversion"/>
  <pageMargins left="0.75" right="0.75" top="1" bottom="1" header="0.5" footer="0.5"/>
  <pageSetup scale="60" fitToHeight="9" orientation="landscape" r:id="rId5"/>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6" max="11" man="1"/>
    <brk id="295" max="11" man="1"/>
  </rowBreaks>
  <ignoredErrors>
    <ignoredError sqref="C94:C96 D94:E96 F94:O96 C112:C114 D112:E114 F112:I114 J112:L1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212"/>
  <sheetViews>
    <sheetView view="pageBreakPreview" zoomScale="80" zoomScaleNormal="100" zoomScaleSheetLayoutView="80" workbookViewId="0"/>
  </sheetViews>
  <sheetFormatPr defaultColWidth="9.1328125" defaultRowHeight="13" x14ac:dyDescent="0.6"/>
  <cols>
    <col min="1" max="1" width="8.40625" style="202" bestFit="1" customWidth="1"/>
    <col min="2" max="2" width="36.40625" style="202" customWidth="1"/>
    <col min="3" max="3" width="13.86328125" style="202" customWidth="1"/>
    <col min="4" max="4" width="13.1328125" style="202" customWidth="1"/>
    <col min="5" max="5" width="13.26953125" style="202" customWidth="1"/>
    <col min="6" max="7" width="12.1328125" style="202" customWidth="1"/>
    <col min="8" max="8" width="11.86328125" style="202" customWidth="1"/>
    <col min="9" max="9" width="13.7265625" style="202" customWidth="1"/>
    <col min="10" max="10" width="13.1328125" style="202" customWidth="1"/>
    <col min="11" max="11" width="12.54296875" style="202" customWidth="1"/>
    <col min="12" max="12" width="12.54296875" style="202" bestFit="1" customWidth="1"/>
    <col min="13" max="13" width="14.26953125" style="202" bestFit="1" customWidth="1"/>
    <col min="14" max="14" width="24.1328125" style="202" bestFit="1" customWidth="1"/>
    <col min="15" max="16" width="10.86328125" style="202" bestFit="1" customWidth="1"/>
    <col min="17" max="17" width="14.40625" style="202" bestFit="1" customWidth="1"/>
    <col min="18" max="16384" width="9.1328125" style="202"/>
  </cols>
  <sheetData>
    <row r="1" spans="1:17" ht="15.5" x14ac:dyDescent="0.7">
      <c r="B1" s="178" t="str">
        <f>"Calculation of June "&amp;(Input!D2)&amp;" to May "&amp;(Input!D2+1)&amp;" BGS-RSCP Rates"</f>
        <v>Calculation of June 2023 to May 2024 BGS-RSCP Rates</v>
      </c>
    </row>
    <row r="2" spans="1:17" x14ac:dyDescent="0.6">
      <c r="B2" s="488" t="s">
        <v>373</v>
      </c>
    </row>
    <row r="3" spans="1:17" x14ac:dyDescent="0.6">
      <c r="B3" s="207" t="s">
        <v>322</v>
      </c>
    </row>
    <row r="4" spans="1:17" x14ac:dyDescent="0.6">
      <c r="M4" s="227"/>
      <c r="N4" s="227"/>
      <c r="O4" s="227"/>
      <c r="P4" s="227"/>
      <c r="Q4" s="227"/>
    </row>
    <row r="5" spans="1:17" x14ac:dyDescent="0.6">
      <c r="A5" s="208" t="s">
        <v>239</v>
      </c>
      <c r="B5" s="206" t="s">
        <v>261</v>
      </c>
      <c r="M5" s="227"/>
      <c r="N5" s="227"/>
      <c r="O5" s="227"/>
      <c r="P5" s="227"/>
      <c r="Q5" s="227"/>
    </row>
    <row r="6" spans="1:17" ht="51" customHeight="1" x14ac:dyDescent="0.6">
      <c r="A6" s="220" t="s">
        <v>202</v>
      </c>
      <c r="B6" s="206" t="s">
        <v>355</v>
      </c>
      <c r="C6" s="211" t="str">
        <f>Input!C135</f>
        <v>remaining portion of 36 month bid - 2021 auction</v>
      </c>
      <c r="D6" s="211" t="str">
        <f>Input!D135</f>
        <v>remaining portion of 36 month bid - 2022 auction</v>
      </c>
      <c r="E6" s="211" t="str">
        <f>Input!E135</f>
        <v>36 month bid - 2023 auction</v>
      </c>
      <c r="G6" s="211" t="s">
        <v>203</v>
      </c>
      <c r="M6" s="227"/>
      <c r="N6" s="227"/>
      <c r="O6" s="227"/>
      <c r="P6" s="227"/>
      <c r="Q6" s="227"/>
    </row>
    <row r="7" spans="1:17" x14ac:dyDescent="0.6">
      <c r="C7" s="273" t="str">
        <f>LEFT(RIGHT(C6,12),4)</f>
        <v>2021</v>
      </c>
      <c r="D7" s="273" t="str">
        <f t="shared" ref="D7:E7" si="0">LEFT(RIGHT(D6,12),4)</f>
        <v>2022</v>
      </c>
      <c r="E7" s="273" t="str">
        <f t="shared" si="0"/>
        <v>2023</v>
      </c>
      <c r="F7" s="274"/>
      <c r="M7" s="227"/>
      <c r="N7" s="227"/>
      <c r="O7" s="227"/>
      <c r="P7" s="227"/>
      <c r="Q7" s="227"/>
    </row>
    <row r="8" spans="1:17" s="230" customFormat="1" x14ac:dyDescent="0.6">
      <c r="A8" s="275">
        <v>1</v>
      </c>
      <c r="B8" s="206" t="s">
        <v>204</v>
      </c>
      <c r="C8" s="332">
        <f>Input!C136</f>
        <v>64.8</v>
      </c>
      <c r="D8" s="332">
        <f>Input!D136</f>
        <v>76.3</v>
      </c>
      <c r="E8" s="332">
        <f>D10</f>
        <v>67.06</v>
      </c>
      <c r="G8" s="485" t="s">
        <v>374</v>
      </c>
      <c r="M8" s="246"/>
      <c r="N8" s="246"/>
      <c r="O8" s="246"/>
      <c r="P8" s="246"/>
      <c r="Q8" s="246"/>
    </row>
    <row r="9" spans="1:17" s="230" customFormat="1" x14ac:dyDescent="0.6">
      <c r="A9" s="275" t="s">
        <v>329</v>
      </c>
      <c r="B9" s="230" t="s">
        <v>330</v>
      </c>
      <c r="C9" s="332">
        <f>'Att 4-1'!C21</f>
        <v>-13.66</v>
      </c>
      <c r="D9" s="332">
        <f>'Att 4-1'!D21</f>
        <v>-9.24</v>
      </c>
      <c r="E9" s="332">
        <v>0</v>
      </c>
      <c r="G9" s="230" t="s">
        <v>372</v>
      </c>
      <c r="M9" s="246"/>
      <c r="N9" s="246"/>
      <c r="O9" s="246"/>
      <c r="P9" s="246"/>
      <c r="Q9" s="246"/>
    </row>
    <row r="10" spans="1:17" s="230" customFormat="1" x14ac:dyDescent="0.6">
      <c r="A10" s="275" t="s">
        <v>331</v>
      </c>
      <c r="B10" s="206" t="s">
        <v>305</v>
      </c>
      <c r="C10" s="333">
        <f>C8+C9</f>
        <v>51.14</v>
      </c>
      <c r="D10" s="333">
        <f>D8+D9</f>
        <v>67.06</v>
      </c>
      <c r="E10" s="333">
        <f>E8+E9</f>
        <v>67.06</v>
      </c>
      <c r="G10" s="276" t="s">
        <v>375</v>
      </c>
      <c r="M10" s="246"/>
      <c r="N10" s="246"/>
      <c r="O10" s="246"/>
      <c r="P10" s="246"/>
      <c r="Q10" s="246"/>
    </row>
    <row r="11" spans="1:17" s="230" customFormat="1" x14ac:dyDescent="0.6">
      <c r="A11" s="275"/>
      <c r="B11" s="206"/>
      <c r="C11" s="332"/>
      <c r="D11" s="332"/>
      <c r="E11" s="332"/>
      <c r="G11" s="276"/>
      <c r="M11" s="246"/>
      <c r="N11" s="246"/>
      <c r="O11" s="246"/>
      <c r="P11" s="246"/>
      <c r="Q11" s="246"/>
    </row>
    <row r="12" spans="1:17" s="230" customFormat="1" x14ac:dyDescent="0.6">
      <c r="B12" s="207" t="s">
        <v>273</v>
      </c>
      <c r="M12" s="246"/>
      <c r="N12" s="246"/>
      <c r="O12" s="246"/>
      <c r="P12" s="246"/>
      <c r="Q12" s="246"/>
    </row>
    <row r="13" spans="1:17" s="230" customFormat="1" x14ac:dyDescent="0.6">
      <c r="A13" s="275">
        <v>2</v>
      </c>
      <c r="B13" s="206" t="s">
        <v>303</v>
      </c>
      <c r="C13" s="230">
        <f>Input!C137</f>
        <v>29</v>
      </c>
      <c r="D13" s="230">
        <f>Input!D137</f>
        <v>28</v>
      </c>
      <c r="E13" s="230">
        <f>Input!E137</f>
        <v>28</v>
      </c>
      <c r="G13" s="230" t="s">
        <v>205</v>
      </c>
      <c r="M13" s="246"/>
      <c r="N13" s="246"/>
      <c r="O13" s="246"/>
      <c r="P13" s="246"/>
      <c r="Q13" s="246"/>
    </row>
    <row r="14" spans="1:17" s="230" customFormat="1" x14ac:dyDescent="0.6">
      <c r="A14" s="275">
        <v>3</v>
      </c>
      <c r="B14" s="206" t="s">
        <v>304</v>
      </c>
      <c r="C14" s="230">
        <f>SUM(C13:E13)</f>
        <v>85</v>
      </c>
      <c r="D14" s="230">
        <f>C14</f>
        <v>85</v>
      </c>
      <c r="E14" s="230">
        <f>D14</f>
        <v>85</v>
      </c>
      <c r="G14" s="230" t="s">
        <v>205</v>
      </c>
      <c r="M14" s="246"/>
      <c r="N14" s="246"/>
      <c r="O14" s="246"/>
      <c r="P14" s="246"/>
      <c r="Q14" s="246"/>
    </row>
    <row r="15" spans="1:17" s="230" customFormat="1" x14ac:dyDescent="0.6">
      <c r="A15" s="275"/>
      <c r="B15" s="206" t="s">
        <v>206</v>
      </c>
      <c r="M15" s="246"/>
      <c r="N15" s="246"/>
      <c r="O15" s="246"/>
      <c r="P15" s="246"/>
      <c r="Q15" s="246"/>
    </row>
    <row r="16" spans="1:17" s="230" customFormat="1" x14ac:dyDescent="0.6">
      <c r="A16" s="275">
        <v>4</v>
      </c>
      <c r="B16" s="334" t="s">
        <v>207</v>
      </c>
      <c r="C16" s="335">
        <f>Input!C140</f>
        <v>1</v>
      </c>
      <c r="D16" s="335">
        <f>Input!D140</f>
        <v>1</v>
      </c>
      <c r="E16" s="335">
        <f>IF(LEFT(Input!$B$2,6)="rebase",Input!E140,'Att 2'!L316)</f>
        <v>1</v>
      </c>
      <c r="K16" s="335"/>
      <c r="M16" s="246"/>
      <c r="N16" s="246"/>
      <c r="O16" s="246"/>
      <c r="P16" s="246"/>
      <c r="Q16" s="246"/>
    </row>
    <row r="17" spans="1:17" s="230" customFormat="1" ht="12.75" customHeight="1" x14ac:dyDescent="0.6">
      <c r="A17" s="275">
        <v>5</v>
      </c>
      <c r="B17" s="334" t="s">
        <v>208</v>
      </c>
      <c r="C17" s="335">
        <f>Input!C141</f>
        <v>1</v>
      </c>
      <c r="D17" s="335">
        <f>Input!D141</f>
        <v>1</v>
      </c>
      <c r="E17" s="335">
        <f>IF(LEFT(Input!$B$2,6)="rebase",Input!E141,'Att 2'!L317)</f>
        <v>1</v>
      </c>
      <c r="K17" s="335"/>
      <c r="M17" s="246"/>
      <c r="N17" s="246"/>
      <c r="O17" s="246"/>
      <c r="P17" s="246"/>
      <c r="Q17" s="246"/>
    </row>
    <row r="18" spans="1:17" s="230" customFormat="1" x14ac:dyDescent="0.6">
      <c r="A18" s="275"/>
    </row>
    <row r="19" spans="1:17" s="230" customFormat="1" x14ac:dyDescent="0.6">
      <c r="A19" s="275"/>
      <c r="B19" s="206" t="s">
        <v>268</v>
      </c>
    </row>
    <row r="20" spans="1:17" s="230" customFormat="1" x14ac:dyDescent="0.6">
      <c r="A20" s="275">
        <v>6</v>
      </c>
      <c r="B20" s="230" t="s">
        <v>209</v>
      </c>
      <c r="C20" s="336">
        <f>+'Att 2'!C352</f>
        <v>10148392.794606369</v>
      </c>
      <c r="D20" s="336"/>
      <c r="E20" s="336"/>
      <c r="G20" s="230" t="s">
        <v>279</v>
      </c>
    </row>
    <row r="21" spans="1:17" x14ac:dyDescent="0.6">
      <c r="A21" s="220">
        <v>7</v>
      </c>
      <c r="B21" s="202" t="s">
        <v>210</v>
      </c>
      <c r="C21" s="241">
        <f>+'Att 2'!C353</f>
        <v>15359063.515746474</v>
      </c>
      <c r="D21" s="224"/>
      <c r="E21" s="224"/>
    </row>
    <row r="22" spans="1:17" x14ac:dyDescent="0.6">
      <c r="A22" s="220"/>
    </row>
    <row r="23" spans="1:17" x14ac:dyDescent="0.6">
      <c r="A23" s="220"/>
      <c r="B23" s="206" t="s">
        <v>269</v>
      </c>
    </row>
    <row r="24" spans="1:17" x14ac:dyDescent="0.6">
      <c r="A24" s="220">
        <v>8</v>
      </c>
      <c r="B24" s="225" t="s">
        <v>207</v>
      </c>
      <c r="C24" s="277">
        <f>(+C$10*C$13/C$14*C16*$C20/1000)</f>
        <v>177066.7696231638</v>
      </c>
      <c r="D24" s="277">
        <f t="shared" ref="D24:E25" si="1">(+D$10*D$13/D$14*D16*$C20/1000)</f>
        <v>224181.57861854692</v>
      </c>
      <c r="E24" s="277">
        <f t="shared" si="1"/>
        <v>224181.57861854692</v>
      </c>
      <c r="F24" s="278"/>
      <c r="G24" s="276" t="s">
        <v>410</v>
      </c>
      <c r="J24" s="235"/>
      <c r="L24" s="235"/>
    </row>
    <row r="25" spans="1:17" x14ac:dyDescent="0.6">
      <c r="A25" s="220">
        <v>9</v>
      </c>
      <c r="B25" s="225" t="s">
        <v>208</v>
      </c>
      <c r="C25" s="279">
        <f>(+C$10*C$13/C$14*C17*$C21/1000)</f>
        <v>267981.32632544666</v>
      </c>
      <c r="D25" s="279">
        <f t="shared" si="1"/>
        <v>339287.1339087864</v>
      </c>
      <c r="E25" s="279">
        <f t="shared" si="1"/>
        <v>339287.1339087864</v>
      </c>
      <c r="F25" s="278"/>
      <c r="G25" s="276" t="s">
        <v>411</v>
      </c>
    </row>
    <row r="26" spans="1:17" x14ac:dyDescent="0.6">
      <c r="A26" s="220">
        <v>10</v>
      </c>
      <c r="B26" s="202" t="s">
        <v>211</v>
      </c>
      <c r="C26" s="235">
        <f>+C25+C24</f>
        <v>445048.09594861045</v>
      </c>
      <c r="D26" s="235">
        <f>+D25+D24</f>
        <v>563468.71252733329</v>
      </c>
      <c r="E26" s="235">
        <f>+E25+E24</f>
        <v>563468.71252733329</v>
      </c>
      <c r="G26" s="202" t="s">
        <v>272</v>
      </c>
      <c r="J26" s="235"/>
      <c r="L26" s="235"/>
    </row>
    <row r="27" spans="1:17" x14ac:dyDescent="0.6">
      <c r="A27" s="220"/>
    </row>
    <row r="28" spans="1:17" x14ac:dyDescent="0.6">
      <c r="A28" s="220"/>
      <c r="B28" s="206" t="s">
        <v>270</v>
      </c>
    </row>
    <row r="29" spans="1:17" x14ac:dyDescent="0.6">
      <c r="A29" s="220">
        <v>11</v>
      </c>
      <c r="B29" s="225" t="s">
        <v>207</v>
      </c>
      <c r="C29" s="280">
        <f>ROUND(+SUM(C24:E24)/C20*1000,3)</f>
        <v>61.628</v>
      </c>
      <c r="D29" s="252"/>
      <c r="G29" s="232" t="s">
        <v>259</v>
      </c>
    </row>
    <row r="30" spans="1:17" x14ac:dyDescent="0.6">
      <c r="A30" s="220">
        <v>12</v>
      </c>
      <c r="B30" s="225" t="s">
        <v>208</v>
      </c>
      <c r="C30" s="281">
        <f>ROUND(+SUM(C25:E25)/C21*1000,3)</f>
        <v>61.628</v>
      </c>
      <c r="G30" s="232" t="s">
        <v>260</v>
      </c>
    </row>
    <row r="31" spans="1:17" x14ac:dyDescent="0.6">
      <c r="A31" s="220"/>
      <c r="B31" s="225"/>
      <c r="C31" s="250"/>
      <c r="G31" s="232"/>
    </row>
    <row r="32" spans="1:17" x14ac:dyDescent="0.6">
      <c r="A32" s="220">
        <v>13</v>
      </c>
      <c r="B32" s="202" t="s">
        <v>215</v>
      </c>
      <c r="C32" s="282">
        <f>ROUND(+SUM(C26:E26)/(C20+C21)*1000,3)</f>
        <v>61.628</v>
      </c>
      <c r="D32" s="202" t="s">
        <v>213</v>
      </c>
      <c r="G32" s="232" t="s">
        <v>212</v>
      </c>
    </row>
    <row r="33" spans="1:13" x14ac:dyDescent="0.6">
      <c r="D33" s="202" t="s">
        <v>214</v>
      </c>
      <c r="G33" s="202" t="s">
        <v>258</v>
      </c>
    </row>
    <row r="34" spans="1:13" x14ac:dyDescent="0.6">
      <c r="C34" s="252"/>
    </row>
    <row r="35" spans="1:13" x14ac:dyDescent="0.6">
      <c r="B35" s="283" t="s">
        <v>237</v>
      </c>
      <c r="D35" s="252"/>
    </row>
    <row r="36" spans="1:13" x14ac:dyDescent="0.6">
      <c r="A36" s="220">
        <v>14</v>
      </c>
      <c r="B36" s="222" t="s">
        <v>238</v>
      </c>
      <c r="C36" s="235">
        <f>(C32*(C21+C20))/1000</f>
        <v>1571973.5174944249</v>
      </c>
      <c r="D36" s="252"/>
      <c r="G36" s="232" t="s">
        <v>220</v>
      </c>
    </row>
    <row r="37" spans="1:13" ht="15.25" x14ac:dyDescent="1.05">
      <c r="A37" s="220">
        <v>15</v>
      </c>
      <c r="B37" s="222" t="s">
        <v>217</v>
      </c>
      <c r="C37" s="284">
        <f>SUM(C26:E26)</f>
        <v>1571985.521003277</v>
      </c>
      <c r="D37" s="252"/>
      <c r="G37" s="232" t="s">
        <v>218</v>
      </c>
    </row>
    <row r="38" spans="1:13" x14ac:dyDescent="0.6">
      <c r="A38" s="220">
        <v>16</v>
      </c>
      <c r="B38" s="222" t="s">
        <v>216</v>
      </c>
      <c r="C38" s="237">
        <f>+C36-C37</f>
        <v>-12.003508852096274</v>
      </c>
      <c r="D38" s="252"/>
      <c r="G38" s="232" t="s">
        <v>219</v>
      </c>
    </row>
    <row r="39" spans="1:13" x14ac:dyDescent="0.6">
      <c r="B39" s="222"/>
      <c r="D39" s="252"/>
    </row>
    <row r="41" spans="1:13" x14ac:dyDescent="0.6">
      <c r="A41" s="208" t="s">
        <v>240</v>
      </c>
      <c r="B41" s="206" t="s">
        <v>271</v>
      </c>
      <c r="G41" s="207" t="s">
        <v>199</v>
      </c>
    </row>
    <row r="42" spans="1:13" x14ac:dyDescent="0.6">
      <c r="A42" s="208"/>
      <c r="B42" s="206"/>
      <c r="G42" s="207" t="s">
        <v>282</v>
      </c>
    </row>
    <row r="43" spans="1:13" x14ac:dyDescent="0.6">
      <c r="B43" s="206" t="s">
        <v>41</v>
      </c>
    </row>
    <row r="44" spans="1:13" x14ac:dyDescent="0.6">
      <c r="B44" s="207" t="s">
        <v>88</v>
      </c>
    </row>
    <row r="45" spans="1:13" x14ac:dyDescent="0.6">
      <c r="B45" s="206"/>
    </row>
    <row r="46" spans="1:13" x14ac:dyDescent="0.6">
      <c r="C46" s="203" t="str">
        <f>+'Att 2'!C243</f>
        <v>RS</v>
      </c>
      <c r="D46" s="203" t="str">
        <f>+'Att 2'!D243</f>
        <v>RHS</v>
      </c>
      <c r="E46" s="203" t="str">
        <f>+'Att 2'!E243</f>
        <v>RLM</v>
      </c>
      <c r="F46" s="203" t="str">
        <f>+'Att 2'!F243</f>
        <v>WH</v>
      </c>
      <c r="G46" s="203" t="str">
        <f>+'Att 2'!G243</f>
        <v>WHS</v>
      </c>
      <c r="H46" s="203" t="str">
        <f>+'Att 2'!H243</f>
        <v>HS</v>
      </c>
      <c r="I46" s="203" t="str">
        <f>+'Att 2'!I243</f>
        <v>PSAL</v>
      </c>
      <c r="J46" s="203" t="str">
        <f>+'Att 2'!J243</f>
        <v>BPL</v>
      </c>
    </row>
    <row r="47" spans="1:13" x14ac:dyDescent="0.6">
      <c r="C47" s="203"/>
      <c r="D47" s="203"/>
      <c r="E47" s="203"/>
      <c r="F47" s="203"/>
      <c r="G47" s="203"/>
    </row>
    <row r="48" spans="1:13" x14ac:dyDescent="0.6">
      <c r="B48" s="216" t="s">
        <v>23</v>
      </c>
      <c r="E48" s="254"/>
      <c r="F48" s="69">
        <f>+'Att 2'!F245</f>
        <v>0.91800000000000004</v>
      </c>
      <c r="G48" s="69">
        <f>+'Att 2'!G245</f>
        <v>0.90900000000000003</v>
      </c>
      <c r="H48" s="69">
        <f>+'Att 2'!H245</f>
        <v>1.048</v>
      </c>
      <c r="I48" s="254">
        <f>+'Att 2'!I245</f>
        <v>0.85299999999999998</v>
      </c>
      <c r="J48" s="254">
        <f>+'Att 2'!J245</f>
        <v>0.85199999999999998</v>
      </c>
      <c r="K48" s="255"/>
      <c r="L48" s="255"/>
      <c r="M48" s="255"/>
    </row>
    <row r="49" spans="2:15" x14ac:dyDescent="0.6">
      <c r="B49" s="234" t="s">
        <v>84</v>
      </c>
      <c r="C49" s="70"/>
      <c r="D49" s="256"/>
      <c r="E49" s="69">
        <f>+'Att 2'!E246</f>
        <v>1.2669999999999999</v>
      </c>
      <c r="F49" s="254"/>
      <c r="G49" s="254"/>
      <c r="H49" s="254"/>
      <c r="I49" s="204"/>
      <c r="J49" s="257" t="s">
        <v>167</v>
      </c>
      <c r="K49" s="255"/>
      <c r="L49" s="255"/>
      <c r="M49" s="255"/>
    </row>
    <row r="50" spans="2:15" x14ac:dyDescent="0.6">
      <c r="B50" s="234" t="s">
        <v>85</v>
      </c>
      <c r="C50" s="70"/>
      <c r="D50" s="256"/>
      <c r="E50" s="69">
        <f>+'Att 2'!E247</f>
        <v>0.82399999999999995</v>
      </c>
      <c r="F50" s="254"/>
      <c r="G50" s="254"/>
      <c r="H50" s="258"/>
      <c r="I50" s="204"/>
      <c r="J50" s="257" t="s">
        <v>168</v>
      </c>
      <c r="K50" s="259">
        <f>+'Att 2'!K247</f>
        <v>0.85199999999999998</v>
      </c>
      <c r="L50" s="255"/>
      <c r="M50" s="255"/>
    </row>
    <row r="51" spans="2:15" x14ac:dyDescent="0.6">
      <c r="E51" s="70"/>
      <c r="F51" s="256"/>
      <c r="G51" s="256"/>
      <c r="L51" s="255"/>
      <c r="M51" s="255"/>
    </row>
    <row r="52" spans="2:15" x14ac:dyDescent="0.6">
      <c r="B52" s="260" t="s">
        <v>164</v>
      </c>
      <c r="C52" s="69">
        <f>+'Att 2'!C249</f>
        <v>1.0349999999999999</v>
      </c>
      <c r="D52" s="69">
        <f>+'Att 2'!D249</f>
        <v>0.99399999999999999</v>
      </c>
      <c r="E52" s="70"/>
      <c r="F52" s="256"/>
      <c r="G52" s="256"/>
      <c r="H52" s="256"/>
      <c r="I52" s="256"/>
      <c r="J52" s="256"/>
      <c r="K52" s="255"/>
      <c r="L52" s="255"/>
      <c r="M52" s="255"/>
    </row>
    <row r="53" spans="2:15" x14ac:dyDescent="0.6">
      <c r="B53" s="260" t="s">
        <v>172</v>
      </c>
      <c r="C53" s="73">
        <f>+'Att 2'!C250</f>
        <v>-3.0630000000000002</v>
      </c>
      <c r="D53" s="73">
        <f>+'Att 2'!D250</f>
        <v>-3.9220000000000002</v>
      </c>
      <c r="E53" s="247" t="s">
        <v>165</v>
      </c>
      <c r="F53" s="256"/>
      <c r="G53" s="256"/>
      <c r="H53" s="256"/>
      <c r="I53" s="256"/>
      <c r="J53" s="256"/>
      <c r="K53" s="255"/>
      <c r="L53" s="255"/>
      <c r="M53" s="255"/>
    </row>
    <row r="54" spans="2:15" x14ac:dyDescent="0.6">
      <c r="B54" s="260" t="s">
        <v>172</v>
      </c>
      <c r="C54" s="73">
        <f>+'Att 2'!C251</f>
        <v>5.5890000000000004</v>
      </c>
      <c r="D54" s="73">
        <f>+'Att 2'!D251</f>
        <v>7.6470000000000002</v>
      </c>
      <c r="E54" s="247" t="s">
        <v>166</v>
      </c>
      <c r="F54" s="256"/>
      <c r="G54" s="256"/>
      <c r="H54" s="256"/>
      <c r="I54" s="256"/>
      <c r="J54" s="256"/>
      <c r="K54" s="255"/>
      <c r="L54" s="255"/>
      <c r="M54" s="255"/>
    </row>
    <row r="55" spans="2:15" x14ac:dyDescent="0.6">
      <c r="G55" s="256"/>
      <c r="H55" s="256"/>
      <c r="I55" s="256"/>
      <c r="J55" s="256"/>
      <c r="K55" s="255"/>
      <c r="L55" s="255"/>
      <c r="M55" s="255"/>
    </row>
    <row r="56" spans="2:15" x14ac:dyDescent="0.6">
      <c r="H56" s="256"/>
      <c r="I56" s="256"/>
      <c r="J56" s="256"/>
      <c r="K56" s="255"/>
      <c r="L56" s="255"/>
      <c r="M56" s="255"/>
    </row>
    <row r="57" spans="2:15" x14ac:dyDescent="0.6">
      <c r="C57" s="256"/>
      <c r="D57" s="256"/>
      <c r="E57" s="256"/>
      <c r="F57" s="256"/>
      <c r="G57" s="256"/>
      <c r="H57" s="256"/>
      <c r="I57" s="256"/>
      <c r="J57" s="256"/>
      <c r="K57" s="255"/>
      <c r="L57" s="255"/>
      <c r="M57" s="255"/>
    </row>
    <row r="58" spans="2:15" x14ac:dyDescent="0.6">
      <c r="B58" s="216" t="s">
        <v>24</v>
      </c>
      <c r="C58" s="69">
        <f>+'Att 2'!C255</f>
        <v>1.1060000000000001</v>
      </c>
      <c r="D58" s="69">
        <f>+'Att 2'!D255</f>
        <v>1.1180000000000001</v>
      </c>
      <c r="E58" s="254"/>
      <c r="F58" s="69">
        <f>+'Att 2'!F255</f>
        <v>0.99</v>
      </c>
      <c r="G58" s="69">
        <f>+'Att 2'!G255</f>
        <v>0.97199999999999998</v>
      </c>
      <c r="H58" s="69">
        <f>+'Att 2'!H255</f>
        <v>1.165</v>
      </c>
      <c r="I58" s="254">
        <f>+'Att 2'!I255</f>
        <v>0.96599999999999997</v>
      </c>
      <c r="J58" s="254">
        <f>+'Att 2'!J255</f>
        <v>0.96599999999999997</v>
      </c>
      <c r="K58" s="255"/>
      <c r="L58" s="255"/>
      <c r="M58" s="255"/>
    </row>
    <row r="59" spans="2:15" x14ac:dyDescent="0.6">
      <c r="B59" s="234" t="s">
        <v>84</v>
      </c>
      <c r="C59" s="256"/>
      <c r="D59" s="256"/>
      <c r="E59" s="69">
        <f>+'Att 2'!E256</f>
        <v>1.2889999999999999</v>
      </c>
      <c r="F59" s="256"/>
      <c r="G59" s="256"/>
      <c r="H59" s="256"/>
      <c r="J59" s="257" t="s">
        <v>167</v>
      </c>
      <c r="K59" s="255"/>
      <c r="L59" s="255"/>
      <c r="M59" s="255"/>
    </row>
    <row r="60" spans="2:15" x14ac:dyDescent="0.6">
      <c r="B60" s="234" t="s">
        <v>85</v>
      </c>
      <c r="C60" s="256"/>
      <c r="D60" s="256"/>
      <c r="E60" s="69">
        <f>+'Att 2'!E257</f>
        <v>0.94499999999999995</v>
      </c>
      <c r="F60" s="256"/>
      <c r="G60" s="256"/>
      <c r="J60" s="257" t="s">
        <v>168</v>
      </c>
      <c r="K60" s="259">
        <f>+'Att 2'!K257</f>
        <v>0.96599999999999997</v>
      </c>
      <c r="L60" s="255"/>
      <c r="M60" s="255"/>
    </row>
    <row r="61" spans="2:15" x14ac:dyDescent="0.6">
      <c r="C61" s="261"/>
      <c r="D61" s="261"/>
      <c r="E61" s="261"/>
      <c r="F61" s="261"/>
      <c r="G61" s="261"/>
      <c r="K61" s="255"/>
      <c r="L61" s="255"/>
      <c r="M61" s="255"/>
    </row>
    <row r="62" spans="2:15" x14ac:dyDescent="0.6">
      <c r="B62" s="202" t="s">
        <v>113</v>
      </c>
      <c r="C62" s="262">
        <f>+'Att 2'!C259</f>
        <v>1.075</v>
      </c>
      <c r="D62" s="262">
        <f>+'Att 2'!D259</f>
        <v>1.0900000000000001</v>
      </c>
      <c r="E62" s="262">
        <f>+'Att 2'!E259</f>
        <v>1.0669999999999999</v>
      </c>
      <c r="F62" s="262">
        <f>+'Att 2'!F259</f>
        <v>0.96899999999999997</v>
      </c>
      <c r="G62" s="262">
        <f>+'Att 2'!G259</f>
        <v>0.95499999999999996</v>
      </c>
      <c r="H62" s="262">
        <f>+'Att 2'!H259</f>
        <v>1.1399999999999999</v>
      </c>
      <c r="I62" s="262">
        <f>+'Att 2'!I259</f>
        <v>0.93500000000000005</v>
      </c>
      <c r="J62" s="262">
        <f>+'Att 2'!J259</f>
        <v>0.93500000000000005</v>
      </c>
      <c r="K62" s="255"/>
      <c r="L62" s="255"/>
      <c r="M62" s="255"/>
    </row>
    <row r="64" spans="2:15" x14ac:dyDescent="0.6">
      <c r="O64" s="230" t="s">
        <v>408</v>
      </c>
    </row>
    <row r="65" spans="2:15" x14ac:dyDescent="0.6">
      <c r="B65" s="206" t="s">
        <v>32</v>
      </c>
      <c r="O65" s="251">
        <f>+C32*C70+D70</f>
        <v>56.749280000000006</v>
      </c>
    </row>
    <row r="66" spans="2:15" x14ac:dyDescent="0.6">
      <c r="B66" s="207" t="s">
        <v>89</v>
      </c>
    </row>
    <row r="67" spans="2:15" x14ac:dyDescent="0.6">
      <c r="B67" s="204"/>
    </row>
    <row r="68" spans="2:15" x14ac:dyDescent="0.6">
      <c r="C68" s="203" t="str">
        <f>+'Att 2'!C265</f>
        <v>GLP</v>
      </c>
      <c r="D68" s="203" t="str">
        <f>+'Att 2'!D265</f>
        <v>GLP</v>
      </c>
      <c r="E68" s="203" t="str">
        <f>+'Att 2'!E265</f>
        <v>LPL-S</v>
      </c>
      <c r="F68" s="203" t="str">
        <f>+'Att 2'!F265</f>
        <v>LPL-S</v>
      </c>
      <c r="H68" s="206" t="s">
        <v>31</v>
      </c>
      <c r="I68" s="203" t="str">
        <f>+C68</f>
        <v>GLP</v>
      </c>
      <c r="J68" s="203" t="str">
        <f>+E68</f>
        <v>LPL-S</v>
      </c>
    </row>
    <row r="69" spans="2:15" ht="26" x14ac:dyDescent="0.6">
      <c r="C69" s="203" t="s">
        <v>122</v>
      </c>
      <c r="D69" s="263" t="s">
        <v>172</v>
      </c>
      <c r="E69" s="203" t="s">
        <v>122</v>
      </c>
      <c r="F69" s="263" t="s">
        <v>172</v>
      </c>
    </row>
    <row r="70" spans="2:15" x14ac:dyDescent="0.6">
      <c r="B70" s="216" t="s">
        <v>23</v>
      </c>
      <c r="C70" s="69">
        <f>+'Att 2'!C267</f>
        <v>1.01</v>
      </c>
      <c r="D70" s="259">
        <f>+'Att 2'!D267</f>
        <v>-5.4950000000000001</v>
      </c>
      <c r="E70" s="258"/>
      <c r="F70" s="258"/>
      <c r="H70" s="249" t="s">
        <v>28</v>
      </c>
    </row>
    <row r="71" spans="2:15" x14ac:dyDescent="0.6">
      <c r="B71" s="234" t="s">
        <v>84</v>
      </c>
      <c r="C71" s="254"/>
      <c r="D71" s="259"/>
      <c r="E71" s="69">
        <f>+'Att 2'!E268</f>
        <v>1.149</v>
      </c>
      <c r="F71" s="259">
        <f>+'Att 2'!F268</f>
        <v>-8.0749999999999993</v>
      </c>
      <c r="H71" s="222" t="s">
        <v>47</v>
      </c>
      <c r="I71" s="264">
        <f>+'Att 2'!I$270</f>
        <v>1.6327</v>
      </c>
      <c r="J71" s="264">
        <f>+'Att 2'!J$270</f>
        <v>1.6327</v>
      </c>
      <c r="K71" s="232" t="s">
        <v>51</v>
      </c>
    </row>
    <row r="72" spans="2:15" x14ac:dyDescent="0.6">
      <c r="B72" s="234" t="s">
        <v>85</v>
      </c>
      <c r="C72" s="254"/>
      <c r="D72" s="259"/>
      <c r="E72" s="69">
        <f>+'Att 2'!E269</f>
        <v>0.82099999999999995</v>
      </c>
      <c r="F72" s="259">
        <f>+'Att 2'!F269</f>
        <v>0</v>
      </c>
      <c r="H72" s="222" t="s">
        <v>48</v>
      </c>
      <c r="I72" s="264">
        <f>+'Att 2'!I$270</f>
        <v>1.6327</v>
      </c>
      <c r="J72" s="264">
        <f>+'Att 2'!J$270</f>
        <v>1.6327</v>
      </c>
      <c r="K72" s="232" t="s">
        <v>51</v>
      </c>
    </row>
    <row r="73" spans="2:15" x14ac:dyDescent="0.6">
      <c r="C73" s="254"/>
      <c r="D73" s="259"/>
      <c r="E73" s="254"/>
      <c r="F73" s="259"/>
      <c r="H73" s="222"/>
      <c r="I73" s="264"/>
      <c r="J73" s="264"/>
      <c r="K73" s="232"/>
    </row>
    <row r="74" spans="2:15" x14ac:dyDescent="0.6">
      <c r="B74" s="216" t="s">
        <v>24</v>
      </c>
      <c r="C74" s="69">
        <f>+'Att 2'!C271</f>
        <v>1.0680000000000001</v>
      </c>
      <c r="D74" s="259">
        <f>+'Att 2'!D271</f>
        <v>-6.3710000000000004</v>
      </c>
      <c r="E74" s="69"/>
      <c r="F74" s="259"/>
      <c r="H74" s="249" t="s">
        <v>29</v>
      </c>
      <c r="I74" s="252"/>
      <c r="J74" s="252"/>
    </row>
    <row r="75" spans="2:15" x14ac:dyDescent="0.6">
      <c r="B75" s="234" t="s">
        <v>84</v>
      </c>
      <c r="C75" s="254"/>
      <c r="D75" s="258"/>
      <c r="E75" s="69">
        <f>+'Att 2'!E272</f>
        <v>1.1559999999999999</v>
      </c>
      <c r="F75" s="259">
        <f>+'Att 2'!F272</f>
        <v>-8.8819999999999997</v>
      </c>
      <c r="H75" s="222" t="s">
        <v>49</v>
      </c>
      <c r="I75" s="264">
        <f>+'Att 2'!I273</f>
        <v>0</v>
      </c>
      <c r="J75" s="264">
        <f>+'Att 2'!J273</f>
        <v>0</v>
      </c>
      <c r="K75" s="232" t="s">
        <v>52</v>
      </c>
    </row>
    <row r="76" spans="2:15" x14ac:dyDescent="0.6">
      <c r="B76" s="234" t="s">
        <v>85</v>
      </c>
      <c r="C76" s="254"/>
      <c r="D76" s="258"/>
      <c r="E76" s="69">
        <f>+'Att 2'!E273</f>
        <v>0.92</v>
      </c>
      <c r="F76" s="259">
        <f>+'Att 2'!F273</f>
        <v>0</v>
      </c>
    </row>
    <row r="77" spans="2:15" x14ac:dyDescent="0.6">
      <c r="C77" s="262"/>
      <c r="D77" s="258"/>
      <c r="E77" s="262"/>
      <c r="F77" s="258"/>
    </row>
    <row r="78" spans="2:15" x14ac:dyDescent="0.6">
      <c r="B78" s="202" t="s">
        <v>109</v>
      </c>
      <c r="C78" s="262">
        <f>+'Att 2'!C275</f>
        <v>1.046</v>
      </c>
      <c r="D78" s="258"/>
      <c r="E78" s="262">
        <f>+'Att 2'!E275</f>
        <v>1.0149999999999999</v>
      </c>
      <c r="F78" s="258"/>
    </row>
    <row r="79" spans="2:15" x14ac:dyDescent="0.6">
      <c r="C79" s="262"/>
      <c r="D79" s="258"/>
      <c r="E79" s="262"/>
      <c r="F79" s="258"/>
    </row>
    <row r="80" spans="2:15" x14ac:dyDescent="0.6">
      <c r="C80" s="255"/>
      <c r="E80" s="255"/>
      <c r="I80" s="251"/>
    </row>
    <row r="81" spans="1:13" x14ac:dyDescent="0.6">
      <c r="A81" s="285" t="s">
        <v>241</v>
      </c>
      <c r="B81" s="283" t="s">
        <v>256</v>
      </c>
      <c r="C81" s="255"/>
      <c r="E81" s="255"/>
    </row>
    <row r="82" spans="1:13" x14ac:dyDescent="0.6">
      <c r="A82" s="285"/>
      <c r="B82" s="207" t="s">
        <v>224</v>
      </c>
    </row>
    <row r="84" spans="1:13" x14ac:dyDescent="0.6">
      <c r="B84" s="206" t="s">
        <v>200</v>
      </c>
    </row>
    <row r="85" spans="1:13" x14ac:dyDescent="0.6">
      <c r="B85" s="207" t="s">
        <v>88</v>
      </c>
    </row>
    <row r="86" spans="1:13" x14ac:dyDescent="0.6">
      <c r="B86" s="206"/>
    </row>
    <row r="87" spans="1:13" x14ac:dyDescent="0.6">
      <c r="C87" s="203" t="str">
        <f>+C46</f>
        <v>RS</v>
      </c>
      <c r="D87" s="203" t="str">
        <f t="shared" ref="D87:J87" si="2">+D46</f>
        <v>RHS</v>
      </c>
      <c r="E87" s="203" t="str">
        <f t="shared" si="2"/>
        <v>RLM</v>
      </c>
      <c r="F87" s="203" t="str">
        <f t="shared" si="2"/>
        <v>WH</v>
      </c>
      <c r="G87" s="203" t="str">
        <f t="shared" si="2"/>
        <v>WHS</v>
      </c>
      <c r="H87" s="203" t="str">
        <f t="shared" si="2"/>
        <v>HS</v>
      </c>
      <c r="I87" s="203" t="str">
        <f t="shared" si="2"/>
        <v>PSAL</v>
      </c>
      <c r="J87" s="203" t="str">
        <f t="shared" si="2"/>
        <v>BPL</v>
      </c>
    </row>
    <row r="88" spans="1:13" x14ac:dyDescent="0.6">
      <c r="C88" s="285"/>
      <c r="D88" s="285"/>
      <c r="E88" s="285"/>
      <c r="F88" s="286"/>
      <c r="G88" s="286"/>
      <c r="H88" s="286"/>
      <c r="I88" s="286"/>
      <c r="J88" s="286"/>
    </row>
    <row r="89" spans="1:13" x14ac:dyDescent="0.6">
      <c r="B89" s="216" t="s">
        <v>23</v>
      </c>
      <c r="C89" s="285"/>
      <c r="D89" s="285"/>
      <c r="E89" s="285"/>
      <c r="F89" s="286">
        <f>ROUND(($C$32*F48)/10,4)</f>
        <v>5.6574999999999998</v>
      </c>
      <c r="G89" s="286">
        <f>ROUND(($C$32*G48)/10,4)</f>
        <v>5.6020000000000003</v>
      </c>
      <c r="H89" s="286">
        <f>ROUND(($C$32*H48)/10,4)</f>
        <v>6.4585999999999997</v>
      </c>
      <c r="I89" s="286">
        <f>ROUND(($C$32*K50)/10,4)</f>
        <v>5.2507000000000001</v>
      </c>
      <c r="J89" s="286">
        <f>+I89</f>
        <v>5.2507000000000001</v>
      </c>
      <c r="L89" s="255"/>
      <c r="M89" s="255"/>
    </row>
    <row r="90" spans="1:13" x14ac:dyDescent="0.6">
      <c r="B90" s="234" t="s">
        <v>84</v>
      </c>
      <c r="C90" s="285"/>
      <c r="D90" s="285"/>
      <c r="E90" s="286">
        <f>ROUND(($C$32*E49)/10,4)</f>
        <v>7.8083</v>
      </c>
      <c r="F90" s="285"/>
      <c r="G90" s="286"/>
      <c r="H90" s="286"/>
      <c r="I90" s="286"/>
      <c r="J90" s="285"/>
      <c r="L90" s="255"/>
      <c r="M90" s="255"/>
    </row>
    <row r="91" spans="1:13" x14ac:dyDescent="0.6">
      <c r="B91" s="234" t="s">
        <v>85</v>
      </c>
      <c r="C91" s="285"/>
      <c r="D91" s="285"/>
      <c r="E91" s="286">
        <f>ROUND(($C$32*E50/10),4)</f>
        <v>5.0781000000000001</v>
      </c>
      <c r="F91" s="285"/>
      <c r="G91" s="285"/>
      <c r="H91" s="285"/>
      <c r="I91" s="285"/>
      <c r="J91" s="285"/>
      <c r="L91" s="255"/>
      <c r="M91" s="255"/>
    </row>
    <row r="92" spans="1:13" x14ac:dyDescent="0.6">
      <c r="B92" s="260"/>
      <c r="C92" s="285"/>
      <c r="D92" s="285"/>
      <c r="E92" s="285"/>
      <c r="F92" s="285"/>
      <c r="G92" s="285"/>
      <c r="H92" s="285"/>
      <c r="I92" s="285"/>
      <c r="J92" s="285"/>
      <c r="L92" s="255"/>
      <c r="M92" s="255"/>
    </row>
    <row r="93" spans="1:13" x14ac:dyDescent="0.6">
      <c r="B93" s="247" t="s">
        <v>165</v>
      </c>
      <c r="C93" s="286">
        <f>ROUND((+$C$32*C52+C53)/10,4)</f>
        <v>6.0721999999999996</v>
      </c>
      <c r="D93" s="286">
        <f>ROUND((+$C$32*D52+D53)/10,4)</f>
        <v>5.7336</v>
      </c>
      <c r="E93" s="285"/>
      <c r="F93" s="285"/>
      <c r="G93" s="285"/>
      <c r="H93" s="285"/>
      <c r="I93" s="285"/>
      <c r="J93" s="285"/>
      <c r="L93" s="255"/>
      <c r="M93" s="255"/>
    </row>
    <row r="94" spans="1:13" x14ac:dyDescent="0.6">
      <c r="B94" s="247" t="s">
        <v>166</v>
      </c>
      <c r="C94" s="286">
        <f>ROUND((+$C$32*C52+C54)/10,4)</f>
        <v>6.9374000000000002</v>
      </c>
      <c r="D94" s="286">
        <f>ROUND((+$C$32*D52+D54)/10,4)</f>
        <v>6.8905000000000003</v>
      </c>
      <c r="E94" s="285"/>
      <c r="F94" s="285"/>
      <c r="G94" s="285"/>
      <c r="H94" s="285"/>
      <c r="I94" s="285"/>
      <c r="J94" s="285"/>
      <c r="L94" s="255"/>
      <c r="M94" s="255"/>
    </row>
    <row r="95" spans="1:13" x14ac:dyDescent="0.6">
      <c r="C95" s="286"/>
      <c r="D95" s="286"/>
      <c r="E95" s="285"/>
      <c r="F95" s="285"/>
      <c r="G95" s="285"/>
      <c r="H95" s="285"/>
      <c r="I95" s="285"/>
      <c r="J95" s="285"/>
      <c r="L95" s="255"/>
      <c r="M95" s="255"/>
    </row>
    <row r="96" spans="1:13" x14ac:dyDescent="0.6">
      <c r="B96" s="216" t="s">
        <v>24</v>
      </c>
      <c r="C96" s="286">
        <f>ROUND(($C$32*C58)/10,4)</f>
        <v>6.8160999999999996</v>
      </c>
      <c r="D96" s="286">
        <f>ROUND(($C$32*D58)/10,4)</f>
        <v>6.89</v>
      </c>
      <c r="E96" s="285"/>
      <c r="F96" s="286">
        <f>ROUND(($C$32*F58)/10,4)</f>
        <v>6.1012000000000004</v>
      </c>
      <c r="G96" s="286">
        <f>ROUND(($C$32*G58)/10,4)</f>
        <v>5.9901999999999997</v>
      </c>
      <c r="H96" s="286">
        <f>ROUND(($C$32*H58)/10,4)</f>
        <v>7.1797000000000004</v>
      </c>
      <c r="I96" s="286">
        <f>ROUND(($C$32*K60)/10,4)</f>
        <v>5.9532999999999996</v>
      </c>
      <c r="J96" s="286">
        <f>+I96</f>
        <v>5.9532999999999996</v>
      </c>
      <c r="L96" s="255"/>
      <c r="M96" s="255"/>
    </row>
    <row r="97" spans="2:13" x14ac:dyDescent="0.6">
      <c r="B97" s="234" t="s">
        <v>84</v>
      </c>
      <c r="C97" s="285"/>
      <c r="D97" s="285"/>
      <c r="E97" s="286">
        <f>ROUND(($C$32*E59)/10,4)</f>
        <v>7.9438000000000004</v>
      </c>
      <c r="F97" s="285"/>
      <c r="G97" s="285"/>
      <c r="H97" s="285"/>
      <c r="I97" s="285"/>
      <c r="J97" s="285"/>
      <c r="L97" s="255"/>
      <c r="M97" s="255"/>
    </row>
    <row r="98" spans="2:13" x14ac:dyDescent="0.6">
      <c r="B98" s="234" t="s">
        <v>85</v>
      </c>
      <c r="C98" s="285"/>
      <c r="D98" s="285"/>
      <c r="E98" s="286">
        <f>ROUND(($C$32*E60)/10,4)</f>
        <v>5.8238000000000003</v>
      </c>
      <c r="F98" s="285"/>
      <c r="G98" s="285"/>
      <c r="H98" s="285"/>
      <c r="I98" s="285"/>
      <c r="J98" s="285"/>
      <c r="L98" s="255"/>
      <c r="M98" s="255"/>
    </row>
    <row r="99" spans="2:13" x14ac:dyDescent="0.6">
      <c r="C99" s="285"/>
      <c r="D99" s="285"/>
      <c r="E99" s="286"/>
      <c r="F99" s="285"/>
      <c r="G99" s="285"/>
      <c r="H99" s="285"/>
      <c r="I99" s="285"/>
      <c r="J99" s="285"/>
      <c r="L99" s="255"/>
      <c r="M99" s="255"/>
    </row>
    <row r="102" spans="2:13" x14ac:dyDescent="0.6">
      <c r="B102" s="206" t="s">
        <v>201</v>
      </c>
    </row>
    <row r="103" spans="2:13" x14ac:dyDescent="0.6">
      <c r="B103" s="207" t="s">
        <v>89</v>
      </c>
    </row>
    <row r="104" spans="2:13" x14ac:dyDescent="0.6">
      <c r="B104" s="204"/>
    </row>
    <row r="105" spans="2:13" x14ac:dyDescent="0.6">
      <c r="C105" s="203" t="str">
        <f>+C68</f>
        <v>GLP</v>
      </c>
      <c r="D105" s="203"/>
      <c r="E105" s="203" t="str">
        <f>+E68</f>
        <v>LPL-S</v>
      </c>
      <c r="F105" s="203"/>
      <c r="H105" s="206" t="s">
        <v>31</v>
      </c>
      <c r="I105" s="203" t="str">
        <f>+C105</f>
        <v>GLP</v>
      </c>
      <c r="J105" s="203" t="str">
        <f>+E105</f>
        <v>LPL-S</v>
      </c>
    </row>
    <row r="106" spans="2:13" x14ac:dyDescent="0.6">
      <c r="F106" s="263"/>
    </row>
    <row r="107" spans="2:13" x14ac:dyDescent="0.6">
      <c r="B107" s="216" t="s">
        <v>23</v>
      </c>
      <c r="C107" s="286">
        <f>ROUND(($C$32*C70+D70)/10,4)</f>
        <v>5.6749000000000001</v>
      </c>
      <c r="D107" s="286"/>
      <c r="E107" s="286"/>
      <c r="F107" s="258"/>
      <c r="H107" s="249" t="s">
        <v>28</v>
      </c>
    </row>
    <row r="108" spans="2:13" x14ac:dyDescent="0.6">
      <c r="B108" s="234" t="s">
        <v>84</v>
      </c>
      <c r="C108" s="286"/>
      <c r="D108" s="286"/>
      <c r="E108" s="286">
        <f>ROUND(($C$32*E71+F71)/10,4)</f>
        <v>6.2736000000000001</v>
      </c>
      <c r="F108" s="259"/>
      <c r="H108" s="222" t="s">
        <v>47</v>
      </c>
      <c r="I108" s="287">
        <f>+I71</f>
        <v>1.6327</v>
      </c>
      <c r="J108" s="287">
        <f>+J71</f>
        <v>1.6327</v>
      </c>
      <c r="K108" s="232" t="s">
        <v>51</v>
      </c>
    </row>
    <row r="109" spans="2:13" x14ac:dyDescent="0.6">
      <c r="B109" s="234" t="s">
        <v>85</v>
      </c>
      <c r="C109" s="286"/>
      <c r="D109" s="286"/>
      <c r="E109" s="286">
        <f>ROUND(($C$32*E72+F72)/10,4)</f>
        <v>5.0597000000000003</v>
      </c>
      <c r="F109" s="259"/>
      <c r="H109" s="222" t="s">
        <v>48</v>
      </c>
      <c r="I109" s="287">
        <f>+I72</f>
        <v>1.6327</v>
      </c>
      <c r="J109" s="287">
        <f>+J72</f>
        <v>1.6327</v>
      </c>
      <c r="K109" s="232" t="s">
        <v>51</v>
      </c>
    </row>
    <row r="110" spans="2:13" x14ac:dyDescent="0.6">
      <c r="C110" s="286"/>
      <c r="D110" s="286"/>
      <c r="E110" s="286"/>
      <c r="F110" s="259"/>
      <c r="H110" s="222"/>
      <c r="I110" s="264"/>
      <c r="J110" s="264"/>
      <c r="K110" s="232"/>
    </row>
    <row r="111" spans="2:13" x14ac:dyDescent="0.6">
      <c r="B111" s="216" t="s">
        <v>24</v>
      </c>
      <c r="C111" s="286">
        <f>ROUND(($C$32*C74+D74)/10,4)</f>
        <v>5.9447999999999999</v>
      </c>
      <c r="D111" s="286"/>
      <c r="E111" s="286"/>
      <c r="F111" s="259"/>
      <c r="H111" s="249" t="s">
        <v>29</v>
      </c>
      <c r="I111" s="252"/>
      <c r="J111" s="252"/>
    </row>
    <row r="112" spans="2:13" x14ac:dyDescent="0.6">
      <c r="B112" s="234" t="s">
        <v>84</v>
      </c>
      <c r="C112" s="286"/>
      <c r="D112" s="286"/>
      <c r="E112" s="286">
        <f>ROUND(($C$32*E75+F75)/10,4)</f>
        <v>6.2359999999999998</v>
      </c>
      <c r="F112" s="259"/>
      <c r="H112" s="222" t="s">
        <v>49</v>
      </c>
      <c r="I112" s="287">
        <f>+I75</f>
        <v>0</v>
      </c>
      <c r="J112" s="287">
        <f>+J75</f>
        <v>0</v>
      </c>
      <c r="K112" s="232" t="s">
        <v>52</v>
      </c>
    </row>
    <row r="113" spans="1:12" x14ac:dyDescent="0.6">
      <c r="B113" s="234" t="s">
        <v>85</v>
      </c>
      <c r="C113" s="286"/>
      <c r="D113" s="286"/>
      <c r="E113" s="286">
        <f>ROUND(($C$32*E76+F76)/10,4)</f>
        <v>5.6698000000000004</v>
      </c>
      <c r="F113" s="259"/>
    </row>
    <row r="114" spans="1:12" x14ac:dyDescent="0.6">
      <c r="C114" s="262"/>
      <c r="D114" s="258"/>
      <c r="E114" s="262"/>
      <c r="F114" s="258"/>
    </row>
    <row r="115" spans="1:12" x14ac:dyDescent="0.6">
      <c r="C115" s="262"/>
      <c r="D115" s="258"/>
      <c r="E115" s="262"/>
      <c r="F115" s="258"/>
    </row>
    <row r="117" spans="1:12" x14ac:dyDescent="0.6">
      <c r="A117" s="285" t="s">
        <v>242</v>
      </c>
      <c r="B117" s="206" t="s">
        <v>243</v>
      </c>
      <c r="C117" s="255"/>
      <c r="E117" s="255"/>
    </row>
    <row r="118" spans="1:12" x14ac:dyDescent="0.6">
      <c r="C118" s="255"/>
      <c r="E118" s="255"/>
    </row>
    <row r="119" spans="1:12" x14ac:dyDescent="0.6">
      <c r="C119" s="203" t="s">
        <v>0</v>
      </c>
      <c r="D119" s="203" t="s">
        <v>1</v>
      </c>
      <c r="E119" s="203" t="s">
        <v>2</v>
      </c>
      <c r="F119" s="203" t="s">
        <v>3</v>
      </c>
      <c r="G119" s="203" t="s">
        <v>4</v>
      </c>
      <c r="H119" s="203" t="s">
        <v>6</v>
      </c>
      <c r="I119" s="203" t="s">
        <v>37</v>
      </c>
      <c r="J119" s="203" t="s">
        <v>38</v>
      </c>
    </row>
    <row r="120" spans="1:12" x14ac:dyDescent="0.6">
      <c r="B120" s="202" t="s">
        <v>244</v>
      </c>
    </row>
    <row r="121" spans="1:12" x14ac:dyDescent="0.6">
      <c r="B121" s="220" t="s">
        <v>53</v>
      </c>
      <c r="C121" s="237">
        <f>+C93/100*'Att 2'!O53+'Att 3'!C94/100*'Att 2'!O54</f>
        <v>352097.92956598644</v>
      </c>
      <c r="D121" s="237">
        <f>+D93/100*'Att 2'!P53+'Att 3'!D94/100*'Att 2'!P54</f>
        <v>1260.9955094619709</v>
      </c>
      <c r="E121" s="270">
        <f>+E90/100*'Att 2'!Q50+E91/100*'Att 2'!Q51</f>
        <v>4889.9778646136783</v>
      </c>
      <c r="F121" s="237">
        <f>+F89/100*'Att 2'!R49</f>
        <v>9.2782999999999998</v>
      </c>
      <c r="G121" s="237">
        <f>+G89/100*'Att 2'!S49</f>
        <v>0.16805999999999999</v>
      </c>
      <c r="H121" s="237">
        <f>+H89/100*'Att 2'!T49</f>
        <v>110.1171949797703</v>
      </c>
      <c r="I121" s="237">
        <f>+I89/100*'Att 2'!U49</f>
        <v>2039.634415</v>
      </c>
      <c r="J121" s="237">
        <f>+J89/100*'Att 2'!V49</f>
        <v>4188.430883</v>
      </c>
    </row>
    <row r="122" spans="1:12" ht="15.25" x14ac:dyDescent="1.05">
      <c r="B122" s="220" t="s">
        <v>54</v>
      </c>
      <c r="C122" s="238">
        <f>+C96/100*'Att 2'!O45</f>
        <v>485186.71402451856</v>
      </c>
      <c r="D122" s="238">
        <f>+D96/100*'Att 2'!P45</f>
        <v>4812.8768724173697</v>
      </c>
      <c r="E122" s="238">
        <f>+E97/100*'Att 2'!Q46+'Att 3'!E98/100*'Att 2'!Q47</f>
        <v>6653.9529070573135</v>
      </c>
      <c r="F122" s="238">
        <f>+F96/100*'Att 2'!R45</f>
        <v>25.075932000000002</v>
      </c>
      <c r="G122" s="238">
        <f>+G96/100*'Att 2'!S45</f>
        <v>0.47921599999999998</v>
      </c>
      <c r="H122" s="238">
        <f>+H96/100*'Att 2'!T45</f>
        <v>455.82027335145216</v>
      </c>
      <c r="I122" s="238">
        <f>+I96/100*'Att 2'!U45</f>
        <v>6116.182288</v>
      </c>
      <c r="J122" s="238">
        <f>+J96/100*'Att 2'!V45</f>
        <v>13125.359575999999</v>
      </c>
    </row>
    <row r="123" spans="1:12" x14ac:dyDescent="0.6">
      <c r="B123" s="220" t="s">
        <v>19</v>
      </c>
      <c r="C123" s="235">
        <f>+C122+C121</f>
        <v>837284.643590505</v>
      </c>
      <c r="D123" s="235">
        <f t="shared" ref="D123:J123" si="3">+D122+D121</f>
        <v>6073.8723818793405</v>
      </c>
      <c r="E123" s="235">
        <f t="shared" si="3"/>
        <v>11543.930771670992</v>
      </c>
      <c r="F123" s="235">
        <f t="shared" si="3"/>
        <v>34.354232000000003</v>
      </c>
      <c r="G123" s="235">
        <f t="shared" si="3"/>
        <v>0.64727599999999996</v>
      </c>
      <c r="H123" s="235">
        <f t="shared" si="3"/>
        <v>565.93746833122248</v>
      </c>
      <c r="I123" s="235">
        <f t="shared" si="3"/>
        <v>8155.8167030000004</v>
      </c>
      <c r="J123" s="235">
        <f t="shared" si="3"/>
        <v>17313.790459</v>
      </c>
    </row>
    <row r="124" spans="1:12" x14ac:dyDescent="0.6">
      <c r="B124" s="220"/>
      <c r="C124" s="235"/>
      <c r="D124" s="235"/>
      <c r="E124" s="235"/>
      <c r="F124" s="235"/>
      <c r="G124" s="235"/>
      <c r="H124" s="235"/>
      <c r="I124" s="235"/>
      <c r="J124" s="235"/>
      <c r="K124" s="235"/>
      <c r="L124" s="235"/>
    </row>
    <row r="125" spans="1:12" x14ac:dyDescent="0.6">
      <c r="B125" s="220"/>
      <c r="C125" s="235"/>
      <c r="D125" s="235"/>
      <c r="E125" s="235"/>
      <c r="F125" s="235"/>
      <c r="G125" s="235"/>
      <c r="H125" s="235"/>
      <c r="I125" s="235"/>
      <c r="J125" s="235"/>
      <c r="K125" s="235"/>
      <c r="L125" s="235"/>
    </row>
    <row r="126" spans="1:12" x14ac:dyDescent="0.6">
      <c r="B126" s="220"/>
      <c r="C126" s="203" t="s">
        <v>5</v>
      </c>
      <c r="D126" s="203" t="s">
        <v>5</v>
      </c>
      <c r="F126" s="203" t="s">
        <v>36</v>
      </c>
      <c r="G126" s="203" t="s">
        <v>36</v>
      </c>
      <c r="H126" s="235"/>
      <c r="I126" s="235"/>
      <c r="J126" s="235"/>
      <c r="K126" s="235"/>
      <c r="L126" s="235"/>
    </row>
    <row r="127" spans="1:12" x14ac:dyDescent="0.6">
      <c r="B127" s="220"/>
      <c r="C127" s="203" t="s">
        <v>250</v>
      </c>
      <c r="D127" s="203" t="s">
        <v>251</v>
      </c>
      <c r="F127" s="203" t="s">
        <v>250</v>
      </c>
      <c r="G127" s="203" t="s">
        <v>251</v>
      </c>
      <c r="H127" s="235"/>
      <c r="I127" s="235"/>
      <c r="J127" s="235"/>
      <c r="K127" s="235"/>
      <c r="L127" s="235"/>
    </row>
    <row r="128" spans="1:12" x14ac:dyDescent="0.6">
      <c r="B128" s="220"/>
      <c r="G128" s="235"/>
      <c r="H128" s="235"/>
      <c r="I128" s="235"/>
      <c r="J128" s="235"/>
      <c r="K128" s="235"/>
      <c r="L128" s="235"/>
    </row>
    <row r="129" spans="2:12" x14ac:dyDescent="0.6">
      <c r="B129" s="220" t="s">
        <v>53</v>
      </c>
      <c r="C129" s="270">
        <f>+C107/100*'Att 2'!W49</f>
        <v>127424.03618943633</v>
      </c>
      <c r="D129" s="270">
        <f>I108*'Att 2'!K147*4+'Att 3'!I112*'Att 2'!K149*4</f>
        <v>12338.640439999999</v>
      </c>
      <c r="F129" s="270">
        <f>+E108/100*'Att 2'!X50+'Att 3'!E109/100*'Att 2'!X51</f>
        <v>93311.724848085083</v>
      </c>
      <c r="G129" s="270">
        <f>'Att 3'!J108*'Att 2'!L147*4+'Att 3'!J112*'Att 2'!L149*4</f>
        <v>6536.6777199999997</v>
      </c>
      <c r="H129" s="235"/>
      <c r="I129" s="235"/>
      <c r="J129" s="235"/>
      <c r="K129" s="235"/>
      <c r="L129" s="235"/>
    </row>
    <row r="130" spans="2:12" ht="15.25" x14ac:dyDescent="1.05">
      <c r="B130" s="220" t="s">
        <v>54</v>
      </c>
      <c r="C130" s="288">
        <f>+C111/100*'Att 2'!W45</f>
        <v>230268.7029579872</v>
      </c>
      <c r="D130" s="288">
        <f>'Att 3'!I109*'Att 2'!K147*8+'Att 3'!I112*'Att 2'!K149*8</f>
        <v>24677.280879999998</v>
      </c>
      <c r="F130" s="288">
        <f>+E112/100*'Att 2'!X46+'Att 3'!E113/100*'Att 2'!X47</f>
        <v>183473.86039173699</v>
      </c>
      <c r="G130" s="288">
        <f>'Att 3'!J109*'Att 2'!L147*8+'Att 3'!J112*'Att 2'!L149*8</f>
        <v>13073.355439999999</v>
      </c>
      <c r="H130" s="235"/>
      <c r="I130" s="235"/>
      <c r="J130" s="235"/>
      <c r="K130" s="235"/>
      <c r="L130" s="235"/>
    </row>
    <row r="131" spans="2:12" x14ac:dyDescent="0.6">
      <c r="B131" s="220" t="s">
        <v>19</v>
      </c>
      <c r="C131" s="235">
        <f>+C130+C129</f>
        <v>357692.73914742353</v>
      </c>
      <c r="D131" s="235">
        <f>+D130+D129</f>
        <v>37015.921319999994</v>
      </c>
      <c r="F131" s="235">
        <f>+F130+F129</f>
        <v>276785.58523982204</v>
      </c>
      <c r="G131" s="235">
        <f>+G130+G129</f>
        <v>19610.033159999999</v>
      </c>
      <c r="H131" s="235"/>
      <c r="I131" s="235"/>
      <c r="J131" s="235"/>
      <c r="K131" s="235"/>
      <c r="L131" s="235"/>
    </row>
    <row r="132" spans="2:12" x14ac:dyDescent="0.6">
      <c r="B132" s="220"/>
      <c r="C132" s="235"/>
      <c r="F132" s="235"/>
      <c r="G132" s="235"/>
      <c r="H132" s="235"/>
      <c r="I132" s="235"/>
      <c r="J132" s="235"/>
      <c r="K132" s="235"/>
      <c r="L132" s="235"/>
    </row>
    <row r="133" spans="2:12" x14ac:dyDescent="0.6">
      <c r="B133" s="220"/>
      <c r="C133" s="235"/>
      <c r="D133" s="235"/>
      <c r="E133" s="235"/>
      <c r="F133" s="235"/>
      <c r="G133" s="235"/>
      <c r="H133" s="235"/>
      <c r="I133" s="235"/>
      <c r="J133" s="235"/>
      <c r="K133" s="235"/>
      <c r="L133" s="235"/>
    </row>
    <row r="134" spans="2:12" x14ac:dyDescent="0.6">
      <c r="B134" s="220"/>
      <c r="C134" s="203" t="s">
        <v>250</v>
      </c>
      <c r="D134" s="203" t="s">
        <v>251</v>
      </c>
      <c r="E134" s="203" t="s">
        <v>252</v>
      </c>
      <c r="F134" s="235"/>
      <c r="G134" s="235"/>
      <c r="H134" s="235"/>
      <c r="I134" s="235"/>
      <c r="J134" s="235"/>
      <c r="K134" s="235"/>
      <c r="L134" s="235"/>
    </row>
    <row r="135" spans="2:12" x14ac:dyDescent="0.6">
      <c r="B135" s="220" t="s">
        <v>169</v>
      </c>
      <c r="C135" s="235">
        <f>SUM(C121:J121)+C129+F129</f>
        <v>585332.29283056327</v>
      </c>
      <c r="D135" s="235">
        <f>+D129+G129</f>
        <v>18875.318159999999</v>
      </c>
      <c r="E135" s="235">
        <f>+C135+D135</f>
        <v>604207.61099056329</v>
      </c>
      <c r="F135" s="235"/>
      <c r="G135" s="235"/>
      <c r="H135" s="235"/>
      <c r="I135" s="235"/>
      <c r="J135" s="235"/>
      <c r="K135" s="235"/>
      <c r="L135" s="235"/>
    </row>
    <row r="136" spans="2:12" ht="15.25" x14ac:dyDescent="1.05">
      <c r="B136" s="220" t="s">
        <v>170</v>
      </c>
      <c r="C136" s="284">
        <f>SUM(C122:J122)+C130+F130</f>
        <v>930119.02443906886</v>
      </c>
      <c r="D136" s="284">
        <f>+D130+G130</f>
        <v>37750.636319999998</v>
      </c>
      <c r="E136" s="284">
        <f>+C136+D136</f>
        <v>967869.66075906891</v>
      </c>
    </row>
    <row r="137" spans="2:12" x14ac:dyDescent="0.6">
      <c r="B137" s="220" t="s">
        <v>171</v>
      </c>
      <c r="C137" s="235">
        <f>+C136+C135</f>
        <v>1515451.3172696321</v>
      </c>
      <c r="D137" s="235">
        <f>+D131+G131</f>
        <v>56625.954479999993</v>
      </c>
      <c r="E137" s="289">
        <f>+C137+D137</f>
        <v>1572077.2717496322</v>
      </c>
    </row>
    <row r="138" spans="2:12" x14ac:dyDescent="0.6">
      <c r="B138" s="220"/>
      <c r="C138" s="255"/>
      <c r="E138" s="255"/>
    </row>
    <row r="139" spans="2:12" x14ac:dyDescent="0.6">
      <c r="C139" s="203"/>
      <c r="D139" s="203"/>
      <c r="E139" s="203"/>
      <c r="F139" s="203"/>
      <c r="G139" s="203"/>
      <c r="H139" s="203"/>
      <c r="I139" s="203"/>
      <c r="J139" s="203"/>
      <c r="K139" s="203"/>
      <c r="L139" s="203"/>
    </row>
    <row r="140" spans="2:12" x14ac:dyDescent="0.6">
      <c r="B140" s="202" t="s">
        <v>124</v>
      </c>
    </row>
    <row r="141" spans="2:12" x14ac:dyDescent="0.6">
      <c r="B141" s="220" t="s">
        <v>53</v>
      </c>
      <c r="C141" s="235">
        <f>+C24+D24+E24</f>
        <v>625429.92686025763</v>
      </c>
    </row>
    <row r="142" spans="2:12" ht="15.25" x14ac:dyDescent="1.05">
      <c r="B142" s="220" t="s">
        <v>54</v>
      </c>
      <c r="C142" s="284">
        <f>+C25+D25+E25</f>
        <v>946555.59414301952</v>
      </c>
      <c r="E142" s="290"/>
      <c r="F142" s="291"/>
      <c r="G142" s="291"/>
      <c r="H142" s="292"/>
    </row>
    <row r="143" spans="2:12" x14ac:dyDescent="0.6">
      <c r="B143" s="220" t="s">
        <v>19</v>
      </c>
      <c r="C143" s="235">
        <f>+C142+C141</f>
        <v>1571985.521003277</v>
      </c>
      <c r="E143" s="293" t="s">
        <v>253</v>
      </c>
      <c r="F143" s="5"/>
      <c r="G143" s="5"/>
      <c r="H143" s="294"/>
    </row>
    <row r="144" spans="2:12" x14ac:dyDescent="0.6">
      <c r="C144" s="255"/>
      <c r="E144" s="293" t="s">
        <v>245</v>
      </c>
      <c r="F144" s="9" t="s">
        <v>249</v>
      </c>
      <c r="G144" s="5"/>
      <c r="H144" s="294"/>
    </row>
    <row r="145" spans="1:10" x14ac:dyDescent="0.6">
      <c r="B145" s="201" t="s">
        <v>223</v>
      </c>
      <c r="C145" s="221"/>
      <c r="D145" s="221"/>
      <c r="E145" s="295" t="s">
        <v>246</v>
      </c>
      <c r="F145" s="5"/>
      <c r="G145" s="5"/>
      <c r="H145" s="294"/>
    </row>
    <row r="146" spans="1:10" x14ac:dyDescent="0.6">
      <c r="B146" s="220" t="s">
        <v>53</v>
      </c>
      <c r="C146" s="235">
        <f>+C141-E135</f>
        <v>21222.315869694343</v>
      </c>
      <c r="D146" s="296"/>
      <c r="E146" s="297">
        <f>ROUND(1+(C146/C135),5)</f>
        <v>1.03626</v>
      </c>
      <c r="F146" s="5"/>
      <c r="G146" s="5"/>
      <c r="H146" s="294"/>
    </row>
    <row r="147" spans="1:10" ht="15.25" x14ac:dyDescent="1.05">
      <c r="B147" s="220" t="s">
        <v>54</v>
      </c>
      <c r="C147" s="284">
        <f>+C142-E136</f>
        <v>-21314.066616049386</v>
      </c>
      <c r="D147" s="296"/>
      <c r="E147" s="297">
        <f>ROUND(1+(C147/C136),5)</f>
        <v>0.97707999999999995</v>
      </c>
      <c r="F147" s="5"/>
      <c r="G147" s="5"/>
      <c r="H147" s="294"/>
    </row>
    <row r="148" spans="1:10" x14ac:dyDescent="0.6">
      <c r="B148" s="220" t="s">
        <v>19</v>
      </c>
      <c r="C148" s="235">
        <f>+C143-E137</f>
        <v>-91.750746355159208</v>
      </c>
      <c r="D148" s="296"/>
      <c r="E148" s="298"/>
      <c r="F148" s="229"/>
      <c r="G148" s="229"/>
      <c r="H148" s="299"/>
    </row>
    <row r="150" spans="1:10" x14ac:dyDescent="0.6">
      <c r="C150" s="202" t="s">
        <v>225</v>
      </c>
    </row>
    <row r="151" spans="1:10" x14ac:dyDescent="0.6">
      <c r="C151" s="202" t="s">
        <v>226</v>
      </c>
    </row>
    <row r="153" spans="1:10" x14ac:dyDescent="0.6">
      <c r="A153" s="285" t="s">
        <v>254</v>
      </c>
      <c r="B153" s="283" t="s">
        <v>288</v>
      </c>
      <c r="C153" s="255"/>
      <c r="E153" s="255"/>
    </row>
    <row r="154" spans="1:10" x14ac:dyDescent="0.6">
      <c r="B154" s="207" t="s">
        <v>224</v>
      </c>
    </row>
    <row r="156" spans="1:10" x14ac:dyDescent="0.6">
      <c r="B156" s="206" t="s">
        <v>200</v>
      </c>
    </row>
    <row r="157" spans="1:10" x14ac:dyDescent="0.6">
      <c r="B157" s="207" t="s">
        <v>247</v>
      </c>
    </row>
    <row r="158" spans="1:10" x14ac:dyDescent="0.6">
      <c r="B158" s="206"/>
    </row>
    <row r="159" spans="1:10" x14ac:dyDescent="0.6">
      <c r="C159" s="203" t="str">
        <f>+C119</f>
        <v>RS</v>
      </c>
      <c r="D159" s="203" t="str">
        <f t="shared" ref="D159:J159" si="4">+D119</f>
        <v>RHS</v>
      </c>
      <c r="E159" s="203" t="str">
        <f t="shared" si="4"/>
        <v>RLM</v>
      </c>
      <c r="F159" s="203" t="str">
        <f t="shared" si="4"/>
        <v>WH</v>
      </c>
      <c r="G159" s="203" t="str">
        <f t="shared" si="4"/>
        <v>WHS</v>
      </c>
      <c r="H159" s="203" t="str">
        <f t="shared" si="4"/>
        <v>HS</v>
      </c>
      <c r="I159" s="203" t="str">
        <f t="shared" si="4"/>
        <v>PSAL</v>
      </c>
      <c r="J159" s="203" t="str">
        <f t="shared" si="4"/>
        <v>BPL</v>
      </c>
    </row>
    <row r="160" spans="1:10" x14ac:dyDescent="0.6">
      <c r="C160" s="285"/>
      <c r="D160" s="285"/>
      <c r="E160" s="285"/>
      <c r="F160" s="286"/>
      <c r="G160" s="286"/>
      <c r="H160" s="286"/>
      <c r="I160" s="286"/>
      <c r="J160" s="286"/>
    </row>
    <row r="161" spans="2:10" x14ac:dyDescent="0.6">
      <c r="B161" s="216" t="s">
        <v>23</v>
      </c>
      <c r="C161" s="285"/>
      <c r="D161" s="285"/>
      <c r="E161" s="285"/>
      <c r="F161" s="286">
        <f>ROUND(+F89*$E$146,4)</f>
        <v>5.8625999999999996</v>
      </c>
      <c r="G161" s="286">
        <f>ROUND(+G89*$E$146,4)</f>
        <v>5.8051000000000004</v>
      </c>
      <c r="H161" s="286">
        <f>ROUND(+H89*$E$146,4)</f>
        <v>6.6928000000000001</v>
      </c>
      <c r="I161" s="286">
        <f>ROUND(+I89*$E$146,4)</f>
        <v>5.4410999999999996</v>
      </c>
      <c r="J161" s="286">
        <f>ROUND(+J89*$E$146,4)</f>
        <v>5.4410999999999996</v>
      </c>
    </row>
    <row r="162" spans="2:10" x14ac:dyDescent="0.6">
      <c r="B162" s="234" t="s">
        <v>84</v>
      </c>
      <c r="C162" s="285"/>
      <c r="D162" s="285"/>
      <c r="E162" s="286">
        <f>ROUND(+E90*$E$146,4)</f>
        <v>8.0914000000000001</v>
      </c>
      <c r="G162" s="286"/>
      <c r="H162" s="286"/>
      <c r="I162" s="286"/>
      <c r="J162" s="285"/>
    </row>
    <row r="163" spans="2:10" x14ac:dyDescent="0.6">
      <c r="B163" s="234" t="s">
        <v>85</v>
      </c>
      <c r="C163" s="285"/>
      <c r="D163" s="285"/>
      <c r="E163" s="286">
        <f>ROUND(+E91*$E$146,4)</f>
        <v>5.2622</v>
      </c>
      <c r="F163" s="285"/>
      <c r="G163" s="285"/>
      <c r="H163" s="285"/>
      <c r="I163" s="285"/>
      <c r="J163" s="285"/>
    </row>
    <row r="164" spans="2:10" x14ac:dyDescent="0.6">
      <c r="B164" s="260"/>
      <c r="C164" s="285"/>
      <c r="D164" s="285"/>
      <c r="E164" s="285"/>
      <c r="F164" s="285"/>
      <c r="G164" s="285"/>
      <c r="H164" s="285"/>
      <c r="I164" s="285"/>
      <c r="J164" s="285"/>
    </row>
    <row r="165" spans="2:10" x14ac:dyDescent="0.6">
      <c r="B165" s="247" t="s">
        <v>165</v>
      </c>
      <c r="C165" s="286">
        <f>ROUND(+C93*$E$146,4)</f>
        <v>6.2923999999999998</v>
      </c>
      <c r="D165" s="286">
        <f>ROUND(+D93*$E$146,4)</f>
        <v>5.9414999999999996</v>
      </c>
      <c r="E165" s="285"/>
      <c r="F165" s="285"/>
      <c r="G165" s="285"/>
      <c r="H165" s="285"/>
      <c r="I165" s="285"/>
      <c r="J165" s="285"/>
    </row>
    <row r="166" spans="2:10" x14ac:dyDescent="0.6">
      <c r="B166" s="247" t="s">
        <v>166</v>
      </c>
      <c r="C166" s="286">
        <f>ROUND(+C94*$E$146,4)</f>
        <v>7.1890000000000001</v>
      </c>
      <c r="D166" s="286">
        <f>ROUND(+D94*$E$146,4)</f>
        <v>7.1402999999999999</v>
      </c>
      <c r="E166" s="285"/>
      <c r="F166" s="285"/>
      <c r="G166" s="285"/>
      <c r="H166" s="285"/>
      <c r="I166" s="285"/>
      <c r="J166" s="285"/>
    </row>
    <row r="167" spans="2:10" x14ac:dyDescent="0.6">
      <c r="C167" s="286"/>
      <c r="D167" s="286"/>
      <c r="E167" s="285"/>
      <c r="F167" s="285"/>
      <c r="G167" s="285"/>
      <c r="H167" s="285"/>
      <c r="I167" s="285"/>
      <c r="J167" s="285"/>
    </row>
    <row r="168" spans="2:10" x14ac:dyDescent="0.6">
      <c r="B168" s="216" t="s">
        <v>24</v>
      </c>
      <c r="C168" s="286">
        <f>ROUND(+C96*$E$147,4)</f>
        <v>6.6599000000000004</v>
      </c>
      <c r="D168" s="286">
        <f>ROUND(+D96*$E$147,4)</f>
        <v>6.7321</v>
      </c>
      <c r="E168" s="285"/>
      <c r="F168" s="286">
        <f>ROUND(+F96*$E$147,4)</f>
        <v>5.9614000000000003</v>
      </c>
      <c r="G168" s="286">
        <f>ROUND(+G96*$E$147,4)</f>
        <v>5.8529</v>
      </c>
      <c r="H168" s="286">
        <f>ROUND(+H96*$E$147,4)</f>
        <v>7.0151000000000003</v>
      </c>
      <c r="I168" s="286">
        <f>ROUND(+I96*$E$147,4)</f>
        <v>5.8169000000000004</v>
      </c>
      <c r="J168" s="286">
        <f>ROUND(+J96*$E$147,4)</f>
        <v>5.8169000000000004</v>
      </c>
    </row>
    <row r="169" spans="2:10" x14ac:dyDescent="0.6">
      <c r="B169" s="234" t="s">
        <v>84</v>
      </c>
      <c r="C169" s="285"/>
      <c r="D169" s="285"/>
      <c r="E169" s="286">
        <f>ROUND(+E97*$E$147,4)</f>
        <v>7.7617000000000003</v>
      </c>
      <c r="F169" s="285"/>
      <c r="G169" s="285"/>
      <c r="H169" s="285"/>
      <c r="I169" s="285"/>
      <c r="J169" s="285"/>
    </row>
    <row r="170" spans="2:10" x14ac:dyDescent="0.6">
      <c r="B170" s="234" t="s">
        <v>85</v>
      </c>
      <c r="C170" s="285"/>
      <c r="D170" s="285"/>
      <c r="E170" s="286">
        <f>ROUND(+E98*$E$147,4)</f>
        <v>5.6902999999999997</v>
      </c>
      <c r="F170" s="285"/>
      <c r="G170" s="285"/>
      <c r="H170" s="285"/>
      <c r="I170" s="285"/>
      <c r="J170" s="285"/>
    </row>
    <row r="171" spans="2:10" x14ac:dyDescent="0.6">
      <c r="C171" s="285"/>
      <c r="D171" s="285"/>
      <c r="E171" s="286"/>
      <c r="F171" s="285"/>
      <c r="G171" s="285"/>
      <c r="H171" s="285"/>
      <c r="I171" s="285"/>
      <c r="J171" s="285"/>
    </row>
    <row r="174" spans="2:10" x14ac:dyDescent="0.6">
      <c r="B174" s="206" t="s">
        <v>201</v>
      </c>
    </row>
    <row r="175" spans="2:10" x14ac:dyDescent="0.6">
      <c r="B175" s="207" t="s">
        <v>248</v>
      </c>
    </row>
    <row r="176" spans="2:10" x14ac:dyDescent="0.6">
      <c r="B176" s="204"/>
    </row>
    <row r="177" spans="1:12" x14ac:dyDescent="0.6">
      <c r="C177" s="203" t="str">
        <f>+C105</f>
        <v>GLP</v>
      </c>
      <c r="D177" s="203"/>
      <c r="E177" s="203" t="str">
        <f>+E105</f>
        <v>LPL-S</v>
      </c>
      <c r="F177" s="203"/>
      <c r="H177" s="206" t="s">
        <v>31</v>
      </c>
      <c r="I177" s="203" t="str">
        <f>+C177</f>
        <v>GLP</v>
      </c>
      <c r="J177" s="203" t="str">
        <f>+E177</f>
        <v>LPL-S</v>
      </c>
    </row>
    <row r="178" spans="1:12" x14ac:dyDescent="0.6">
      <c r="F178" s="263"/>
    </row>
    <row r="179" spans="1:12" x14ac:dyDescent="0.6">
      <c r="B179" s="216" t="s">
        <v>23</v>
      </c>
      <c r="C179" s="286">
        <f>ROUND(+C107*$E$146,4)</f>
        <v>5.8807</v>
      </c>
      <c r="D179" s="286"/>
      <c r="E179" s="286"/>
      <c r="F179" s="258"/>
      <c r="H179" s="249" t="s">
        <v>28</v>
      </c>
    </row>
    <row r="180" spans="1:12" x14ac:dyDescent="0.6">
      <c r="B180" s="234" t="s">
        <v>84</v>
      </c>
      <c r="C180" s="286"/>
      <c r="D180" s="286"/>
      <c r="E180" s="286">
        <f>ROUND(+E108*$E$146,4)</f>
        <v>6.5011000000000001</v>
      </c>
      <c r="F180" s="259"/>
      <c r="H180" s="222" t="s">
        <v>47</v>
      </c>
      <c r="I180" s="300">
        <f>+I108</f>
        <v>1.6327</v>
      </c>
      <c r="J180" s="300">
        <f>+J108</f>
        <v>1.6327</v>
      </c>
    </row>
    <row r="181" spans="1:12" x14ac:dyDescent="0.6">
      <c r="B181" s="234" t="s">
        <v>85</v>
      </c>
      <c r="C181" s="286"/>
      <c r="D181" s="286"/>
      <c r="E181" s="286">
        <f>ROUND(+E109*$E$146,4)</f>
        <v>5.2431999999999999</v>
      </c>
      <c r="F181" s="259"/>
      <c r="H181" s="222" t="s">
        <v>48</v>
      </c>
      <c r="I181" s="300">
        <f>+I109</f>
        <v>1.6327</v>
      </c>
      <c r="J181" s="300">
        <f>+J109</f>
        <v>1.6327</v>
      </c>
    </row>
    <row r="182" spans="1:12" x14ac:dyDescent="0.6">
      <c r="C182" s="286"/>
      <c r="D182" s="286"/>
      <c r="E182" s="286"/>
      <c r="F182" s="259"/>
      <c r="H182" s="222"/>
      <c r="I182" s="264"/>
      <c r="J182" s="264"/>
    </row>
    <row r="183" spans="1:12" x14ac:dyDescent="0.6">
      <c r="B183" s="216" t="s">
        <v>24</v>
      </c>
      <c r="C183" s="286">
        <f>ROUND(+C111*$E$147,4)</f>
        <v>5.8085000000000004</v>
      </c>
      <c r="D183" s="286"/>
      <c r="E183" s="286"/>
      <c r="F183" s="259"/>
      <c r="H183" s="249" t="s">
        <v>29</v>
      </c>
      <c r="I183" s="252"/>
      <c r="J183" s="252"/>
    </row>
    <row r="184" spans="1:12" x14ac:dyDescent="0.6">
      <c r="B184" s="234" t="s">
        <v>84</v>
      </c>
      <c r="C184" s="286"/>
      <c r="D184" s="286"/>
      <c r="E184" s="286">
        <f>ROUND(+E112*$E$147,4)</f>
        <v>6.0930999999999997</v>
      </c>
      <c r="F184" s="259"/>
      <c r="H184" s="222" t="s">
        <v>49</v>
      </c>
      <c r="I184" s="300">
        <f>+I112</f>
        <v>0</v>
      </c>
      <c r="J184" s="300">
        <f>+J112</f>
        <v>0</v>
      </c>
    </row>
    <row r="185" spans="1:12" x14ac:dyDescent="0.6">
      <c r="B185" s="234" t="s">
        <v>85</v>
      </c>
      <c r="C185" s="286"/>
      <c r="D185" s="286"/>
      <c r="E185" s="286">
        <f>ROUND(+E113*$E$147,4)</f>
        <v>5.5397999999999996</v>
      </c>
      <c r="F185" s="259"/>
    </row>
    <row r="189" spans="1:12" x14ac:dyDescent="0.6">
      <c r="A189" s="285" t="s">
        <v>257</v>
      </c>
      <c r="B189" s="206" t="s">
        <v>255</v>
      </c>
      <c r="C189" s="255"/>
      <c r="E189" s="255"/>
    </row>
    <row r="190" spans="1:12" x14ac:dyDescent="0.6">
      <c r="C190" s="255"/>
      <c r="E190" s="255"/>
    </row>
    <row r="191" spans="1:12" x14ac:dyDescent="0.6">
      <c r="C191" s="203" t="s">
        <v>0</v>
      </c>
      <c r="D191" s="203" t="s">
        <v>1</v>
      </c>
      <c r="E191" s="203" t="s">
        <v>2</v>
      </c>
      <c r="F191" s="203" t="s">
        <v>3</v>
      </c>
      <c r="G191" s="203" t="s">
        <v>4</v>
      </c>
      <c r="H191" s="203" t="s">
        <v>6</v>
      </c>
      <c r="I191" s="203" t="s">
        <v>37</v>
      </c>
      <c r="J191" s="203" t="s">
        <v>38</v>
      </c>
      <c r="K191" s="203" t="s">
        <v>5</v>
      </c>
      <c r="L191" s="203" t="s">
        <v>36</v>
      </c>
    </row>
    <row r="192" spans="1:12" x14ac:dyDescent="0.6">
      <c r="B192" s="202" t="s">
        <v>123</v>
      </c>
    </row>
    <row r="193" spans="2:12" x14ac:dyDescent="0.6">
      <c r="B193" s="220" t="s">
        <v>53</v>
      </c>
      <c r="C193" s="237">
        <f>+C165/100*'Att 2'!O53+'Att 3'!C166/100*'Att 2'!O54</f>
        <v>364866.76063878887</v>
      </c>
      <c r="D193" s="237">
        <f>+D165/100*'Att 2'!P53+'Att 3'!D166/100*'Att 2'!P54</f>
        <v>1306.7157045521171</v>
      </c>
      <c r="E193" s="270">
        <f>+E162/100*'Att 2'!Q50+E163/100*'Att 2'!Q51</f>
        <v>5067.265072878954</v>
      </c>
      <c r="F193" s="237">
        <f>+F161/100*'Att 2'!R49</f>
        <v>9.6146639999999994</v>
      </c>
      <c r="G193" s="237">
        <f>+G161/100*'Att 2'!S49</f>
        <v>0.174153</v>
      </c>
      <c r="H193" s="237">
        <f>+H161/100*'Att 2'!T49</f>
        <v>114.11023481259201</v>
      </c>
      <c r="I193" s="237">
        <f>+I161/100*'Att 2'!U49</f>
        <v>2113.5952949999996</v>
      </c>
      <c r="J193" s="237">
        <f>+J161/100*'Att 2'!V49</f>
        <v>4340.3110589999997</v>
      </c>
      <c r="K193" s="270">
        <f>+C179/100*'Att 2'!W49+I180*'Att 2'!K147*4+'Att 3'!I184*'Att 2'!K149*4</f>
        <v>144383.70372203461</v>
      </c>
      <c r="L193" s="270">
        <f>+E180/100*'Att 2'!X50+'Att 3'!E181/100*'Att 2'!X51+'Att 3'!J180*'Att 2'!L147*4+'Att 3'!J184*'Att 2'!L149*4</f>
        <v>103232.33816243452</v>
      </c>
    </row>
    <row r="194" spans="2:12" ht="15.25" x14ac:dyDescent="1.05">
      <c r="B194" s="220" t="s">
        <v>54</v>
      </c>
      <c r="C194" s="238">
        <f>+C168/100*'Att 2'!O45</f>
        <v>474068.01495457691</v>
      </c>
      <c r="D194" s="238">
        <f>+D168/100*'Att 2'!P45</f>
        <v>4702.5788668796777</v>
      </c>
      <c r="E194" s="238">
        <f>+E169/100*'Att 2'!Q46+'Att 3'!E170/100*'Att 2'!Q47</f>
        <v>6501.4219549489735</v>
      </c>
      <c r="F194" s="238">
        <f>+F168/100*'Att 2'!R45</f>
        <v>24.501353999999999</v>
      </c>
      <c r="G194" s="238">
        <f>+G168/100*'Att 2'!S45</f>
        <v>0.46823199999999998</v>
      </c>
      <c r="H194" s="238">
        <f>+H168/100*'Att 2'!T45</f>
        <v>445.37025218153576</v>
      </c>
      <c r="I194" s="238">
        <f>+I168/100*'Att 2'!U45</f>
        <v>5976.0503840000001</v>
      </c>
      <c r="J194" s="238">
        <f>+J168/100*'Att 2'!V45</f>
        <v>12824.635768000002</v>
      </c>
      <c r="K194" s="288">
        <f>+C183/100*'Att 2'!W45+'Att 3'!I181*'Att 2'!K147*8+'Att 3'!I184*'Att 2'!K149*8</f>
        <v>249666.47498770233</v>
      </c>
      <c r="L194" s="288">
        <f>+E184/100*'Att 2'!X46+'Att 3'!E185/100*'Att 2'!X47+'Att 3'!J181*'Att 2'!L147*8+'Att 3'!J184*'Att 2'!L149*8</f>
        <v>192341.64435021655</v>
      </c>
    </row>
    <row r="195" spans="2:12" x14ac:dyDescent="0.6">
      <c r="B195" s="220" t="s">
        <v>19</v>
      </c>
      <c r="C195" s="235">
        <f t="shared" ref="C195:L195" si="5">+C194+C193</f>
        <v>838934.77559336578</v>
      </c>
      <c r="D195" s="235">
        <f t="shared" si="5"/>
        <v>6009.2945714317948</v>
      </c>
      <c r="E195" s="235">
        <f t="shared" si="5"/>
        <v>11568.687027827928</v>
      </c>
      <c r="F195" s="235">
        <f t="shared" si="5"/>
        <v>34.116017999999997</v>
      </c>
      <c r="G195" s="235">
        <f t="shared" si="5"/>
        <v>0.64238499999999998</v>
      </c>
      <c r="H195" s="235">
        <f t="shared" si="5"/>
        <v>559.48048699412777</v>
      </c>
      <c r="I195" s="235">
        <f t="shared" si="5"/>
        <v>8089.6456789999993</v>
      </c>
      <c r="J195" s="235">
        <f t="shared" si="5"/>
        <v>17164.946827</v>
      </c>
      <c r="K195" s="235">
        <f t="shared" si="5"/>
        <v>394050.17870973691</v>
      </c>
      <c r="L195" s="235">
        <f t="shared" si="5"/>
        <v>295573.98251265107</v>
      </c>
    </row>
    <row r="196" spans="2:12" x14ac:dyDescent="0.6">
      <c r="B196" s="220"/>
      <c r="C196" s="235"/>
      <c r="D196" s="235"/>
      <c r="E196" s="235"/>
      <c r="F196" s="235"/>
      <c r="G196" s="235"/>
      <c r="H196" s="235"/>
      <c r="I196" s="235"/>
      <c r="J196" s="235"/>
      <c r="K196" s="235"/>
      <c r="L196" s="235"/>
    </row>
    <row r="197" spans="2:12" x14ac:dyDescent="0.6">
      <c r="B197" s="220" t="s">
        <v>169</v>
      </c>
      <c r="C197" s="235">
        <f>SUM(C193:L193)</f>
        <v>625434.58870650164</v>
      </c>
      <c r="D197" s="235"/>
      <c r="E197" s="235"/>
      <c r="F197" s="235"/>
      <c r="G197" s="235"/>
      <c r="H197" s="235"/>
      <c r="I197" s="235"/>
      <c r="J197" s="235"/>
      <c r="K197" s="235"/>
      <c r="L197" s="235"/>
    </row>
    <row r="198" spans="2:12" ht="15.25" x14ac:dyDescent="1.05">
      <c r="B198" s="220" t="s">
        <v>170</v>
      </c>
      <c r="C198" s="284">
        <f>SUM(C194:L194)</f>
        <v>946551.16110450588</v>
      </c>
      <c r="E198" s="255"/>
    </row>
    <row r="199" spans="2:12" x14ac:dyDescent="0.6">
      <c r="B199" s="220" t="s">
        <v>171</v>
      </c>
      <c r="C199" s="235">
        <f>+C198+C197</f>
        <v>1571985.7498110076</v>
      </c>
      <c r="E199" s="255"/>
    </row>
    <row r="200" spans="2:12" x14ac:dyDescent="0.6">
      <c r="B200" s="220"/>
      <c r="C200" s="255"/>
      <c r="E200" s="255"/>
    </row>
    <row r="201" spans="2:12" x14ac:dyDescent="0.6">
      <c r="C201" s="203"/>
      <c r="D201" s="203"/>
      <c r="E201" s="203"/>
      <c r="F201" s="203"/>
      <c r="G201" s="203"/>
      <c r="H201" s="203"/>
      <c r="I201" s="203"/>
      <c r="J201" s="203"/>
      <c r="K201" s="203"/>
      <c r="L201" s="203"/>
    </row>
    <row r="202" spans="2:12" x14ac:dyDescent="0.6">
      <c r="B202" s="202" t="s">
        <v>124</v>
      </c>
    </row>
    <row r="203" spans="2:12" x14ac:dyDescent="0.6">
      <c r="B203" s="220" t="s">
        <v>53</v>
      </c>
      <c r="C203" s="235">
        <f>+C24+D24+E24</f>
        <v>625429.92686025763</v>
      </c>
    </row>
    <row r="204" spans="2:12" ht="15.25" x14ac:dyDescent="1.05">
      <c r="B204" s="220" t="s">
        <v>54</v>
      </c>
      <c r="C204" s="284">
        <f>+C25+D25+E25</f>
        <v>946555.59414301952</v>
      </c>
    </row>
    <row r="205" spans="2:12" x14ac:dyDescent="0.6">
      <c r="B205" s="220" t="s">
        <v>19</v>
      </c>
      <c r="C205" s="235">
        <f>+C204+C203</f>
        <v>1571985.521003277</v>
      </c>
      <c r="D205" s="235"/>
      <c r="G205" s="220"/>
    </row>
    <row r="206" spans="2:12" x14ac:dyDescent="0.6">
      <c r="C206" s="255"/>
      <c r="E206" s="255"/>
      <c r="G206" s="220"/>
    </row>
    <row r="207" spans="2:12" x14ac:dyDescent="0.6">
      <c r="B207" s="201" t="s">
        <v>223</v>
      </c>
      <c r="C207" s="235"/>
      <c r="E207" s="244" t="s">
        <v>227</v>
      </c>
      <c r="G207" s="244"/>
    </row>
    <row r="208" spans="2:12" x14ac:dyDescent="0.6">
      <c r="B208" s="220" t="s">
        <v>53</v>
      </c>
      <c r="C208" s="235">
        <f>+C197-C203</f>
        <v>4.6618462440092117</v>
      </c>
      <c r="E208" s="296">
        <f>+C208/C197</f>
        <v>7.4537710708495545E-6</v>
      </c>
    </row>
    <row r="209" spans="2:5" ht="15.25" x14ac:dyDescent="1.05">
      <c r="B209" s="220" t="s">
        <v>54</v>
      </c>
      <c r="C209" s="284">
        <f>+C198-C204</f>
        <v>-4.4330385136418045</v>
      </c>
      <c r="E209" s="301">
        <f>+C209/C198</f>
        <v>-4.6833585925445461E-6</v>
      </c>
    </row>
    <row r="210" spans="2:5" x14ac:dyDescent="0.6">
      <c r="B210" s="220" t="s">
        <v>19</v>
      </c>
      <c r="C210" s="235">
        <f>+C199-C205</f>
        <v>0.22880773060023785</v>
      </c>
      <c r="E210" s="296">
        <f>+C210/C199</f>
        <v>1.4555331091757435E-7</v>
      </c>
    </row>
    <row r="212" spans="2:5" x14ac:dyDescent="0.6">
      <c r="C212" s="243"/>
    </row>
  </sheetData>
  <customSheetViews>
    <customSheetView guid="{782F5CFE-DE26-4D5A-B82E-30A424B0A39B}"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1"/>
      <headerFooter alignWithMargins="0">
        <oddHeader>&amp;CPublic Service Electric and Gas Company Specific Addendum
Attachment 3</oddHeader>
        <oddFooter>&amp;CPage &amp;P of &amp;N</oddFooter>
      </headerFooter>
    </customSheetView>
    <customSheetView guid="{88B031DE-0423-45A5-B384-E560A52FDD07}"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2"/>
      <headerFooter alignWithMargins="0">
        <oddHeader>&amp;CPublic Service Electric and Gas Company Specific Addendum
Attachment 3</oddHeader>
        <oddFooter>&amp;CPage &amp;P of &amp;N</oddFooter>
      </headerFooter>
    </customSheetView>
    <customSheetView guid="{D5524E47-947F-4D9F-AE8B-3F0380261994}" fitToPage="1" hiddenRows="1" topLeftCell="A76">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3"/>
      <headerFooter alignWithMargins="0">
        <oddHeader>&amp;CPublic Service Electric and Gas Company Specific Addendum
Attachment 3</oddHeader>
        <oddFooter>&amp;CPage &amp;P of &amp;N</oddFooter>
      </headerFooter>
    </customSheetView>
    <customSheetView guid="{9BF7FAF1-D686-4A6B-A2BE-0DAD43841920}"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4"/>
      <headerFooter alignWithMargins="0">
        <oddHeader>&amp;CPublic Service Electric and Gas Company Specific Addendum
Attachment 3</oddHeader>
        <oddFooter>&amp;CPage &amp;P of &amp;N</oddFooter>
      </headerFooter>
    </customSheetView>
  </customSheetViews>
  <phoneticPr fontId="0" type="noConversion"/>
  <pageMargins left="0.75" right="0.75" top="1" bottom="1" header="0.5" footer="0.5"/>
  <pageSetup scale="66" fitToHeight="0" orientation="landscape" r:id="rId5"/>
  <headerFooter alignWithMargins="0">
    <oddHeader>&amp;CPublic Service Electric and Gas Company Specific Addendum
Attachment 3</oddHeader>
    <oddFooter>&amp;CPage &amp;P of  &amp;N</oddFooter>
  </headerFooter>
  <rowBreaks count="7" manualBreakCount="7">
    <brk id="40" max="11" man="1"/>
    <brk id="79" max="11" man="1"/>
    <brk id="115" max="11" man="1"/>
    <brk id="151" max="11" man="1"/>
    <brk id="187" max="11" man="1"/>
    <brk id="212" max="11" man="1"/>
    <brk id="25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8"/>
  <sheetViews>
    <sheetView view="pageBreakPreview" zoomScaleNormal="100" zoomScaleSheetLayoutView="100" workbookViewId="0"/>
  </sheetViews>
  <sheetFormatPr defaultColWidth="9.1328125" defaultRowHeight="13" x14ac:dyDescent="0.6"/>
  <cols>
    <col min="1" max="1" width="3.26953125" style="114" bestFit="1" customWidth="1"/>
    <col min="2" max="2" width="62.54296875" style="114" bestFit="1" customWidth="1"/>
    <col min="3" max="4" width="22.1328125" style="114" customWidth="1"/>
    <col min="5" max="5" width="6.26953125" style="114" customWidth="1"/>
    <col min="6" max="6" width="52.54296875" style="114" customWidth="1"/>
    <col min="7" max="7" width="3.1328125" style="114" customWidth="1"/>
    <col min="8" max="8" width="1.7265625" style="114" customWidth="1"/>
    <col min="9" max="16384" width="9.1328125" style="114"/>
  </cols>
  <sheetData>
    <row r="1" spans="1:8" ht="28.5" customHeight="1" x14ac:dyDescent="0.7">
      <c r="A1" s="302"/>
      <c r="B1" s="303" t="s">
        <v>336</v>
      </c>
      <c r="C1" s="302"/>
      <c r="D1" s="302"/>
      <c r="E1" s="304"/>
      <c r="F1" s="302"/>
      <c r="G1" s="302"/>
      <c r="H1" s="302"/>
    </row>
    <row r="2" spans="1:8" ht="25.5" customHeight="1" x14ac:dyDescent="0.7">
      <c r="A2" s="302"/>
      <c r="B2" s="486" t="s">
        <v>376</v>
      </c>
      <c r="C2" s="305"/>
      <c r="D2" s="305"/>
      <c r="E2" s="497"/>
      <c r="F2" s="497"/>
      <c r="G2" s="497"/>
      <c r="H2" s="497"/>
    </row>
    <row r="3" spans="1:8" ht="65" x14ac:dyDescent="0.6">
      <c r="A3" s="302"/>
      <c r="B3" s="302"/>
      <c r="C3" s="306" t="s">
        <v>377</v>
      </c>
      <c r="D3" s="306" t="s">
        <v>378</v>
      </c>
      <c r="E3" s="302"/>
      <c r="F3" s="307" t="s">
        <v>203</v>
      </c>
      <c r="G3" s="302"/>
      <c r="H3" s="302"/>
    </row>
    <row r="4" spans="1:8" x14ac:dyDescent="0.6">
      <c r="A4" s="302">
        <v>1</v>
      </c>
      <c r="B4" s="308" t="s">
        <v>369</v>
      </c>
      <c r="C4" s="484">
        <v>49.59</v>
      </c>
      <c r="D4" s="484">
        <v>49.59</v>
      </c>
      <c r="E4" s="302"/>
      <c r="F4" s="309" t="s">
        <v>368</v>
      </c>
      <c r="G4" s="302"/>
      <c r="H4" s="302"/>
    </row>
    <row r="5" spans="1:8" x14ac:dyDescent="0.6">
      <c r="A5" s="302">
        <v>2</v>
      </c>
      <c r="B5" s="308" t="s">
        <v>337</v>
      </c>
      <c r="C5" s="310">
        <v>166.64</v>
      </c>
      <c r="D5" s="310">
        <v>128.79</v>
      </c>
      <c r="E5" s="302"/>
      <c r="F5" s="302" t="s">
        <v>379</v>
      </c>
      <c r="G5" s="302"/>
      <c r="H5" s="302"/>
    </row>
    <row r="6" spans="1:8" x14ac:dyDescent="0.6">
      <c r="A6" s="302"/>
      <c r="B6" s="302"/>
      <c r="C6" s="311"/>
      <c r="D6" s="311"/>
      <c r="E6" s="302"/>
      <c r="F6" s="302"/>
      <c r="G6" s="302"/>
      <c r="H6" s="302"/>
    </row>
    <row r="7" spans="1:8" x14ac:dyDescent="0.6">
      <c r="A7" s="302">
        <v>3</v>
      </c>
      <c r="B7" s="308" t="s">
        <v>338</v>
      </c>
      <c r="C7" s="312">
        <f>C4-C5</f>
        <v>-117.04999999999998</v>
      </c>
      <c r="D7" s="312">
        <f>D4-D5</f>
        <v>-79.199999999999989</v>
      </c>
      <c r="E7" s="302"/>
      <c r="F7" s="302" t="s">
        <v>339</v>
      </c>
      <c r="G7" s="302"/>
      <c r="H7" s="302"/>
    </row>
    <row r="8" spans="1:8" x14ac:dyDescent="0.6">
      <c r="A8" s="302">
        <v>4</v>
      </c>
      <c r="B8" s="308" t="s">
        <v>340</v>
      </c>
      <c r="C8" s="313">
        <f>SUM('Att 2'!C147:L147)</f>
        <v>8133.2000000000007</v>
      </c>
      <c r="D8" s="313">
        <f>SUM('Att 2'!C147:L147)</f>
        <v>8133.2000000000007</v>
      </c>
      <c r="E8" s="302"/>
      <c r="F8" s="302"/>
      <c r="G8" s="302"/>
      <c r="H8" s="302"/>
    </row>
    <row r="9" spans="1:8" x14ac:dyDescent="0.6">
      <c r="A9" s="302">
        <v>5</v>
      </c>
      <c r="B9" s="308" t="s">
        <v>341</v>
      </c>
      <c r="C9" s="314">
        <v>366</v>
      </c>
      <c r="D9" s="314">
        <v>366</v>
      </c>
      <c r="E9" s="302"/>
      <c r="F9" s="302"/>
      <c r="G9" s="302"/>
      <c r="H9" s="302"/>
    </row>
    <row r="10" spans="1:8" x14ac:dyDescent="0.6">
      <c r="A10" s="302">
        <v>6</v>
      </c>
      <c r="B10" s="308" t="s">
        <v>342</v>
      </c>
      <c r="C10" s="315">
        <f>C7*C8*C9</f>
        <v>-348428727.95999998</v>
      </c>
      <c r="D10" s="315">
        <f>D7*D8*D9</f>
        <v>-235758695.03999999</v>
      </c>
      <c r="E10" s="302"/>
      <c r="F10" s="302" t="s">
        <v>343</v>
      </c>
      <c r="G10" s="302"/>
      <c r="H10" s="302"/>
    </row>
    <row r="11" spans="1:8" x14ac:dyDescent="0.6">
      <c r="A11" s="302"/>
      <c r="B11" s="308"/>
      <c r="C11" s="316"/>
      <c r="D11" s="316"/>
      <c r="E11" s="302"/>
      <c r="F11" s="302"/>
      <c r="G11" s="302"/>
      <c r="H11" s="302"/>
    </row>
    <row r="12" spans="1:8" x14ac:dyDescent="0.6">
      <c r="A12" s="302">
        <v>7</v>
      </c>
      <c r="B12" s="317" t="s">
        <v>332</v>
      </c>
      <c r="C12" s="318">
        <f>'Att 3'!C13</f>
        <v>29</v>
      </c>
      <c r="D12" s="318">
        <f>'Att 3'!D13</f>
        <v>28</v>
      </c>
      <c r="E12" s="302"/>
      <c r="F12" s="302" t="s">
        <v>344</v>
      </c>
      <c r="G12" s="302"/>
      <c r="H12" s="302"/>
    </row>
    <row r="13" spans="1:8" x14ac:dyDescent="0.6">
      <c r="A13" s="302">
        <v>8</v>
      </c>
      <c r="B13" s="308" t="s">
        <v>313</v>
      </c>
      <c r="C13" s="319">
        <f>SUM('Att 3'!C13:E13)</f>
        <v>85</v>
      </c>
      <c r="D13" s="319">
        <f>'Att 3'!D14</f>
        <v>85</v>
      </c>
      <c r="E13" s="302"/>
      <c r="F13" s="302" t="s">
        <v>344</v>
      </c>
      <c r="G13" s="302"/>
      <c r="H13" s="302"/>
    </row>
    <row r="14" spans="1:8" x14ac:dyDescent="0.6">
      <c r="A14" s="302">
        <v>9</v>
      </c>
      <c r="B14" s="308" t="s">
        <v>345</v>
      </c>
      <c r="C14" s="320">
        <f>+C12/C13</f>
        <v>0.3411764705882353</v>
      </c>
      <c r="D14" s="320">
        <f>+D12/D13</f>
        <v>0.32941176470588235</v>
      </c>
      <c r="E14" s="302"/>
      <c r="F14" s="302" t="s">
        <v>346</v>
      </c>
      <c r="G14" s="302"/>
      <c r="H14" s="302"/>
    </row>
    <row r="15" spans="1:8" x14ac:dyDescent="0.6">
      <c r="A15" s="302"/>
      <c r="B15" s="308"/>
      <c r="C15" s="316"/>
      <c r="D15" s="316"/>
      <c r="E15" s="302"/>
      <c r="F15" s="302"/>
      <c r="G15" s="302"/>
      <c r="H15" s="302"/>
    </row>
    <row r="16" spans="1:8" x14ac:dyDescent="0.6">
      <c r="A16" s="302">
        <v>10</v>
      </c>
      <c r="B16" s="308" t="s">
        <v>347</v>
      </c>
      <c r="C16" s="316">
        <f>C10*C14</f>
        <v>-118875683.65694118</v>
      </c>
      <c r="D16" s="316">
        <f>D10*D14</f>
        <v>-77661687.777882352</v>
      </c>
      <c r="E16" s="302"/>
      <c r="F16" s="302" t="s">
        <v>348</v>
      </c>
      <c r="G16" s="302"/>
      <c r="H16" s="302"/>
    </row>
    <row r="17" spans="1:8" x14ac:dyDescent="0.6">
      <c r="A17" s="302"/>
      <c r="B17" s="308"/>
      <c r="C17" s="316"/>
      <c r="D17" s="316"/>
      <c r="E17" s="302"/>
      <c r="F17" s="302"/>
      <c r="G17" s="302"/>
      <c r="H17" s="302"/>
    </row>
    <row r="18" spans="1:8" x14ac:dyDescent="0.6">
      <c r="A18" s="302">
        <v>11</v>
      </c>
      <c r="B18" s="206" t="s">
        <v>349</v>
      </c>
      <c r="C18" s="321">
        <f>'Att 2'!C354</f>
        <v>25507456.310352843</v>
      </c>
      <c r="D18" s="321">
        <f>'Att 2'!C354</f>
        <v>25507456.310352843</v>
      </c>
      <c r="E18" s="302"/>
      <c r="F18" s="302"/>
      <c r="G18" s="302"/>
      <c r="H18" s="302"/>
    </row>
    <row r="19" spans="1:8" x14ac:dyDescent="0.6">
      <c r="A19" s="302">
        <v>12</v>
      </c>
      <c r="B19" s="308" t="s">
        <v>350</v>
      </c>
      <c r="C19" s="322">
        <f>+C14*C18</f>
        <v>8702543.9176497944</v>
      </c>
      <c r="D19" s="322">
        <f>+D14*D18</f>
        <v>8402456.1963515244</v>
      </c>
      <c r="E19" s="302"/>
      <c r="F19" s="302" t="s">
        <v>351</v>
      </c>
      <c r="G19" s="302"/>
      <c r="H19" s="302"/>
    </row>
    <row r="20" spans="1:8" x14ac:dyDescent="0.6">
      <c r="A20" s="302"/>
      <c r="B20" s="308"/>
      <c r="C20" s="323"/>
      <c r="D20" s="323"/>
      <c r="E20" s="302"/>
      <c r="F20" s="302"/>
      <c r="G20" s="302"/>
      <c r="H20" s="302"/>
    </row>
    <row r="21" spans="1:8" ht="13.75" thickBot="1" x14ac:dyDescent="0.75">
      <c r="A21" s="302">
        <v>13</v>
      </c>
      <c r="B21" s="308" t="s">
        <v>352</v>
      </c>
      <c r="C21" s="324">
        <f>ROUND(+C16/C19,2)</f>
        <v>-13.66</v>
      </c>
      <c r="D21" s="324">
        <f>ROUND(+D16/D19,2)</f>
        <v>-9.24</v>
      </c>
      <c r="E21" s="302"/>
      <c r="F21" s="302" t="s">
        <v>353</v>
      </c>
      <c r="G21" s="302"/>
      <c r="H21" s="302"/>
    </row>
    <row r="22" spans="1:8" ht="13.75" thickTop="1" x14ac:dyDescent="0.6">
      <c r="B22" s="115"/>
      <c r="C22" s="140"/>
      <c r="F22" s="139"/>
    </row>
    <row r="23" spans="1:8" x14ac:dyDescent="0.6">
      <c r="B23" s="115"/>
      <c r="C23" s="140"/>
      <c r="F23" s="139"/>
    </row>
    <row r="24" spans="1:8" x14ac:dyDescent="0.6">
      <c r="B24" s="115"/>
      <c r="C24" s="140"/>
      <c r="F24" s="139"/>
    </row>
    <row r="25" spans="1:8" x14ac:dyDescent="0.6">
      <c r="B25" s="85"/>
    </row>
    <row r="26" spans="1:8" x14ac:dyDescent="0.6">
      <c r="B26" s="85"/>
      <c r="C26" s="141"/>
      <c r="F26" s="84"/>
    </row>
    <row r="27" spans="1:8" x14ac:dyDescent="0.6">
      <c r="B27" s="85"/>
    </row>
    <row r="28" spans="1:8" x14ac:dyDescent="0.6">
      <c r="B28" s="115"/>
      <c r="C28" s="142"/>
      <c r="F28" s="139"/>
    </row>
  </sheetData>
  <mergeCells count="1">
    <mergeCell ref="E2:H2"/>
  </mergeCells>
  <pageMargins left="0.7" right="0.7" top="1" bottom="0.75" header="0.3" footer="0.3"/>
  <pageSetup scale="71" fitToHeight="0" orientation="landscape" r:id="rId1"/>
  <headerFooter>
    <oddHeader>&amp;C&amp;"Arial,Bold"Public Service Electric and Gas Company Specific Addendum
Attachment 4</oddHeader>
    <oddFooter>&amp;C&amp;"Arial,Bold"Page 3 of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1"/>
  <sheetViews>
    <sheetView view="pageBreakPreview" zoomScaleNormal="115" zoomScaleSheetLayoutView="100" workbookViewId="0"/>
  </sheetViews>
  <sheetFormatPr defaultColWidth="9.1328125" defaultRowHeight="13" x14ac:dyDescent="0.6"/>
  <cols>
    <col min="1" max="1" width="3.26953125" style="114" bestFit="1" customWidth="1"/>
    <col min="2" max="2" width="62.54296875" style="114" bestFit="1" customWidth="1"/>
    <col min="3" max="4" width="22.1328125" style="114" customWidth="1"/>
    <col min="5" max="5" width="5.1328125" style="114" customWidth="1"/>
    <col min="6" max="6" width="55.86328125" style="114" bestFit="1" customWidth="1"/>
    <col min="7" max="7" width="2.54296875" style="114" customWidth="1"/>
    <col min="8" max="8" width="9.1328125" style="114"/>
    <col min="9" max="9" width="12.40625" style="114" customWidth="1"/>
    <col min="10" max="16384" width="9.1328125" style="114"/>
  </cols>
  <sheetData>
    <row r="1" spans="1:10" ht="30" customHeight="1" x14ac:dyDescent="0.7">
      <c r="A1" s="302"/>
      <c r="B1" s="303" t="s">
        <v>336</v>
      </c>
      <c r="C1" s="302"/>
      <c r="D1" s="302"/>
      <c r="E1" s="302"/>
      <c r="F1" s="302"/>
      <c r="G1" s="302"/>
    </row>
    <row r="2" spans="1:10" ht="61.5" customHeight="1" x14ac:dyDescent="0.7">
      <c r="A2" s="302"/>
      <c r="B2" s="486" t="s">
        <v>380</v>
      </c>
      <c r="C2" s="330" t="s">
        <v>378</v>
      </c>
      <c r="D2" s="330" t="s">
        <v>381</v>
      </c>
      <c r="E2" s="302"/>
      <c r="F2" s="302"/>
      <c r="G2" s="302"/>
    </row>
    <row r="3" spans="1:10" ht="26" x14ac:dyDescent="0.6">
      <c r="A3" s="302"/>
      <c r="B3" s="302"/>
      <c r="C3" s="329" t="s">
        <v>382</v>
      </c>
      <c r="D3" s="329" t="s">
        <v>382</v>
      </c>
      <c r="E3" s="302"/>
      <c r="F3" s="331" t="s">
        <v>203</v>
      </c>
      <c r="G3" s="302"/>
    </row>
    <row r="4" spans="1:10" x14ac:dyDescent="0.6">
      <c r="A4" s="302">
        <v>1</v>
      </c>
      <c r="B4" s="308" t="s">
        <v>369</v>
      </c>
      <c r="C4" s="484">
        <v>50</v>
      </c>
      <c r="D4" s="484">
        <v>50</v>
      </c>
      <c r="E4" s="302"/>
      <c r="F4" s="326" t="s">
        <v>368</v>
      </c>
      <c r="G4" s="302"/>
      <c r="H4" s="84"/>
      <c r="I4" s="84"/>
      <c r="J4" s="84"/>
    </row>
    <row r="5" spans="1:10" x14ac:dyDescent="0.6">
      <c r="A5" s="302">
        <v>2</v>
      </c>
      <c r="B5" s="308" t="s">
        <v>337</v>
      </c>
      <c r="C5" s="310">
        <v>87.98</v>
      </c>
      <c r="D5" s="310">
        <v>66.38</v>
      </c>
      <c r="E5" s="302"/>
      <c r="F5" s="326" t="s">
        <v>409</v>
      </c>
      <c r="G5" s="326"/>
      <c r="H5" s="144"/>
      <c r="I5" s="84"/>
      <c r="J5" s="84"/>
    </row>
    <row r="6" spans="1:10" x14ac:dyDescent="0.6">
      <c r="A6" s="302"/>
      <c r="B6" s="302"/>
      <c r="C6" s="311"/>
      <c r="D6" s="311"/>
      <c r="E6" s="302"/>
      <c r="F6" s="325"/>
      <c r="G6" s="302"/>
    </row>
    <row r="7" spans="1:10" x14ac:dyDescent="0.6">
      <c r="A7" s="302">
        <v>3</v>
      </c>
      <c r="B7" s="308" t="s">
        <v>338</v>
      </c>
      <c r="C7" s="312">
        <f>C4-C5</f>
        <v>-37.980000000000004</v>
      </c>
      <c r="D7" s="312">
        <f>D4-D5</f>
        <v>-16.379999999999995</v>
      </c>
      <c r="E7" s="302"/>
      <c r="F7" s="326" t="s">
        <v>339</v>
      </c>
      <c r="G7" s="302"/>
    </row>
    <row r="8" spans="1:10" x14ac:dyDescent="0.6">
      <c r="A8" s="302">
        <v>4</v>
      </c>
      <c r="B8" s="308" t="s">
        <v>340</v>
      </c>
      <c r="C8" s="313">
        <f>SUM('Att 2'!C147:L147)</f>
        <v>8133.2000000000007</v>
      </c>
      <c r="D8" s="313">
        <f>SUM('Att 2'!C147:L147)</f>
        <v>8133.2000000000007</v>
      </c>
      <c r="E8" s="302"/>
      <c r="F8" s="327"/>
      <c r="G8" s="302"/>
    </row>
    <row r="9" spans="1:10" x14ac:dyDescent="0.6">
      <c r="A9" s="302">
        <v>5</v>
      </c>
      <c r="B9" s="308" t="s">
        <v>341</v>
      </c>
      <c r="C9" s="314">
        <v>365</v>
      </c>
      <c r="D9" s="314">
        <v>365</v>
      </c>
      <c r="E9" s="302"/>
      <c r="F9" s="302"/>
      <c r="G9" s="302"/>
    </row>
    <row r="10" spans="1:10" x14ac:dyDescent="0.6">
      <c r="A10" s="302">
        <v>6</v>
      </c>
      <c r="B10" s="308" t="s">
        <v>342</v>
      </c>
      <c r="C10" s="315">
        <f>C7*C8*C9</f>
        <v>-112748111.64000002</v>
      </c>
      <c r="D10" s="315">
        <f>D7*D8*D9</f>
        <v>-48625962.839999989</v>
      </c>
      <c r="E10" s="302"/>
      <c r="F10" s="326" t="s">
        <v>343</v>
      </c>
      <c r="G10" s="302"/>
    </row>
    <row r="11" spans="1:10" x14ac:dyDescent="0.6">
      <c r="A11" s="302"/>
      <c r="B11" s="308"/>
      <c r="C11" s="316"/>
      <c r="D11" s="316"/>
      <c r="E11" s="302"/>
      <c r="F11" s="326"/>
      <c r="G11" s="302"/>
    </row>
    <row r="12" spans="1:10" x14ac:dyDescent="0.6">
      <c r="A12" s="302">
        <v>7</v>
      </c>
      <c r="B12" s="317" t="s">
        <v>332</v>
      </c>
      <c r="C12" s="318">
        <f>'Att 3'!D13</f>
        <v>28</v>
      </c>
      <c r="D12" s="318">
        <f>'Att 3'!E13</f>
        <v>28</v>
      </c>
      <c r="E12" s="302"/>
      <c r="F12" s="326" t="s">
        <v>344</v>
      </c>
      <c r="G12" s="302"/>
    </row>
    <row r="13" spans="1:10" x14ac:dyDescent="0.6">
      <c r="A13" s="302">
        <v>8</v>
      </c>
      <c r="B13" s="308" t="s">
        <v>313</v>
      </c>
      <c r="C13" s="319">
        <f>SUM('Att 3'!C13:E13)</f>
        <v>85</v>
      </c>
      <c r="D13" s="319">
        <f>SUM('Att 3'!C13:E13)</f>
        <v>85</v>
      </c>
      <c r="E13" s="302"/>
      <c r="F13" s="326" t="s">
        <v>344</v>
      </c>
      <c r="G13" s="302"/>
    </row>
    <row r="14" spans="1:10" x14ac:dyDescent="0.6">
      <c r="A14" s="302">
        <v>9</v>
      </c>
      <c r="B14" s="308" t="s">
        <v>345</v>
      </c>
      <c r="C14" s="320">
        <f>+C12/C13</f>
        <v>0.32941176470588235</v>
      </c>
      <c r="D14" s="320">
        <f>+D12/D13</f>
        <v>0.32941176470588235</v>
      </c>
      <c r="E14" s="302"/>
      <c r="F14" s="326" t="s">
        <v>346</v>
      </c>
      <c r="G14" s="302"/>
    </row>
    <row r="15" spans="1:10" x14ac:dyDescent="0.6">
      <c r="A15" s="302"/>
      <c r="B15" s="308"/>
      <c r="C15" s="316"/>
      <c r="D15" s="316"/>
      <c r="E15" s="302"/>
      <c r="F15" s="326"/>
      <c r="G15" s="302"/>
    </row>
    <row r="16" spans="1:10" x14ac:dyDescent="0.6">
      <c r="A16" s="302">
        <v>10</v>
      </c>
      <c r="B16" s="308" t="s">
        <v>347</v>
      </c>
      <c r="C16" s="316">
        <f>C10*C14</f>
        <v>-37140554.422588237</v>
      </c>
      <c r="D16" s="316">
        <f>D10*D14</f>
        <v>-16017964.229647055</v>
      </c>
      <c r="E16" s="302"/>
      <c r="F16" s="326" t="s">
        <v>348</v>
      </c>
      <c r="G16" s="302"/>
    </row>
    <row r="17" spans="1:7" x14ac:dyDescent="0.6">
      <c r="A17" s="302"/>
      <c r="B17" s="308"/>
      <c r="C17" s="316"/>
      <c r="D17" s="316"/>
      <c r="E17" s="302"/>
      <c r="F17" s="326"/>
      <c r="G17" s="302"/>
    </row>
    <row r="18" spans="1:7" x14ac:dyDescent="0.6">
      <c r="A18" s="302">
        <v>11</v>
      </c>
      <c r="B18" s="206" t="s">
        <v>349</v>
      </c>
      <c r="C18" s="321">
        <f>'Att 2'!C354</f>
        <v>25507456.310352843</v>
      </c>
      <c r="D18" s="321">
        <f>'Att 2'!C354</f>
        <v>25507456.310352843</v>
      </c>
      <c r="E18" s="302"/>
      <c r="F18" s="302"/>
      <c r="G18" s="302"/>
    </row>
    <row r="19" spans="1:7" x14ac:dyDescent="0.6">
      <c r="A19" s="302">
        <v>12</v>
      </c>
      <c r="B19" s="308" t="s">
        <v>350</v>
      </c>
      <c r="C19" s="322">
        <f>+C14*C18</f>
        <v>8402456.1963515244</v>
      </c>
      <c r="D19" s="322">
        <f>+D14*D18</f>
        <v>8402456.1963515244</v>
      </c>
      <c r="E19" s="302"/>
      <c r="F19" s="326" t="s">
        <v>351</v>
      </c>
      <c r="G19" s="302"/>
    </row>
    <row r="20" spans="1:7" x14ac:dyDescent="0.6">
      <c r="A20" s="302"/>
      <c r="B20" s="308"/>
      <c r="C20" s="323"/>
      <c r="D20" s="323"/>
      <c r="E20" s="302"/>
      <c r="F20" s="326"/>
      <c r="G20" s="302"/>
    </row>
    <row r="21" spans="1:7" ht="13.75" thickBot="1" x14ac:dyDescent="0.75">
      <c r="A21" s="302">
        <v>13</v>
      </c>
      <c r="B21" s="308" t="s">
        <v>352</v>
      </c>
      <c r="C21" s="324">
        <f>ROUND(+C16/C19,2)</f>
        <v>-4.42</v>
      </c>
      <c r="D21" s="324">
        <f>ROUND(+D16/D19,2)</f>
        <v>-1.91</v>
      </c>
      <c r="E21" s="302"/>
      <c r="F21" s="328" t="s">
        <v>353</v>
      </c>
      <c r="G21" s="302"/>
    </row>
    <row r="22" spans="1:7" ht="13.75" thickTop="1" x14ac:dyDescent="0.6">
      <c r="B22" s="115"/>
      <c r="C22" s="140"/>
      <c r="E22" s="139"/>
    </row>
    <row r="23" spans="1:7" x14ac:dyDescent="0.6">
      <c r="B23" s="115"/>
      <c r="C23" s="140"/>
      <c r="E23" s="139"/>
    </row>
    <row r="24" spans="1:7" x14ac:dyDescent="0.6">
      <c r="B24" s="115"/>
      <c r="C24" s="140"/>
      <c r="E24" s="139"/>
    </row>
    <row r="25" spans="1:7" x14ac:dyDescent="0.6">
      <c r="B25" s="85"/>
    </row>
    <row r="26" spans="1:7" x14ac:dyDescent="0.6">
      <c r="B26" s="85"/>
      <c r="C26" s="141"/>
      <c r="E26" s="84"/>
    </row>
    <row r="27" spans="1:7" x14ac:dyDescent="0.6">
      <c r="B27" s="85"/>
    </row>
    <row r="28" spans="1:7" x14ac:dyDescent="0.6">
      <c r="B28" s="115"/>
      <c r="C28" s="142"/>
      <c r="E28" s="139"/>
    </row>
    <row r="30" spans="1:7" x14ac:dyDescent="0.6">
      <c r="C30" s="142"/>
    </row>
    <row r="31" spans="1:7" x14ac:dyDescent="0.6">
      <c r="D31" s="142"/>
    </row>
  </sheetData>
  <pageMargins left="0.7" right="0.7" top="1" bottom="0.75" header="0.3" footer="0.3"/>
  <pageSetup scale="72" fitToHeight="0" orientation="landscape" r:id="rId1"/>
  <headerFooter>
    <oddHeader>&amp;C&amp;"Arial,Bold"Public Service Electric and Gas Company Specific Addendum
Attachment 4</oddHeader>
    <oddFooter>&amp;C&amp;"Arial,Bold"Page 3 of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8"/>
  <sheetViews>
    <sheetView view="pageBreakPreview" zoomScaleNormal="100" zoomScaleSheetLayoutView="100" workbookViewId="0"/>
  </sheetViews>
  <sheetFormatPr defaultColWidth="9.1328125" defaultRowHeight="13" x14ac:dyDescent="0.6"/>
  <cols>
    <col min="1" max="1" width="3.26953125" style="114" bestFit="1" customWidth="1"/>
    <col min="2" max="2" width="62.54296875" style="114" bestFit="1" customWidth="1"/>
    <col min="3" max="3" width="24.54296875" style="114" customWidth="1"/>
    <col min="4" max="4" width="9.1328125" style="114"/>
    <col min="5" max="5" width="55.86328125" style="114" bestFit="1" customWidth="1"/>
    <col min="6" max="16384" width="9.1328125" style="114"/>
  </cols>
  <sheetData>
    <row r="1" spans="1:5" ht="15.5" x14ac:dyDescent="0.7">
      <c r="A1" s="302"/>
      <c r="B1" s="303" t="s">
        <v>391</v>
      </c>
      <c r="C1" s="302"/>
      <c r="D1" s="480"/>
      <c r="E1" s="481"/>
    </row>
    <row r="2" spans="1:5" ht="48" x14ac:dyDescent="0.7">
      <c r="A2" s="302"/>
      <c r="B2" s="486" t="s">
        <v>392</v>
      </c>
      <c r="C2" s="330" t="s">
        <v>393</v>
      </c>
      <c r="D2" s="498" t="s">
        <v>394</v>
      </c>
      <c r="E2" s="498"/>
    </row>
    <row r="3" spans="1:5" ht="26" x14ac:dyDescent="0.6">
      <c r="A3" s="302"/>
      <c r="B3" s="302"/>
      <c r="C3" s="329" t="s">
        <v>395</v>
      </c>
      <c r="D3" s="327"/>
      <c r="E3" s="482" t="s">
        <v>203</v>
      </c>
    </row>
    <row r="4" spans="1:5" x14ac:dyDescent="0.6">
      <c r="A4" s="302">
        <v>1</v>
      </c>
      <c r="B4" s="308" t="s">
        <v>369</v>
      </c>
      <c r="C4" s="484">
        <v>50</v>
      </c>
      <c r="D4" s="483"/>
      <c r="E4" s="326" t="s">
        <v>368</v>
      </c>
    </row>
    <row r="5" spans="1:5" x14ac:dyDescent="0.6">
      <c r="A5" s="302">
        <v>2</v>
      </c>
      <c r="B5" s="308" t="s">
        <v>337</v>
      </c>
      <c r="C5" s="310">
        <v>44.63</v>
      </c>
      <c r="D5" s="327"/>
      <c r="E5" s="326" t="s">
        <v>396</v>
      </c>
    </row>
    <row r="6" spans="1:5" x14ac:dyDescent="0.6">
      <c r="A6" s="302"/>
      <c r="B6" s="302"/>
      <c r="C6" s="311"/>
      <c r="D6" s="327"/>
      <c r="E6" s="325"/>
    </row>
    <row r="7" spans="1:5" x14ac:dyDescent="0.6">
      <c r="A7" s="302">
        <v>3</v>
      </c>
      <c r="B7" s="308" t="s">
        <v>338</v>
      </c>
      <c r="C7" s="312">
        <f>C4-C5</f>
        <v>5.3699999999999974</v>
      </c>
      <c r="D7" s="327"/>
      <c r="E7" s="326" t="s">
        <v>339</v>
      </c>
    </row>
    <row r="8" spans="1:5" x14ac:dyDescent="0.6">
      <c r="A8" s="302">
        <v>4</v>
      </c>
      <c r="B8" s="308" t="s">
        <v>340</v>
      </c>
      <c r="C8" s="313">
        <f>+'Att 4-1'!D8</f>
        <v>8133.2000000000007</v>
      </c>
      <c r="D8" s="327"/>
      <c r="E8" s="327"/>
    </row>
    <row r="9" spans="1:5" x14ac:dyDescent="0.6">
      <c r="A9" s="302">
        <v>5</v>
      </c>
      <c r="B9" s="308" t="s">
        <v>341</v>
      </c>
      <c r="C9" s="314">
        <v>365</v>
      </c>
      <c r="D9" s="327"/>
      <c r="E9" s="327"/>
    </row>
    <row r="10" spans="1:5" x14ac:dyDescent="0.6">
      <c r="A10" s="302">
        <v>6</v>
      </c>
      <c r="B10" s="308" t="s">
        <v>342</v>
      </c>
      <c r="C10" s="315">
        <f>C7*C8*C9</f>
        <v>15941478.659999995</v>
      </c>
      <c r="D10" s="327"/>
      <c r="E10" s="326" t="s">
        <v>343</v>
      </c>
    </row>
    <row r="11" spans="1:5" x14ac:dyDescent="0.6">
      <c r="A11" s="302"/>
      <c r="B11" s="308"/>
      <c r="C11" s="316"/>
      <c r="D11" s="327"/>
      <c r="E11" s="326"/>
    </row>
    <row r="12" spans="1:5" x14ac:dyDescent="0.6">
      <c r="A12" s="302">
        <v>7</v>
      </c>
      <c r="B12" s="317" t="s">
        <v>332</v>
      </c>
      <c r="C12" s="318">
        <v>28</v>
      </c>
      <c r="D12" s="327"/>
      <c r="E12" s="326" t="s">
        <v>344</v>
      </c>
    </row>
    <row r="13" spans="1:5" x14ac:dyDescent="0.6">
      <c r="A13" s="302">
        <v>8</v>
      </c>
      <c r="B13" s="308" t="s">
        <v>313</v>
      </c>
      <c r="C13" s="319">
        <f>'Att 3'!E14</f>
        <v>85</v>
      </c>
      <c r="D13" s="327"/>
      <c r="E13" s="326" t="s">
        <v>344</v>
      </c>
    </row>
    <row r="14" spans="1:5" x14ac:dyDescent="0.6">
      <c r="A14" s="302">
        <v>9</v>
      </c>
      <c r="B14" s="308" t="s">
        <v>345</v>
      </c>
      <c r="C14" s="320">
        <f>+C12/C13</f>
        <v>0.32941176470588235</v>
      </c>
      <c r="D14" s="327"/>
      <c r="E14" s="326" t="s">
        <v>346</v>
      </c>
    </row>
    <row r="15" spans="1:5" x14ac:dyDescent="0.6">
      <c r="A15" s="302"/>
      <c r="B15" s="308"/>
      <c r="C15" s="316"/>
      <c r="D15" s="327"/>
      <c r="E15" s="326"/>
    </row>
    <row r="16" spans="1:5" x14ac:dyDescent="0.6">
      <c r="A16" s="302">
        <v>10</v>
      </c>
      <c r="B16" s="308" t="s">
        <v>347</v>
      </c>
      <c r="C16" s="316">
        <f>C10*C14</f>
        <v>5251310.6174117625</v>
      </c>
      <c r="D16" s="327"/>
      <c r="E16" s="326" t="s">
        <v>348</v>
      </c>
    </row>
    <row r="17" spans="1:5" x14ac:dyDescent="0.6">
      <c r="A17" s="302"/>
      <c r="B17" s="308"/>
      <c r="C17" s="316"/>
      <c r="D17" s="327"/>
      <c r="E17" s="326"/>
    </row>
    <row r="18" spans="1:5" x14ac:dyDescent="0.6">
      <c r="A18" s="302">
        <v>11</v>
      </c>
      <c r="B18" s="460" t="s">
        <v>349</v>
      </c>
      <c r="C18" s="321">
        <f>'Att 2'!C354</f>
        <v>25507456.310352843</v>
      </c>
      <c r="D18" s="327"/>
      <c r="E18" s="327"/>
    </row>
    <row r="19" spans="1:5" x14ac:dyDescent="0.6">
      <c r="A19" s="302">
        <v>12</v>
      </c>
      <c r="B19" s="308" t="s">
        <v>350</v>
      </c>
      <c r="C19" s="314">
        <f>+C14*C18</f>
        <v>8402456.1963515244</v>
      </c>
      <c r="D19" s="327"/>
      <c r="E19" s="326" t="s">
        <v>351</v>
      </c>
    </row>
    <row r="20" spans="1:5" x14ac:dyDescent="0.6">
      <c r="A20" s="302"/>
      <c r="B20" s="308"/>
      <c r="C20" s="316"/>
      <c r="D20" s="327"/>
      <c r="E20" s="326"/>
    </row>
    <row r="21" spans="1:5" ht="13.75" thickBot="1" x14ac:dyDescent="0.75">
      <c r="A21" s="302">
        <v>13</v>
      </c>
      <c r="B21" s="308" t="s">
        <v>352</v>
      </c>
      <c r="C21" s="324">
        <f>ROUND(+C16/C19,2)</f>
        <v>0.62</v>
      </c>
      <c r="D21" s="327"/>
      <c r="E21" s="328" t="s">
        <v>353</v>
      </c>
    </row>
    <row r="22" spans="1:5" ht="13.75" thickTop="1" x14ac:dyDescent="0.6">
      <c r="B22" s="115"/>
      <c r="C22" s="140"/>
      <c r="E22" s="139"/>
    </row>
    <row r="23" spans="1:5" x14ac:dyDescent="0.6">
      <c r="B23" s="115"/>
      <c r="C23" s="140"/>
      <c r="E23" s="139"/>
    </row>
    <row r="24" spans="1:5" x14ac:dyDescent="0.6">
      <c r="B24" s="115"/>
      <c r="C24" s="140"/>
      <c r="E24" s="139"/>
    </row>
    <row r="25" spans="1:5" x14ac:dyDescent="0.6">
      <c r="B25" s="85"/>
    </row>
    <row r="26" spans="1:5" x14ac:dyDescent="0.6">
      <c r="B26" s="85"/>
      <c r="C26" s="141"/>
      <c r="E26" s="84"/>
    </row>
    <row r="27" spans="1:5" x14ac:dyDescent="0.6">
      <c r="B27" s="85"/>
    </row>
    <row r="28" spans="1:5" x14ac:dyDescent="0.6">
      <c r="B28" s="115"/>
      <c r="C28" s="142"/>
      <c r="E28" s="139"/>
    </row>
  </sheetData>
  <mergeCells count="1">
    <mergeCell ref="D2:E2"/>
  </mergeCells>
  <pageMargins left="0.7" right="0.7" top="1" bottom="0.75" header="0.3" footer="0.3"/>
  <pageSetup scale="80" fitToHeight="0" orientation="landscape" r:id="rId1"/>
  <headerFooter>
    <oddHeader>&amp;C&amp;"Arial,Bold"Public Service Electric and Gas Company Specific Addendum
Attachment 4</oddHeader>
    <oddFooter>&amp;C&amp;"Arial,Bold"Page 3 of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74"/>
  <sheetViews>
    <sheetView view="pageBreakPreview" zoomScaleNormal="100" zoomScaleSheetLayoutView="100" workbookViewId="0"/>
  </sheetViews>
  <sheetFormatPr defaultColWidth="9.1328125" defaultRowHeight="13" outlineLevelRow="1" x14ac:dyDescent="0.6"/>
  <cols>
    <col min="1" max="1" width="12.26953125" style="84" bestFit="1" customWidth="1"/>
    <col min="2" max="2" width="46" style="84" customWidth="1"/>
    <col min="3" max="3" width="17.86328125" style="84" customWidth="1"/>
    <col min="4" max="5" width="15.7265625" style="84" customWidth="1"/>
    <col min="6" max="6" width="9.1328125" style="84" customWidth="1"/>
    <col min="7" max="7" width="41.40625" style="84" customWidth="1"/>
    <col min="8" max="8" width="4.26953125" style="84" customWidth="1"/>
    <col min="9" max="9" width="12.54296875" style="84" customWidth="1"/>
    <col min="10" max="10" width="21" style="84" customWidth="1"/>
    <col min="11" max="11" width="14.26953125" style="84" bestFit="1" customWidth="1"/>
    <col min="12" max="12" width="24.1328125" style="84" bestFit="1" customWidth="1"/>
    <col min="13" max="14" width="10.86328125" style="84" bestFit="1" customWidth="1"/>
    <col min="15" max="15" width="14.40625" style="84" bestFit="1" customWidth="1"/>
    <col min="16" max="16384" width="9.1328125" style="84"/>
  </cols>
  <sheetData>
    <row r="1" spans="1:9" s="302" customFormat="1" ht="20.5" x14ac:dyDescent="0.9">
      <c r="A1" s="415" t="s">
        <v>354</v>
      </c>
      <c r="D1" s="436"/>
      <c r="E1" s="404"/>
      <c r="F1" s="404"/>
      <c r="G1" s="404"/>
      <c r="H1" s="404"/>
    </row>
    <row r="2" spans="1:9" s="302" customFormat="1" ht="21.75" customHeight="1" x14ac:dyDescent="0.7">
      <c r="A2" s="416" t="s">
        <v>383</v>
      </c>
      <c r="D2" s="499" t="s">
        <v>386</v>
      </c>
      <c r="E2" s="499"/>
      <c r="F2" s="499"/>
      <c r="G2" s="499"/>
      <c r="H2" s="404"/>
    </row>
    <row r="3" spans="1:9" s="327" customFormat="1" ht="18.75" customHeight="1" x14ac:dyDescent="0.6">
      <c r="A3" s="487" t="s">
        <v>366</v>
      </c>
      <c r="D3" s="404"/>
      <c r="E3" s="404"/>
      <c r="F3" s="404"/>
      <c r="G3" s="404"/>
      <c r="H3" s="404"/>
    </row>
    <row r="4" spans="1:9" s="327" customFormat="1" x14ac:dyDescent="0.6"/>
    <row r="5" spans="1:9" s="327" customFormat="1" x14ac:dyDescent="0.6">
      <c r="A5" s="405" t="s">
        <v>239</v>
      </c>
      <c r="B5" s="308" t="s">
        <v>261</v>
      </c>
    </row>
    <row r="6" spans="1:9" s="327" customFormat="1" ht="39" customHeight="1" x14ac:dyDescent="0.6">
      <c r="A6" s="406" t="s">
        <v>202</v>
      </c>
      <c r="B6" s="308" t="s">
        <v>355</v>
      </c>
      <c r="C6" s="325" t="s">
        <v>364</v>
      </c>
      <c r="D6" s="325" t="s">
        <v>384</v>
      </c>
      <c r="E6" s="325" t="s">
        <v>385</v>
      </c>
      <c r="G6" s="331" t="s">
        <v>203</v>
      </c>
    </row>
    <row r="7" spans="1:9" s="327" customFormat="1" x14ac:dyDescent="0.6"/>
    <row r="8" spans="1:9" s="327" customFormat="1" x14ac:dyDescent="0.6">
      <c r="A8" s="406">
        <v>1</v>
      </c>
      <c r="B8" s="308" t="s">
        <v>204</v>
      </c>
      <c r="C8" s="332">
        <f>'Att 3'!D8</f>
        <v>76.3</v>
      </c>
      <c r="D8" s="332">
        <f>'Att 3'!E8</f>
        <v>67.06</v>
      </c>
      <c r="E8" s="332">
        <f>D10</f>
        <v>65.150000000000006</v>
      </c>
      <c r="G8" s="230" t="s">
        <v>357</v>
      </c>
    </row>
    <row r="9" spans="1:9" s="327" customFormat="1" x14ac:dyDescent="0.6">
      <c r="A9" s="406" t="s">
        <v>329</v>
      </c>
      <c r="B9" s="308" t="s">
        <v>387</v>
      </c>
      <c r="C9" s="332">
        <f>'Att 4-2'!C21</f>
        <v>-4.42</v>
      </c>
      <c r="D9" s="332">
        <f>'Att 4-2'!D21</f>
        <v>-1.91</v>
      </c>
      <c r="E9" s="407"/>
      <c r="G9" s="230" t="s">
        <v>388</v>
      </c>
    </row>
    <row r="10" spans="1:9" s="327" customFormat="1" x14ac:dyDescent="0.6">
      <c r="A10" s="406" t="s">
        <v>331</v>
      </c>
      <c r="B10" s="308" t="s">
        <v>305</v>
      </c>
      <c r="C10" s="408">
        <f>C8+C9</f>
        <v>71.88</v>
      </c>
      <c r="D10" s="408">
        <f t="shared" ref="D10:E10" si="0">D8+D9</f>
        <v>65.150000000000006</v>
      </c>
      <c r="E10" s="408">
        <f t="shared" si="0"/>
        <v>65.150000000000006</v>
      </c>
      <c r="G10" s="276" t="s">
        <v>375</v>
      </c>
    </row>
    <row r="11" spans="1:9" s="327" customFormat="1" x14ac:dyDescent="0.6">
      <c r="A11" s="406"/>
      <c r="B11" s="308"/>
      <c r="C11" s="408"/>
      <c r="D11" s="408"/>
      <c r="E11" s="408"/>
      <c r="G11" s="326"/>
    </row>
    <row r="12" spans="1:9" s="327" customFormat="1" x14ac:dyDescent="0.6">
      <c r="A12" s="406">
        <v>2</v>
      </c>
      <c r="B12" s="317" t="s">
        <v>303</v>
      </c>
      <c r="C12" s="327">
        <v>28</v>
      </c>
      <c r="D12" s="327">
        <v>28</v>
      </c>
      <c r="E12" s="327">
        <v>29</v>
      </c>
      <c r="G12" s="230" t="s">
        <v>205</v>
      </c>
    </row>
    <row r="13" spans="1:9" s="327" customFormat="1" x14ac:dyDescent="0.6">
      <c r="A13" s="406">
        <v>3</v>
      </c>
      <c r="B13" s="308" t="s">
        <v>304</v>
      </c>
      <c r="C13" s="327">
        <v>85</v>
      </c>
      <c r="D13" s="327">
        <v>85</v>
      </c>
      <c r="E13" s="327">
        <v>85</v>
      </c>
      <c r="G13" s="230" t="s">
        <v>205</v>
      </c>
    </row>
    <row r="14" spans="1:9" s="327" customFormat="1" x14ac:dyDescent="0.6">
      <c r="A14" s="406"/>
      <c r="B14" s="308"/>
      <c r="G14" s="230"/>
    </row>
    <row r="15" spans="1:9" s="327" customFormat="1" x14ac:dyDescent="0.6">
      <c r="A15" s="406"/>
      <c r="B15" s="308" t="s">
        <v>206</v>
      </c>
    </row>
    <row r="16" spans="1:9" s="327" customFormat="1" x14ac:dyDescent="0.6">
      <c r="A16" s="406">
        <v>4</v>
      </c>
      <c r="B16" s="334" t="s">
        <v>207</v>
      </c>
      <c r="C16" s="335">
        <v>1</v>
      </c>
      <c r="D16" s="335">
        <v>1</v>
      </c>
      <c r="E16" s="335">
        <v>1</v>
      </c>
      <c r="G16" s="230" t="s">
        <v>358</v>
      </c>
      <c r="I16" s="407"/>
    </row>
    <row r="17" spans="1:10" s="327" customFormat="1" x14ac:dyDescent="0.6">
      <c r="A17" s="406">
        <v>5</v>
      </c>
      <c r="B17" s="334" t="s">
        <v>208</v>
      </c>
      <c r="C17" s="335">
        <v>1</v>
      </c>
      <c r="D17" s="335">
        <v>1</v>
      </c>
      <c r="E17" s="335">
        <v>1</v>
      </c>
      <c r="G17" s="230" t="s">
        <v>358</v>
      </c>
      <c r="I17" s="407"/>
    </row>
    <row r="18" spans="1:10" s="327" customFormat="1" x14ac:dyDescent="0.6">
      <c r="A18" s="406"/>
      <c r="E18" s="335"/>
    </row>
    <row r="19" spans="1:10" s="327" customFormat="1" x14ac:dyDescent="0.6">
      <c r="A19" s="406"/>
      <c r="B19" s="206" t="s">
        <v>359</v>
      </c>
    </row>
    <row r="20" spans="1:10" s="327" customFormat="1" x14ac:dyDescent="0.6">
      <c r="A20" s="406">
        <v>6</v>
      </c>
      <c r="B20" s="327" t="s">
        <v>209</v>
      </c>
      <c r="C20" s="321">
        <f>'Att 3'!C20</f>
        <v>10148392.794606369</v>
      </c>
      <c r="D20" s="321"/>
      <c r="E20" s="321"/>
      <c r="G20" s="230" t="s">
        <v>360</v>
      </c>
    </row>
    <row r="21" spans="1:10" s="327" customFormat="1" x14ac:dyDescent="0.6">
      <c r="A21" s="406">
        <v>7</v>
      </c>
      <c r="B21" s="327" t="s">
        <v>210</v>
      </c>
      <c r="C21" s="321">
        <f>'Att 3'!C21</f>
        <v>15359063.515746474</v>
      </c>
      <c r="D21" s="321"/>
      <c r="E21" s="321"/>
    </row>
    <row r="22" spans="1:10" s="327" customFormat="1" x14ac:dyDescent="0.6">
      <c r="A22" s="406"/>
    </row>
    <row r="23" spans="1:10" s="327" customFormat="1" x14ac:dyDescent="0.6">
      <c r="A23" s="406"/>
      <c r="B23" s="308" t="s">
        <v>269</v>
      </c>
    </row>
    <row r="24" spans="1:10" s="327" customFormat="1" x14ac:dyDescent="0.6">
      <c r="A24" s="406">
        <v>8</v>
      </c>
      <c r="B24" s="334" t="s">
        <v>207</v>
      </c>
      <c r="C24" s="409">
        <f>((+C$8)*C$12/C$13*C16*$C20/1000) + (+C$9*C$12/C$13*$C20/1000)</f>
        <v>240294.83851925371</v>
      </c>
      <c r="D24" s="409">
        <f t="shared" ref="D24:E25" si="1">((+D$8)*D$12/D$13*D16*$C20/1000) + (+D$9*D$12/D$13*$C20/1000)</f>
        <v>217796.4486578934</v>
      </c>
      <c r="E24" s="409">
        <f t="shared" si="1"/>
        <v>225574.89325281818</v>
      </c>
      <c r="G24" s="276" t="s">
        <v>389</v>
      </c>
      <c r="H24" s="410"/>
      <c r="J24" s="410"/>
    </row>
    <row r="25" spans="1:10" s="327" customFormat="1" ht="15.25" x14ac:dyDescent="1.05">
      <c r="A25" s="406">
        <v>9</v>
      </c>
      <c r="B25" s="334" t="s">
        <v>208</v>
      </c>
      <c r="C25" s="411">
        <f>((+C$8)*C$12/C$13*C17*$C21/1000) + (+C$9*C$12/C$13*$C21/1000)</f>
        <v>363673.71287449403</v>
      </c>
      <c r="D25" s="411">
        <f t="shared" si="1"/>
        <v>329623.57253440848</v>
      </c>
      <c r="E25" s="411">
        <f t="shared" si="1"/>
        <v>341395.84298206592</v>
      </c>
      <c r="G25" s="276" t="s">
        <v>390</v>
      </c>
    </row>
    <row r="26" spans="1:10" s="327" customFormat="1" x14ac:dyDescent="0.6">
      <c r="A26" s="406">
        <v>10</v>
      </c>
      <c r="B26" s="327" t="s">
        <v>211</v>
      </c>
      <c r="C26" s="410">
        <f>+C25+C24</f>
        <v>603968.5513937478</v>
      </c>
      <c r="D26" s="410">
        <f>+D25+D24</f>
        <v>547420.02119230188</v>
      </c>
      <c r="E26" s="410">
        <f>+E25+E24</f>
        <v>566970.73623488413</v>
      </c>
      <c r="H26" s="410"/>
      <c r="J26" s="410"/>
    </row>
    <row r="27" spans="1:10" s="327" customFormat="1" x14ac:dyDescent="0.6">
      <c r="A27" s="406"/>
    </row>
    <row r="28" spans="1:10" s="327" customFormat="1" x14ac:dyDescent="0.6">
      <c r="A28" s="406"/>
      <c r="B28" s="308" t="s">
        <v>270</v>
      </c>
    </row>
    <row r="29" spans="1:10" s="327" customFormat="1" x14ac:dyDescent="0.6">
      <c r="A29" s="406">
        <v>11</v>
      </c>
      <c r="B29" s="334" t="s">
        <v>207</v>
      </c>
      <c r="C29" s="412">
        <f>ROUND(+SUM(C24:E24)/C20*1000,3)</f>
        <v>67.367000000000004</v>
      </c>
      <c r="D29" s="413"/>
      <c r="G29" s="276" t="s">
        <v>361</v>
      </c>
    </row>
    <row r="30" spans="1:10" s="327" customFormat="1" x14ac:dyDescent="0.6">
      <c r="A30" s="406">
        <v>12</v>
      </c>
      <c r="B30" s="334" t="s">
        <v>208</v>
      </c>
      <c r="C30" s="412">
        <f>ROUND(+SUM(C25:E25)/C21*1000,3)</f>
        <v>67.367000000000004</v>
      </c>
      <c r="G30" s="276" t="s">
        <v>362</v>
      </c>
    </row>
    <row r="31" spans="1:10" s="327" customFormat="1" x14ac:dyDescent="0.6">
      <c r="A31" s="406"/>
      <c r="B31" s="334"/>
      <c r="C31" s="414"/>
      <c r="G31" s="326"/>
    </row>
    <row r="32" spans="1:10" s="302" customFormat="1" x14ac:dyDescent="0.6">
      <c r="A32" s="417">
        <v>13</v>
      </c>
      <c r="B32" s="302" t="s">
        <v>215</v>
      </c>
      <c r="C32" s="418">
        <f>ROUND(+SUM(C26:E26)/(C20+C21)*1000,3)</f>
        <v>67.367000000000004</v>
      </c>
      <c r="D32" s="302" t="s">
        <v>213</v>
      </c>
      <c r="G32" s="276" t="s">
        <v>212</v>
      </c>
    </row>
    <row r="33" spans="1:11" s="302" customFormat="1" x14ac:dyDescent="0.6">
      <c r="D33" s="302" t="s">
        <v>214</v>
      </c>
      <c r="G33" s="202" t="s">
        <v>363</v>
      </c>
    </row>
    <row r="34" spans="1:11" s="302" customFormat="1" x14ac:dyDescent="0.6">
      <c r="C34" s="419"/>
    </row>
    <row r="35" spans="1:11" s="302" customFormat="1" x14ac:dyDescent="0.6">
      <c r="B35" s="272"/>
      <c r="D35" s="419"/>
    </row>
    <row r="36" spans="1:11" s="302" customFormat="1" x14ac:dyDescent="0.6">
      <c r="A36" s="417"/>
      <c r="B36" s="420"/>
      <c r="C36" s="421"/>
      <c r="D36" s="419"/>
      <c r="G36" s="422"/>
    </row>
    <row r="37" spans="1:11" s="302" customFormat="1" ht="15.25" x14ac:dyDescent="1.05">
      <c r="A37" s="417"/>
      <c r="B37" s="420"/>
      <c r="C37" s="423"/>
      <c r="D37" s="419"/>
      <c r="G37" s="422"/>
    </row>
    <row r="38" spans="1:11" s="302" customFormat="1" x14ac:dyDescent="0.6">
      <c r="A38" s="417"/>
      <c r="B38" s="420"/>
      <c r="C38" s="424"/>
      <c r="D38" s="419"/>
      <c r="G38" s="422"/>
    </row>
    <row r="39" spans="1:11" s="302" customFormat="1" x14ac:dyDescent="0.6">
      <c r="B39" s="420"/>
      <c r="D39" s="419"/>
    </row>
    <row r="40" spans="1:11" s="302" customFormat="1" x14ac:dyDescent="0.6"/>
    <row r="41" spans="1:11" s="302" customFormat="1" x14ac:dyDescent="0.6">
      <c r="A41" s="425"/>
      <c r="B41" s="308"/>
      <c r="G41" s="426"/>
    </row>
    <row r="42" spans="1:11" s="302" customFormat="1" x14ac:dyDescent="0.6">
      <c r="A42" s="425"/>
      <c r="B42" s="308"/>
      <c r="G42" s="426"/>
    </row>
    <row r="43" spans="1:11" s="302" customFormat="1" x14ac:dyDescent="0.6">
      <c r="B43" s="308"/>
    </row>
    <row r="44" spans="1:11" s="302" customFormat="1" x14ac:dyDescent="0.6">
      <c r="B44" s="426"/>
    </row>
    <row r="45" spans="1:11" s="302" customFormat="1" x14ac:dyDescent="0.6">
      <c r="B45" s="308"/>
    </row>
    <row r="46" spans="1:11" s="302" customFormat="1" x14ac:dyDescent="0.6">
      <c r="C46" s="427"/>
      <c r="D46" s="427"/>
      <c r="E46" s="427"/>
      <c r="F46" s="427"/>
      <c r="G46" s="427"/>
      <c r="H46" s="427"/>
    </row>
    <row r="47" spans="1:11" s="302" customFormat="1" x14ac:dyDescent="0.6">
      <c r="C47" s="427"/>
      <c r="D47" s="427"/>
      <c r="E47" s="427"/>
      <c r="F47" s="427"/>
      <c r="G47" s="427"/>
    </row>
    <row r="48" spans="1:11" s="302" customFormat="1" x14ac:dyDescent="0.6">
      <c r="B48" s="428"/>
      <c r="E48" s="107"/>
      <c r="F48" s="69"/>
      <c r="G48" s="69"/>
      <c r="H48" s="107"/>
      <c r="I48" s="266"/>
      <c r="J48" s="266"/>
      <c r="K48" s="266"/>
    </row>
    <row r="49" spans="2:11" s="302" customFormat="1" x14ac:dyDescent="0.6">
      <c r="B49" s="429"/>
      <c r="C49" s="70"/>
      <c r="D49" s="109"/>
      <c r="E49" s="69"/>
      <c r="F49" s="107"/>
      <c r="G49" s="107"/>
      <c r="H49" s="110"/>
      <c r="I49" s="266"/>
      <c r="J49" s="266"/>
      <c r="K49" s="266"/>
    </row>
    <row r="50" spans="2:11" s="302" customFormat="1" x14ac:dyDescent="0.6">
      <c r="B50" s="429"/>
      <c r="C50" s="70"/>
      <c r="D50" s="109"/>
      <c r="E50" s="69"/>
      <c r="F50" s="107"/>
      <c r="G50" s="107"/>
      <c r="H50" s="110"/>
      <c r="I50" s="431"/>
      <c r="J50" s="266"/>
      <c r="K50" s="266"/>
    </row>
    <row r="51" spans="2:11" s="302" customFormat="1" x14ac:dyDescent="0.6">
      <c r="E51" s="70"/>
      <c r="F51" s="109"/>
      <c r="G51" s="109"/>
      <c r="J51" s="266"/>
      <c r="K51" s="266"/>
    </row>
    <row r="52" spans="2:11" s="302" customFormat="1" x14ac:dyDescent="0.6">
      <c r="B52" s="432"/>
      <c r="C52" s="69"/>
      <c r="D52" s="69"/>
      <c r="E52" s="70"/>
      <c r="F52" s="109"/>
      <c r="G52" s="109"/>
      <c r="H52" s="109"/>
      <c r="I52" s="266"/>
      <c r="J52" s="266"/>
      <c r="K52" s="266"/>
    </row>
    <row r="53" spans="2:11" s="302" customFormat="1" x14ac:dyDescent="0.6">
      <c r="B53" s="432"/>
      <c r="C53" s="433"/>
      <c r="D53" s="433"/>
      <c r="E53" s="434"/>
      <c r="F53" s="109"/>
      <c r="G53" s="109"/>
      <c r="H53" s="109"/>
      <c r="I53" s="266"/>
      <c r="J53" s="266"/>
      <c r="K53" s="266"/>
    </row>
    <row r="54" spans="2:11" s="302" customFormat="1" x14ac:dyDescent="0.6">
      <c r="B54" s="432"/>
      <c r="C54" s="433"/>
      <c r="D54" s="433"/>
      <c r="E54" s="434"/>
      <c r="F54" s="109"/>
      <c r="G54" s="109"/>
      <c r="H54" s="109"/>
      <c r="I54" s="266"/>
      <c r="J54" s="266"/>
      <c r="K54" s="266"/>
    </row>
    <row r="55" spans="2:11" s="302" customFormat="1" x14ac:dyDescent="0.6">
      <c r="G55" s="109"/>
      <c r="H55" s="109"/>
      <c r="I55" s="266"/>
      <c r="J55" s="266"/>
      <c r="K55" s="266"/>
    </row>
    <row r="56" spans="2:11" s="302" customFormat="1" x14ac:dyDescent="0.6">
      <c r="H56" s="109"/>
      <c r="I56" s="266"/>
      <c r="J56" s="266"/>
      <c r="K56" s="266"/>
    </row>
    <row r="57" spans="2:11" s="302" customFormat="1" x14ac:dyDescent="0.6">
      <c r="C57" s="109"/>
      <c r="D57" s="109"/>
      <c r="E57" s="109"/>
      <c r="F57" s="109"/>
      <c r="G57" s="109"/>
      <c r="H57" s="109"/>
      <c r="I57" s="266"/>
      <c r="J57" s="266"/>
      <c r="K57" s="266"/>
    </row>
    <row r="58" spans="2:11" s="302" customFormat="1" x14ac:dyDescent="0.6">
      <c r="B58" s="428"/>
      <c r="C58" s="69"/>
      <c r="D58" s="69"/>
      <c r="E58" s="107"/>
      <c r="F58" s="69"/>
      <c r="G58" s="69"/>
      <c r="H58" s="107"/>
      <c r="I58" s="266"/>
      <c r="J58" s="266"/>
      <c r="K58" s="266"/>
    </row>
    <row r="59" spans="2:11" s="302" customFormat="1" x14ac:dyDescent="0.6">
      <c r="B59" s="429"/>
      <c r="C59" s="109"/>
      <c r="D59" s="109"/>
      <c r="E59" s="69"/>
      <c r="F59" s="109"/>
      <c r="G59" s="109"/>
      <c r="H59" s="110"/>
      <c r="I59" s="266"/>
      <c r="J59" s="266"/>
      <c r="K59" s="266"/>
    </row>
    <row r="60" spans="2:11" s="302" customFormat="1" x14ac:dyDescent="0.6">
      <c r="B60" s="429"/>
      <c r="C60" s="109"/>
      <c r="D60" s="109"/>
      <c r="E60" s="69"/>
      <c r="F60" s="109"/>
      <c r="G60" s="109"/>
      <c r="H60" s="110"/>
      <c r="I60" s="431"/>
      <c r="J60" s="266"/>
      <c r="K60" s="266"/>
    </row>
    <row r="61" spans="2:11" s="302" customFormat="1" x14ac:dyDescent="0.6">
      <c r="C61" s="399"/>
      <c r="D61" s="399"/>
      <c r="E61" s="399"/>
      <c r="F61" s="399"/>
      <c r="G61" s="399"/>
      <c r="I61" s="266"/>
      <c r="J61" s="266"/>
      <c r="K61" s="266"/>
    </row>
    <row r="62" spans="2:11" s="302" customFormat="1" x14ac:dyDescent="0.6">
      <c r="C62" s="400"/>
      <c r="D62" s="400"/>
      <c r="E62" s="400"/>
      <c r="F62" s="400"/>
      <c r="G62" s="400"/>
      <c r="H62" s="400"/>
      <c r="I62" s="266"/>
      <c r="J62" s="266"/>
      <c r="K62" s="266"/>
    </row>
    <row r="63" spans="2:11" s="302" customFormat="1" x14ac:dyDescent="0.6"/>
    <row r="64" spans="2:11" s="302" customFormat="1" x14ac:dyDescent="0.6"/>
    <row r="65" spans="2:9" s="302" customFormat="1" x14ac:dyDescent="0.6">
      <c r="B65" s="308"/>
    </row>
    <row r="66" spans="2:9" s="302" customFormat="1" x14ac:dyDescent="0.6">
      <c r="B66" s="426"/>
    </row>
    <row r="67" spans="2:9" s="302" customFormat="1" x14ac:dyDescent="0.6">
      <c r="B67" s="327"/>
    </row>
    <row r="68" spans="2:9" s="302" customFormat="1" x14ac:dyDescent="0.6">
      <c r="C68" s="427"/>
      <c r="D68" s="427"/>
      <c r="E68" s="427"/>
      <c r="F68" s="427"/>
      <c r="H68" s="427"/>
    </row>
    <row r="69" spans="2:9" s="302" customFormat="1" x14ac:dyDescent="0.6">
      <c r="C69" s="427"/>
      <c r="D69" s="329"/>
      <c r="E69" s="427"/>
      <c r="F69" s="329"/>
    </row>
    <row r="70" spans="2:9" s="302" customFormat="1" x14ac:dyDescent="0.6">
      <c r="B70" s="428"/>
      <c r="C70" s="69"/>
      <c r="D70" s="431"/>
      <c r="E70" s="430"/>
      <c r="F70" s="430"/>
    </row>
    <row r="71" spans="2:9" s="302" customFormat="1" x14ac:dyDescent="0.6">
      <c r="B71" s="429"/>
      <c r="C71" s="107"/>
      <c r="D71" s="431"/>
      <c r="E71" s="69"/>
      <c r="F71" s="431"/>
      <c r="H71" s="435"/>
      <c r="I71" s="422"/>
    </row>
    <row r="72" spans="2:9" s="302" customFormat="1" x14ac:dyDescent="0.6">
      <c r="B72" s="429"/>
      <c r="C72" s="107"/>
      <c r="D72" s="431"/>
      <c r="E72" s="69"/>
      <c r="F72" s="431"/>
      <c r="H72" s="435"/>
      <c r="I72" s="422"/>
    </row>
    <row r="73" spans="2:9" x14ac:dyDescent="0.6">
      <c r="C73" s="149"/>
      <c r="D73" s="152"/>
      <c r="E73" s="149"/>
      <c r="F73" s="152"/>
      <c r="H73" s="157"/>
      <c r="I73" s="116"/>
    </row>
    <row r="74" spans="2:9" x14ac:dyDescent="0.6">
      <c r="B74" s="122"/>
      <c r="C74" s="1"/>
      <c r="D74" s="152"/>
      <c r="E74" s="1"/>
      <c r="F74" s="152"/>
      <c r="H74" s="145"/>
    </row>
    <row r="75" spans="2:9" x14ac:dyDescent="0.6">
      <c r="B75" s="150"/>
      <c r="C75" s="149"/>
      <c r="D75" s="151"/>
      <c r="E75" s="1"/>
      <c r="F75" s="152"/>
      <c r="H75" s="157"/>
      <c r="I75" s="116"/>
    </row>
    <row r="76" spans="2:9" x14ac:dyDescent="0.6">
      <c r="B76" s="150"/>
      <c r="C76" s="149"/>
      <c r="D76" s="151"/>
      <c r="E76" s="1"/>
      <c r="F76" s="152"/>
    </row>
    <row r="77" spans="2:9" x14ac:dyDescent="0.6">
      <c r="C77" s="155"/>
      <c r="D77" s="151"/>
      <c r="E77" s="155"/>
      <c r="F77" s="151"/>
    </row>
    <row r="78" spans="2:9" x14ac:dyDescent="0.6">
      <c r="C78" s="155"/>
      <c r="D78" s="151"/>
      <c r="E78" s="155"/>
      <c r="F78" s="151"/>
    </row>
    <row r="79" spans="2:9" x14ac:dyDescent="0.6">
      <c r="C79" s="155"/>
      <c r="D79" s="151"/>
      <c r="E79" s="155"/>
      <c r="F79" s="151"/>
    </row>
    <row r="80" spans="2:9" x14ac:dyDescent="0.6">
      <c r="C80" s="124"/>
      <c r="E80" s="124"/>
    </row>
    <row r="81" spans="1:11" x14ac:dyDescent="0.6">
      <c r="A81" s="158"/>
      <c r="B81" s="146"/>
      <c r="C81" s="124"/>
      <c r="E81" s="124"/>
    </row>
    <row r="82" spans="1:11" x14ac:dyDescent="0.6">
      <c r="A82" s="158"/>
      <c r="B82" s="119"/>
    </row>
    <row r="84" spans="1:11" x14ac:dyDescent="0.6">
      <c r="B84" s="115"/>
    </row>
    <row r="85" spans="1:11" x14ac:dyDescent="0.6">
      <c r="B85" s="119"/>
    </row>
    <row r="86" spans="1:11" x14ac:dyDescent="0.6">
      <c r="B86" s="115"/>
    </row>
    <row r="87" spans="1:11" x14ac:dyDescent="0.6">
      <c r="C87" s="118"/>
      <c r="D87" s="118"/>
      <c r="E87" s="118"/>
      <c r="F87" s="118"/>
      <c r="G87" s="118"/>
      <c r="H87" s="118"/>
    </row>
    <row r="88" spans="1:11" x14ac:dyDescent="0.6">
      <c r="C88" s="158"/>
      <c r="D88" s="158"/>
      <c r="E88" s="158"/>
      <c r="F88" s="159"/>
      <c r="G88" s="159"/>
      <c r="H88" s="159"/>
    </row>
    <row r="89" spans="1:11" x14ac:dyDescent="0.6">
      <c r="B89" s="122"/>
      <c r="C89" s="158"/>
      <c r="D89" s="158"/>
      <c r="E89" s="158"/>
      <c r="F89" s="159"/>
      <c r="G89" s="159"/>
      <c r="H89" s="159"/>
      <c r="J89" s="124"/>
      <c r="K89" s="124"/>
    </row>
    <row r="90" spans="1:11" x14ac:dyDescent="0.6">
      <c r="B90" s="150"/>
      <c r="C90" s="158"/>
      <c r="D90" s="158"/>
      <c r="E90" s="159"/>
      <c r="F90" s="158"/>
      <c r="G90" s="159"/>
      <c r="H90" s="158"/>
      <c r="J90" s="124"/>
      <c r="K90" s="124"/>
    </row>
    <row r="91" spans="1:11" x14ac:dyDescent="0.6">
      <c r="B91" s="150"/>
      <c r="C91" s="158"/>
      <c r="D91" s="158"/>
      <c r="E91" s="159"/>
      <c r="F91" s="158"/>
      <c r="G91" s="158"/>
      <c r="H91" s="158"/>
      <c r="J91" s="124"/>
      <c r="K91" s="124"/>
    </row>
    <row r="92" spans="1:11" x14ac:dyDescent="0.6">
      <c r="B92" s="153"/>
      <c r="C92" s="158"/>
      <c r="D92" s="158"/>
      <c r="E92" s="158"/>
      <c r="F92" s="158"/>
      <c r="G92" s="158"/>
      <c r="H92" s="158"/>
      <c r="J92" s="124"/>
      <c r="K92" s="124"/>
    </row>
    <row r="93" spans="1:11" x14ac:dyDescent="0.6">
      <c r="B93" s="154"/>
      <c r="C93" s="159"/>
      <c r="D93" s="159"/>
      <c r="E93" s="158"/>
      <c r="F93" s="158"/>
      <c r="G93" s="158"/>
      <c r="H93" s="158"/>
      <c r="J93" s="124"/>
      <c r="K93" s="124"/>
    </row>
    <row r="94" spans="1:11" x14ac:dyDescent="0.6">
      <c r="B94" s="154"/>
      <c r="C94" s="159"/>
      <c r="D94" s="159"/>
      <c r="E94" s="158"/>
      <c r="F94" s="158"/>
      <c r="G94" s="158"/>
      <c r="H94" s="158"/>
      <c r="J94" s="124"/>
      <c r="K94" s="124"/>
    </row>
    <row r="95" spans="1:11" x14ac:dyDescent="0.6">
      <c r="C95" s="159"/>
      <c r="D95" s="159"/>
      <c r="E95" s="158"/>
      <c r="F95" s="158"/>
      <c r="G95" s="158"/>
      <c r="H95" s="158"/>
      <c r="J95" s="124"/>
      <c r="K95" s="124"/>
    </row>
    <row r="96" spans="1:11" x14ac:dyDescent="0.6">
      <c r="B96" s="122"/>
      <c r="C96" s="159"/>
      <c r="D96" s="159"/>
      <c r="E96" s="158"/>
      <c r="F96" s="159"/>
      <c r="G96" s="159"/>
      <c r="H96" s="159"/>
      <c r="J96" s="124"/>
      <c r="K96" s="124"/>
    </row>
    <row r="97" spans="2:11" x14ac:dyDescent="0.6">
      <c r="B97" s="150"/>
      <c r="C97" s="158"/>
      <c r="D97" s="158"/>
      <c r="E97" s="159"/>
      <c r="F97" s="158"/>
      <c r="G97" s="158"/>
      <c r="H97" s="158"/>
      <c r="J97" s="124"/>
      <c r="K97" s="124"/>
    </row>
    <row r="98" spans="2:11" x14ac:dyDescent="0.6">
      <c r="B98" s="150"/>
      <c r="C98" s="158"/>
      <c r="D98" s="158"/>
      <c r="E98" s="159"/>
      <c r="F98" s="158"/>
      <c r="G98" s="158"/>
      <c r="H98" s="158"/>
      <c r="J98" s="124"/>
      <c r="K98" s="124"/>
    </row>
    <row r="99" spans="2:11" x14ac:dyDescent="0.6">
      <c r="C99" s="158"/>
      <c r="D99" s="158"/>
      <c r="E99" s="159"/>
      <c r="F99" s="158"/>
      <c r="G99" s="158"/>
      <c r="H99" s="158"/>
      <c r="J99" s="124"/>
      <c r="K99" s="124"/>
    </row>
    <row r="102" spans="2:11" x14ac:dyDescent="0.6">
      <c r="B102" s="115"/>
    </row>
    <row r="103" spans="2:11" x14ac:dyDescent="0.6">
      <c r="B103" s="119"/>
    </row>
    <row r="104" spans="2:11" x14ac:dyDescent="0.6">
      <c r="B104" s="85"/>
    </row>
    <row r="105" spans="2:11" x14ac:dyDescent="0.6">
      <c r="C105" s="118"/>
      <c r="D105" s="118"/>
      <c r="E105" s="118"/>
      <c r="F105" s="118"/>
      <c r="H105" s="118"/>
    </row>
    <row r="106" spans="2:11" x14ac:dyDescent="0.6">
      <c r="F106" s="156"/>
    </row>
    <row r="107" spans="2:11" x14ac:dyDescent="0.6">
      <c r="B107" s="122"/>
      <c r="C107" s="159"/>
      <c r="D107" s="159"/>
      <c r="E107" s="159"/>
      <c r="F107" s="151"/>
    </row>
    <row r="108" spans="2:11" x14ac:dyDescent="0.6">
      <c r="B108" s="150"/>
      <c r="C108" s="159"/>
      <c r="D108" s="159"/>
      <c r="E108" s="159"/>
      <c r="F108" s="152"/>
      <c r="H108" s="160"/>
      <c r="I108" s="116"/>
    </row>
    <row r="109" spans="2:11" x14ac:dyDescent="0.6">
      <c r="B109" s="150"/>
      <c r="C109" s="159"/>
      <c r="D109" s="159"/>
      <c r="E109" s="159"/>
      <c r="F109" s="152"/>
      <c r="H109" s="160"/>
      <c r="I109" s="116"/>
    </row>
    <row r="110" spans="2:11" x14ac:dyDescent="0.6">
      <c r="C110" s="159"/>
      <c r="D110" s="159"/>
      <c r="E110" s="159"/>
      <c r="F110" s="152"/>
      <c r="H110" s="157"/>
      <c r="I110" s="116"/>
    </row>
    <row r="111" spans="2:11" x14ac:dyDescent="0.6">
      <c r="B111" s="122"/>
      <c r="C111" s="159"/>
      <c r="D111" s="159"/>
      <c r="E111" s="159"/>
      <c r="F111" s="152"/>
      <c r="H111" s="145"/>
    </row>
    <row r="112" spans="2:11" x14ac:dyDescent="0.6">
      <c r="B112" s="150"/>
      <c r="C112" s="159"/>
      <c r="D112" s="159"/>
      <c r="E112" s="159"/>
      <c r="F112" s="152"/>
      <c r="H112" s="160"/>
      <c r="I112" s="116"/>
    </row>
    <row r="113" spans="1:10" x14ac:dyDescent="0.6">
      <c r="B113" s="150"/>
      <c r="C113" s="159"/>
      <c r="D113" s="159"/>
      <c r="E113" s="159"/>
      <c r="F113" s="152"/>
    </row>
    <row r="114" spans="1:10" x14ac:dyDescent="0.6">
      <c r="C114" s="155"/>
      <c r="D114" s="151"/>
      <c r="E114" s="155"/>
      <c r="F114" s="151"/>
    </row>
    <row r="115" spans="1:10" x14ac:dyDescent="0.6">
      <c r="C115" s="155"/>
      <c r="D115" s="151"/>
      <c r="E115" s="155"/>
      <c r="F115" s="151"/>
    </row>
    <row r="117" spans="1:10" x14ac:dyDescent="0.6">
      <c r="A117" s="158"/>
      <c r="B117" s="115"/>
      <c r="C117" s="124"/>
      <c r="E117" s="124"/>
    </row>
    <row r="118" spans="1:10" x14ac:dyDescent="0.6">
      <c r="C118" s="124"/>
      <c r="E118" s="124"/>
    </row>
    <row r="119" spans="1:10" x14ac:dyDescent="0.6">
      <c r="C119" s="118"/>
      <c r="D119" s="118"/>
      <c r="E119" s="118"/>
      <c r="F119" s="118"/>
      <c r="G119" s="118"/>
      <c r="H119" s="118"/>
    </row>
    <row r="121" spans="1:10" x14ac:dyDescent="0.6">
      <c r="B121" s="120"/>
      <c r="C121" s="148"/>
      <c r="D121" s="148"/>
      <c r="E121" s="161"/>
      <c r="F121" s="148"/>
      <c r="G121" s="148"/>
      <c r="H121" s="148"/>
    </row>
    <row r="122" spans="1:10" ht="15.25" x14ac:dyDescent="1.05">
      <c r="B122" s="120"/>
      <c r="C122" s="162"/>
      <c r="D122" s="162"/>
      <c r="E122" s="162"/>
      <c r="F122" s="162"/>
      <c r="G122" s="162"/>
      <c r="H122" s="162"/>
    </row>
    <row r="123" spans="1:10" x14ac:dyDescent="0.6">
      <c r="B123" s="120"/>
      <c r="C123" s="121"/>
      <c r="D123" s="121"/>
      <c r="E123" s="121"/>
      <c r="F123" s="121"/>
      <c r="G123" s="121"/>
      <c r="H123" s="121"/>
    </row>
    <row r="124" spans="1:10" x14ac:dyDescent="0.6">
      <c r="B124" s="120"/>
      <c r="C124" s="121"/>
      <c r="D124" s="121"/>
      <c r="E124" s="121"/>
      <c r="F124" s="121"/>
      <c r="G124" s="121"/>
      <c r="H124" s="121"/>
      <c r="I124" s="121"/>
      <c r="J124" s="121"/>
    </row>
    <row r="125" spans="1:10" x14ac:dyDescent="0.6">
      <c r="B125" s="120"/>
      <c r="C125" s="121"/>
      <c r="D125" s="121"/>
      <c r="E125" s="121"/>
      <c r="F125" s="121"/>
      <c r="G125" s="121"/>
      <c r="H125" s="121"/>
      <c r="I125" s="121"/>
      <c r="J125" s="121"/>
    </row>
    <row r="126" spans="1:10" x14ac:dyDescent="0.6">
      <c r="B126" s="120"/>
      <c r="C126" s="118"/>
      <c r="D126" s="118"/>
      <c r="F126" s="118"/>
      <c r="G126" s="118"/>
      <c r="H126" s="121"/>
      <c r="I126" s="121"/>
      <c r="J126" s="121"/>
    </row>
    <row r="127" spans="1:10" x14ac:dyDescent="0.6">
      <c r="B127" s="120"/>
      <c r="C127" s="118"/>
      <c r="D127" s="118"/>
      <c r="F127" s="118"/>
      <c r="G127" s="118"/>
      <c r="H127" s="121"/>
      <c r="I127" s="121"/>
      <c r="J127" s="121"/>
    </row>
    <row r="128" spans="1:10" x14ac:dyDescent="0.6">
      <c r="B128" s="120"/>
      <c r="G128" s="121"/>
      <c r="H128" s="121"/>
      <c r="I128" s="121"/>
      <c r="J128" s="121"/>
    </row>
    <row r="129" spans="2:10" x14ac:dyDescent="0.6">
      <c r="B129" s="120"/>
      <c r="C129" s="161"/>
      <c r="D129" s="161"/>
      <c r="F129" s="161"/>
      <c r="G129" s="161"/>
      <c r="H129" s="121"/>
      <c r="I129" s="121"/>
      <c r="J129" s="121"/>
    </row>
    <row r="130" spans="2:10" ht="15.25" x14ac:dyDescent="1.05">
      <c r="B130" s="120"/>
      <c r="C130" s="163"/>
      <c r="D130" s="163"/>
      <c r="F130" s="163"/>
      <c r="G130" s="163"/>
      <c r="H130" s="121"/>
      <c r="I130" s="121"/>
      <c r="J130" s="121"/>
    </row>
    <row r="131" spans="2:10" x14ac:dyDescent="0.6">
      <c r="B131" s="120"/>
      <c r="C131" s="121"/>
      <c r="D131" s="121"/>
      <c r="F131" s="121"/>
      <c r="G131" s="121"/>
      <c r="H131" s="121"/>
      <c r="I131" s="121"/>
      <c r="J131" s="121"/>
    </row>
    <row r="132" spans="2:10" x14ac:dyDescent="0.6">
      <c r="B132" s="120"/>
      <c r="C132" s="121"/>
      <c r="F132" s="121"/>
      <c r="G132" s="121"/>
      <c r="H132" s="121"/>
      <c r="I132" s="121"/>
      <c r="J132" s="121"/>
    </row>
    <row r="133" spans="2:10" x14ac:dyDescent="0.6">
      <c r="B133" s="120"/>
      <c r="C133" s="121"/>
      <c r="D133" s="121"/>
      <c r="E133" s="121"/>
      <c r="F133" s="121"/>
      <c r="G133" s="121"/>
      <c r="H133" s="121"/>
      <c r="I133" s="121"/>
      <c r="J133" s="121"/>
    </row>
    <row r="134" spans="2:10" x14ac:dyDescent="0.6">
      <c r="B134" s="120"/>
      <c r="C134" s="118"/>
      <c r="D134" s="118"/>
      <c r="E134" s="118"/>
      <c r="F134" s="121"/>
      <c r="G134" s="121"/>
      <c r="H134" s="121"/>
      <c r="I134" s="121"/>
      <c r="J134" s="121"/>
    </row>
    <row r="135" spans="2:10" x14ac:dyDescent="0.6">
      <c r="B135" s="120"/>
      <c r="C135" s="121"/>
      <c r="D135" s="121"/>
      <c r="E135" s="121"/>
      <c r="F135" s="121"/>
      <c r="G135" s="121"/>
      <c r="H135" s="121"/>
      <c r="I135" s="121"/>
      <c r="J135" s="121"/>
    </row>
    <row r="136" spans="2:10" ht="15.25" x14ac:dyDescent="1.05">
      <c r="B136" s="120"/>
      <c r="C136" s="147"/>
      <c r="D136" s="147"/>
      <c r="E136" s="147"/>
    </row>
    <row r="137" spans="2:10" x14ac:dyDescent="0.6">
      <c r="B137" s="120"/>
      <c r="C137" s="121"/>
      <c r="D137" s="121"/>
      <c r="E137" s="164"/>
    </row>
    <row r="138" spans="2:10" x14ac:dyDescent="0.6">
      <c r="B138" s="120"/>
      <c r="C138" s="124"/>
      <c r="E138" s="124"/>
    </row>
    <row r="139" spans="2:10" x14ac:dyDescent="0.6">
      <c r="C139" s="118"/>
      <c r="D139" s="118"/>
      <c r="E139" s="118"/>
      <c r="F139" s="118"/>
      <c r="G139" s="118"/>
      <c r="H139" s="118"/>
      <c r="I139" s="118"/>
      <c r="J139" s="118"/>
    </row>
    <row r="141" spans="2:10" x14ac:dyDescent="0.6">
      <c r="B141" s="120"/>
      <c r="C141" s="121"/>
    </row>
    <row r="142" spans="2:10" ht="15.25" x14ac:dyDescent="1.05">
      <c r="B142" s="120"/>
      <c r="C142" s="147"/>
    </row>
    <row r="143" spans="2:10" x14ac:dyDescent="0.6">
      <c r="B143" s="120"/>
      <c r="C143" s="121"/>
    </row>
    <row r="144" spans="2:10" x14ac:dyDescent="0.6">
      <c r="C144" s="124"/>
    </row>
    <row r="145" spans="1:8" x14ac:dyDescent="0.6">
      <c r="B145" s="165"/>
      <c r="C145" s="143"/>
    </row>
    <row r="146" spans="1:8" x14ac:dyDescent="0.6">
      <c r="B146" s="120"/>
      <c r="C146" s="121"/>
    </row>
    <row r="147" spans="1:8" ht="15.25" x14ac:dyDescent="1.05">
      <c r="B147" s="120"/>
      <c r="C147" s="147"/>
    </row>
    <row r="148" spans="1:8" x14ac:dyDescent="0.6">
      <c r="B148" s="120"/>
      <c r="C148" s="121"/>
    </row>
    <row r="151" spans="1:8" x14ac:dyDescent="0.6">
      <c r="D151" s="138"/>
      <c r="E151" s="138"/>
      <c r="F151" s="138"/>
      <c r="G151" s="138"/>
    </row>
    <row r="152" spans="1:8" x14ac:dyDescent="0.6">
      <c r="D152" s="138"/>
      <c r="E152" s="138"/>
      <c r="F152" s="138"/>
      <c r="G152" s="138"/>
    </row>
    <row r="153" spans="1:8" x14ac:dyDescent="0.6">
      <c r="A153" s="158"/>
      <c r="B153" s="146"/>
      <c r="C153" s="124"/>
      <c r="E153" s="124"/>
    </row>
    <row r="154" spans="1:8" x14ac:dyDescent="0.6">
      <c r="B154" s="119"/>
    </row>
    <row r="156" spans="1:8" x14ac:dyDescent="0.6">
      <c r="B156" s="115"/>
    </row>
    <row r="157" spans="1:8" x14ac:dyDescent="0.6">
      <c r="B157" s="119"/>
    </row>
    <row r="158" spans="1:8" x14ac:dyDescent="0.6">
      <c r="B158" s="115"/>
    </row>
    <row r="159" spans="1:8" x14ac:dyDescent="0.6">
      <c r="C159" s="118"/>
      <c r="D159" s="118"/>
      <c r="E159" s="118"/>
      <c r="F159" s="118"/>
      <c r="G159" s="118"/>
      <c r="H159" s="118"/>
    </row>
    <row r="160" spans="1:8" x14ac:dyDescent="0.6">
      <c r="C160" s="158"/>
      <c r="D160" s="158"/>
      <c r="E160" s="158"/>
      <c r="F160" s="159"/>
      <c r="G160" s="159"/>
      <c r="H160" s="159"/>
    </row>
    <row r="161" spans="2:8" x14ac:dyDescent="0.6">
      <c r="B161" s="122"/>
      <c r="C161" s="158"/>
      <c r="D161" s="158"/>
      <c r="E161" s="158"/>
      <c r="F161" s="159"/>
      <c r="G161" s="159"/>
      <c r="H161" s="159"/>
    </row>
    <row r="162" spans="2:8" x14ac:dyDescent="0.6">
      <c r="B162" s="150"/>
      <c r="C162" s="158"/>
      <c r="D162" s="158"/>
      <c r="E162" s="159"/>
      <c r="G162" s="159"/>
      <c r="H162" s="158"/>
    </row>
    <row r="163" spans="2:8" x14ac:dyDescent="0.6">
      <c r="B163" s="150"/>
      <c r="C163" s="158"/>
      <c r="D163" s="158"/>
      <c r="E163" s="159"/>
      <c r="F163" s="158"/>
      <c r="G163" s="158"/>
      <c r="H163" s="158"/>
    </row>
    <row r="164" spans="2:8" x14ac:dyDescent="0.6">
      <c r="B164" s="153"/>
      <c r="C164" s="158"/>
      <c r="D164" s="158"/>
      <c r="E164" s="158"/>
      <c r="F164" s="158"/>
      <c r="G164" s="158"/>
      <c r="H164" s="158"/>
    </row>
    <row r="165" spans="2:8" x14ac:dyDescent="0.6">
      <c r="B165" s="154"/>
      <c r="C165" s="159"/>
      <c r="D165" s="159"/>
      <c r="E165" s="158"/>
      <c r="F165" s="158"/>
      <c r="G165" s="158"/>
      <c r="H165" s="158"/>
    </row>
    <row r="166" spans="2:8" x14ac:dyDescent="0.6">
      <c r="B166" s="154"/>
      <c r="C166" s="159"/>
      <c r="D166" s="159"/>
      <c r="E166" s="158"/>
      <c r="F166" s="158"/>
      <c r="G166" s="158"/>
      <c r="H166" s="158"/>
    </row>
    <row r="167" spans="2:8" x14ac:dyDescent="0.6">
      <c r="C167" s="159"/>
      <c r="D167" s="159"/>
      <c r="E167" s="158"/>
      <c r="F167" s="158"/>
      <c r="G167" s="158"/>
      <c r="H167" s="158"/>
    </row>
    <row r="168" spans="2:8" x14ac:dyDescent="0.6">
      <c r="B168" s="122"/>
      <c r="C168" s="159"/>
      <c r="D168" s="159"/>
      <c r="E168" s="158"/>
      <c r="F168" s="159"/>
      <c r="G168" s="159"/>
      <c r="H168" s="159"/>
    </row>
    <row r="169" spans="2:8" x14ac:dyDescent="0.6">
      <c r="B169" s="150"/>
      <c r="C169" s="158"/>
      <c r="D169" s="158"/>
      <c r="E169" s="159"/>
      <c r="F169" s="158"/>
      <c r="G169" s="158"/>
      <c r="H169" s="158"/>
    </row>
    <row r="170" spans="2:8" x14ac:dyDescent="0.6">
      <c r="B170" s="150"/>
      <c r="C170" s="158"/>
      <c r="D170" s="158"/>
      <c r="E170" s="159"/>
      <c r="F170" s="158"/>
      <c r="G170" s="158"/>
      <c r="H170" s="158"/>
    </row>
    <row r="171" spans="2:8" x14ac:dyDescent="0.6">
      <c r="C171" s="158"/>
      <c r="D171" s="158"/>
      <c r="E171" s="159"/>
      <c r="F171" s="158"/>
      <c r="G171" s="158"/>
      <c r="H171" s="158"/>
    </row>
    <row r="174" spans="2:8" x14ac:dyDescent="0.6">
      <c r="B174" s="115"/>
    </row>
    <row r="175" spans="2:8" x14ac:dyDescent="0.6">
      <c r="B175" s="119"/>
    </row>
    <row r="176" spans="2:8" x14ac:dyDescent="0.6">
      <c r="B176" s="85"/>
    </row>
    <row r="177" spans="1:10" x14ac:dyDescent="0.6">
      <c r="C177" s="118"/>
      <c r="D177" s="118"/>
      <c r="E177" s="118"/>
      <c r="F177" s="118"/>
      <c r="H177" s="118"/>
    </row>
    <row r="178" spans="1:10" x14ac:dyDescent="0.6">
      <c r="F178" s="156"/>
    </row>
    <row r="179" spans="1:10" x14ac:dyDescent="0.6">
      <c r="B179" s="122"/>
      <c r="C179" s="159"/>
      <c r="D179" s="159"/>
      <c r="E179" s="159"/>
      <c r="F179" s="151"/>
    </row>
    <row r="180" spans="1:10" x14ac:dyDescent="0.6">
      <c r="B180" s="150"/>
      <c r="C180" s="159"/>
      <c r="D180" s="159"/>
      <c r="E180" s="159"/>
      <c r="F180" s="152"/>
      <c r="H180" s="166"/>
    </row>
    <row r="181" spans="1:10" x14ac:dyDescent="0.6">
      <c r="B181" s="150"/>
      <c r="C181" s="159"/>
      <c r="D181" s="159"/>
      <c r="E181" s="159"/>
      <c r="F181" s="152"/>
      <c r="H181" s="166"/>
    </row>
    <row r="182" spans="1:10" x14ac:dyDescent="0.6">
      <c r="C182" s="159"/>
      <c r="D182" s="159"/>
      <c r="E182" s="159"/>
      <c r="F182" s="152"/>
      <c r="H182" s="157"/>
    </row>
    <row r="183" spans="1:10" x14ac:dyDescent="0.6">
      <c r="B183" s="122"/>
      <c r="C183" s="159"/>
      <c r="D183" s="159"/>
      <c r="E183" s="159"/>
      <c r="F183" s="152"/>
      <c r="H183" s="145"/>
    </row>
    <row r="184" spans="1:10" x14ac:dyDescent="0.6">
      <c r="B184" s="150"/>
      <c r="C184" s="159"/>
      <c r="D184" s="159"/>
      <c r="E184" s="159"/>
      <c r="F184" s="152"/>
      <c r="H184" s="166"/>
    </row>
    <row r="185" spans="1:10" x14ac:dyDescent="0.6">
      <c r="B185" s="150"/>
      <c r="C185" s="159"/>
      <c r="D185" s="159"/>
      <c r="E185" s="159"/>
      <c r="F185" s="152"/>
    </row>
    <row r="189" spans="1:10" x14ac:dyDescent="0.6">
      <c r="A189" s="158"/>
      <c r="B189" s="115"/>
      <c r="C189" s="124"/>
      <c r="E189" s="124"/>
    </row>
    <row r="190" spans="1:10" x14ac:dyDescent="0.6">
      <c r="C190" s="124"/>
      <c r="E190" s="124"/>
    </row>
    <row r="191" spans="1:10" x14ac:dyDescent="0.6">
      <c r="C191" s="118"/>
      <c r="D191" s="118"/>
      <c r="E191" s="118"/>
      <c r="F191" s="118"/>
      <c r="G191" s="118"/>
      <c r="H191" s="118"/>
      <c r="I191" s="118"/>
      <c r="J191" s="118"/>
    </row>
    <row r="193" spans="2:10" x14ac:dyDescent="0.6">
      <c r="B193" s="120"/>
      <c r="C193" s="148"/>
      <c r="D193" s="148"/>
      <c r="E193" s="161"/>
      <c r="F193" s="148"/>
      <c r="G193" s="148"/>
      <c r="H193" s="148"/>
      <c r="I193" s="161"/>
      <c r="J193" s="161"/>
    </row>
    <row r="194" spans="2:10" ht="15.25" x14ac:dyDescent="1.05">
      <c r="B194" s="120"/>
      <c r="C194" s="162"/>
      <c r="D194" s="162"/>
      <c r="E194" s="162"/>
      <c r="F194" s="162"/>
      <c r="G194" s="162"/>
      <c r="H194" s="162"/>
      <c r="I194" s="163"/>
      <c r="J194" s="163"/>
    </row>
    <row r="195" spans="2:10" x14ac:dyDescent="0.6">
      <c r="B195" s="120"/>
      <c r="C195" s="121"/>
      <c r="D195" s="121"/>
      <c r="E195" s="121"/>
      <c r="F195" s="121"/>
      <c r="G195" s="121"/>
      <c r="H195" s="121"/>
      <c r="I195" s="121"/>
      <c r="J195" s="121"/>
    </row>
    <row r="196" spans="2:10" x14ac:dyDescent="0.6">
      <c r="B196" s="120"/>
      <c r="C196" s="121"/>
      <c r="D196" s="121"/>
      <c r="E196" s="121"/>
      <c r="F196" s="121"/>
      <c r="G196" s="121"/>
      <c r="H196" s="121"/>
      <c r="I196" s="121"/>
      <c r="J196" s="121"/>
    </row>
    <row r="197" spans="2:10" x14ac:dyDescent="0.6">
      <c r="B197" s="120"/>
      <c r="C197" s="121"/>
      <c r="D197" s="121"/>
      <c r="E197" s="121"/>
      <c r="F197" s="121"/>
      <c r="G197" s="121"/>
      <c r="H197" s="121"/>
      <c r="I197" s="121"/>
      <c r="J197" s="121"/>
    </row>
    <row r="198" spans="2:10" ht="15.25" x14ac:dyDescent="1.05">
      <c r="B198" s="120"/>
      <c r="C198" s="147"/>
      <c r="E198" s="124"/>
    </row>
    <row r="199" spans="2:10" x14ac:dyDescent="0.6">
      <c r="B199" s="120"/>
      <c r="C199" s="121"/>
      <c r="E199" s="124"/>
    </row>
    <row r="200" spans="2:10" x14ac:dyDescent="0.6">
      <c r="B200" s="120"/>
      <c r="C200" s="124"/>
      <c r="E200" s="124"/>
    </row>
    <row r="201" spans="2:10" x14ac:dyDescent="0.6">
      <c r="C201" s="118"/>
      <c r="D201" s="118"/>
      <c r="E201" s="118"/>
      <c r="F201" s="118"/>
      <c r="G201" s="118"/>
      <c r="H201" s="118"/>
      <c r="I201" s="118"/>
      <c r="J201" s="118"/>
    </row>
    <row r="203" spans="2:10" x14ac:dyDescent="0.6">
      <c r="B203" s="120"/>
      <c r="C203" s="121"/>
    </row>
    <row r="204" spans="2:10" ht="15.25" x14ac:dyDescent="1.05">
      <c r="B204" s="120"/>
      <c r="C204" s="147"/>
    </row>
    <row r="205" spans="2:10" x14ac:dyDescent="0.6">
      <c r="B205" s="120"/>
      <c r="C205" s="121"/>
      <c r="D205" s="121"/>
      <c r="G205" s="120"/>
    </row>
    <row r="206" spans="2:10" x14ac:dyDescent="0.6">
      <c r="C206" s="124"/>
      <c r="E206" s="124"/>
      <c r="G206" s="120"/>
    </row>
    <row r="207" spans="2:10" x14ac:dyDescent="0.6">
      <c r="B207" s="165"/>
      <c r="C207" s="121"/>
      <c r="E207" s="167"/>
      <c r="G207" s="167"/>
    </row>
    <row r="208" spans="2:10" x14ac:dyDescent="0.6">
      <c r="B208" s="120"/>
      <c r="C208" s="121"/>
      <c r="E208" s="2"/>
    </row>
    <row r="209" spans="1:8" ht="15.25" x14ac:dyDescent="1.05">
      <c r="B209" s="120"/>
      <c r="C209" s="147"/>
      <c r="E209" s="3"/>
    </row>
    <row r="210" spans="1:8" x14ac:dyDescent="0.6">
      <c r="B210" s="120"/>
      <c r="C210" s="121"/>
      <c r="E210" s="2"/>
    </row>
    <row r="212" spans="1:8" x14ac:dyDescent="0.6">
      <c r="C212" s="117"/>
    </row>
    <row r="213" spans="1:8" outlineLevel="1" x14ac:dyDescent="0.6">
      <c r="A213" s="115"/>
    </row>
    <row r="214" spans="1:8" outlineLevel="1" x14ac:dyDescent="0.6">
      <c r="A214" s="158"/>
      <c r="B214" s="146"/>
      <c r="C214" s="124"/>
      <c r="E214" s="124"/>
    </row>
    <row r="215" spans="1:8" outlineLevel="1" x14ac:dyDescent="0.6">
      <c r="B215" s="119"/>
    </row>
    <row r="216" spans="1:8" outlineLevel="1" x14ac:dyDescent="0.6">
      <c r="A216" s="158"/>
    </row>
    <row r="217" spans="1:8" outlineLevel="1" x14ac:dyDescent="0.6">
      <c r="B217" s="115"/>
    </row>
    <row r="218" spans="1:8" outlineLevel="1" x14ac:dyDescent="0.6">
      <c r="B218" s="119"/>
    </row>
    <row r="219" spans="1:8" outlineLevel="1" x14ac:dyDescent="0.6">
      <c r="B219" s="115"/>
    </row>
    <row r="220" spans="1:8" outlineLevel="1" x14ac:dyDescent="0.6">
      <c r="C220" s="118"/>
      <c r="D220" s="118"/>
      <c r="E220" s="118"/>
      <c r="F220" s="118"/>
      <c r="G220" s="118"/>
      <c r="H220" s="118"/>
    </row>
    <row r="221" spans="1:8" outlineLevel="1" x14ac:dyDescent="0.6">
      <c r="C221" s="158"/>
      <c r="D221" s="158"/>
      <c r="E221" s="158"/>
      <c r="F221" s="159"/>
      <c r="G221" s="159"/>
      <c r="H221" s="159"/>
    </row>
    <row r="222" spans="1:8" outlineLevel="1" x14ac:dyDescent="0.6">
      <c r="B222" s="122"/>
      <c r="C222" s="158"/>
      <c r="D222" s="158"/>
      <c r="E222" s="158"/>
      <c r="F222" s="159"/>
      <c r="G222" s="159"/>
      <c r="H222" s="159"/>
    </row>
    <row r="223" spans="1:8" outlineLevel="1" x14ac:dyDescent="0.6">
      <c r="B223" s="150"/>
      <c r="C223" s="158"/>
      <c r="D223" s="158"/>
      <c r="E223" s="159"/>
    </row>
    <row r="224" spans="1:8" outlineLevel="1" x14ac:dyDescent="0.6">
      <c r="B224" s="150"/>
      <c r="C224" s="158"/>
      <c r="D224" s="158"/>
      <c r="E224" s="159"/>
      <c r="F224" s="158"/>
      <c r="G224" s="158"/>
      <c r="H224" s="158"/>
    </row>
    <row r="225" spans="2:8" outlineLevel="1" x14ac:dyDescent="0.6">
      <c r="B225" s="153"/>
      <c r="C225" s="158"/>
      <c r="D225" s="158"/>
      <c r="E225" s="158"/>
      <c r="F225" s="158"/>
      <c r="G225" s="158"/>
      <c r="H225" s="158"/>
    </row>
    <row r="226" spans="2:8" outlineLevel="1" x14ac:dyDescent="0.6">
      <c r="B226" s="154"/>
      <c r="C226" s="159"/>
      <c r="D226" s="159"/>
      <c r="E226" s="158"/>
      <c r="F226" s="158"/>
      <c r="G226" s="158"/>
      <c r="H226" s="158"/>
    </row>
    <row r="227" spans="2:8" outlineLevel="1" x14ac:dyDescent="0.6">
      <c r="B227" s="154"/>
      <c r="C227" s="159"/>
      <c r="D227" s="159"/>
      <c r="E227" s="158"/>
      <c r="F227" s="158"/>
      <c r="G227" s="158"/>
      <c r="H227" s="158"/>
    </row>
    <row r="228" spans="2:8" outlineLevel="1" x14ac:dyDescent="0.6">
      <c r="C228" s="159"/>
      <c r="D228" s="159"/>
      <c r="E228" s="158"/>
      <c r="F228" s="158"/>
      <c r="G228" s="158"/>
      <c r="H228" s="158"/>
    </row>
    <row r="229" spans="2:8" outlineLevel="1" x14ac:dyDescent="0.6">
      <c r="B229" s="122"/>
      <c r="C229" s="159"/>
      <c r="D229" s="159"/>
      <c r="E229" s="158"/>
      <c r="F229" s="159"/>
      <c r="G229" s="159"/>
      <c r="H229" s="159"/>
    </row>
    <row r="230" spans="2:8" outlineLevel="1" x14ac:dyDescent="0.6">
      <c r="B230" s="150"/>
      <c r="C230" s="158"/>
      <c r="D230" s="158"/>
      <c r="E230" s="159"/>
      <c r="F230" s="158"/>
      <c r="G230" s="158"/>
      <c r="H230" s="158"/>
    </row>
    <row r="231" spans="2:8" outlineLevel="1" x14ac:dyDescent="0.6">
      <c r="B231" s="150"/>
      <c r="C231" s="158"/>
      <c r="D231" s="158"/>
      <c r="E231" s="159"/>
      <c r="F231" s="158"/>
      <c r="G231" s="158"/>
      <c r="H231" s="158"/>
    </row>
    <row r="232" spans="2:8" outlineLevel="1" x14ac:dyDescent="0.6">
      <c r="C232" s="158"/>
      <c r="D232" s="158"/>
      <c r="E232" s="159"/>
      <c r="F232" s="158"/>
      <c r="G232" s="158"/>
      <c r="H232" s="158"/>
    </row>
    <row r="233" spans="2:8" outlineLevel="1" x14ac:dyDescent="0.6"/>
    <row r="234" spans="2:8" outlineLevel="1" x14ac:dyDescent="0.6"/>
    <row r="235" spans="2:8" outlineLevel="1" x14ac:dyDescent="0.6">
      <c r="B235" s="115"/>
    </row>
    <row r="236" spans="2:8" outlineLevel="1" x14ac:dyDescent="0.6">
      <c r="B236" s="119"/>
    </row>
    <row r="237" spans="2:8" outlineLevel="1" x14ac:dyDescent="0.6">
      <c r="B237" s="85"/>
    </row>
    <row r="238" spans="2:8" outlineLevel="1" x14ac:dyDescent="0.6">
      <c r="C238" s="118"/>
      <c r="D238" s="118"/>
      <c r="E238" s="118"/>
      <c r="F238" s="118"/>
      <c r="H238" s="118"/>
    </row>
    <row r="239" spans="2:8" outlineLevel="1" x14ac:dyDescent="0.6">
      <c r="F239" s="156"/>
    </row>
    <row r="240" spans="2:8" outlineLevel="1" x14ac:dyDescent="0.6">
      <c r="B240" s="122"/>
      <c r="C240" s="159"/>
      <c r="D240" s="159"/>
      <c r="E240" s="159"/>
      <c r="F240" s="151"/>
    </row>
    <row r="241" spans="1:10" outlineLevel="1" x14ac:dyDescent="0.6">
      <c r="B241" s="150"/>
      <c r="C241" s="159"/>
      <c r="D241" s="159"/>
      <c r="E241" s="159"/>
      <c r="F241" s="152"/>
      <c r="H241" s="166"/>
    </row>
    <row r="242" spans="1:10" outlineLevel="1" x14ac:dyDescent="0.6">
      <c r="B242" s="150"/>
      <c r="C242" s="159"/>
      <c r="D242" s="159"/>
      <c r="E242" s="159"/>
      <c r="F242" s="152"/>
      <c r="H242" s="166"/>
    </row>
    <row r="243" spans="1:10" outlineLevel="1" x14ac:dyDescent="0.6">
      <c r="C243" s="159"/>
      <c r="D243" s="159"/>
      <c r="E243" s="159"/>
      <c r="F243" s="152"/>
      <c r="H243" s="157"/>
    </row>
    <row r="244" spans="1:10" outlineLevel="1" x14ac:dyDescent="0.6">
      <c r="B244" s="122"/>
      <c r="C244" s="159"/>
      <c r="D244" s="159"/>
      <c r="E244" s="159"/>
      <c r="F244" s="152"/>
      <c r="H244" s="145"/>
    </row>
    <row r="245" spans="1:10" outlineLevel="1" x14ac:dyDescent="0.6">
      <c r="B245" s="150"/>
      <c r="C245" s="159"/>
      <c r="D245" s="159"/>
      <c r="E245" s="159"/>
      <c r="F245" s="152"/>
      <c r="H245" s="166"/>
    </row>
    <row r="246" spans="1:10" outlineLevel="1" x14ac:dyDescent="0.6">
      <c r="B246" s="150"/>
      <c r="C246" s="159"/>
      <c r="D246" s="159"/>
      <c r="E246" s="159"/>
      <c r="F246" s="152"/>
    </row>
    <row r="247" spans="1:10" outlineLevel="1" x14ac:dyDescent="0.6"/>
    <row r="248" spans="1:10" outlineLevel="1" x14ac:dyDescent="0.6"/>
    <row r="249" spans="1:10" outlineLevel="1" x14ac:dyDescent="0.6"/>
    <row r="250" spans="1:10" outlineLevel="1" x14ac:dyDescent="0.6"/>
    <row r="251" spans="1:10" outlineLevel="1" x14ac:dyDescent="0.6">
      <c r="A251" s="158"/>
      <c r="B251" s="115"/>
      <c r="C251" s="124"/>
      <c r="E251" s="124"/>
    </row>
    <row r="252" spans="1:10" outlineLevel="1" x14ac:dyDescent="0.6">
      <c r="C252" s="124"/>
      <c r="E252" s="124"/>
    </row>
    <row r="253" spans="1:10" outlineLevel="1" x14ac:dyDescent="0.6">
      <c r="C253" s="118"/>
      <c r="D253" s="118"/>
      <c r="E253" s="118"/>
      <c r="F253" s="118"/>
      <c r="G253" s="118"/>
      <c r="H253" s="118"/>
      <c r="I253" s="118"/>
      <c r="J253" s="118"/>
    </row>
    <row r="254" spans="1:10" outlineLevel="1" x14ac:dyDescent="0.6"/>
    <row r="255" spans="1:10" outlineLevel="1" x14ac:dyDescent="0.6">
      <c r="B255" s="120"/>
      <c r="C255" s="148"/>
      <c r="D255" s="148"/>
      <c r="E255" s="161"/>
      <c r="F255" s="148"/>
      <c r="G255" s="148"/>
      <c r="H255" s="148"/>
      <c r="I255" s="161"/>
      <c r="J255" s="161"/>
    </row>
    <row r="256" spans="1:10" ht="15.25" outlineLevel="1" x14ac:dyDescent="1.05">
      <c r="B256" s="120"/>
      <c r="C256" s="162"/>
      <c r="D256" s="162"/>
      <c r="E256" s="162"/>
      <c r="F256" s="168"/>
      <c r="G256" s="168"/>
      <c r="H256" s="168"/>
      <c r="I256" s="163"/>
      <c r="J256" s="163"/>
    </row>
    <row r="257" spans="2:10" outlineLevel="1" x14ac:dyDescent="0.6">
      <c r="B257" s="120"/>
      <c r="C257" s="121"/>
      <c r="D257" s="121"/>
      <c r="E257" s="121"/>
      <c r="F257" s="121"/>
      <c r="G257" s="121"/>
      <c r="H257" s="121"/>
      <c r="I257" s="121"/>
      <c r="J257" s="121"/>
    </row>
    <row r="258" spans="2:10" outlineLevel="1" x14ac:dyDescent="0.6">
      <c r="B258" s="120"/>
      <c r="C258" s="121"/>
      <c r="D258" s="121"/>
      <c r="E258" s="121"/>
      <c r="F258" s="121"/>
      <c r="G258" s="121"/>
      <c r="H258" s="121"/>
      <c r="I258" s="121"/>
      <c r="J258" s="121"/>
    </row>
    <row r="259" spans="2:10" outlineLevel="1" x14ac:dyDescent="0.6">
      <c r="B259" s="120"/>
      <c r="C259" s="121"/>
      <c r="D259" s="121"/>
      <c r="E259" s="121"/>
      <c r="F259" s="121"/>
      <c r="G259" s="121"/>
      <c r="H259" s="121"/>
      <c r="I259" s="121"/>
      <c r="J259" s="121"/>
    </row>
    <row r="260" spans="2:10" ht="15.25" outlineLevel="1" x14ac:dyDescent="1.05">
      <c r="B260" s="120"/>
      <c r="C260" s="147"/>
      <c r="E260" s="124"/>
    </row>
    <row r="261" spans="2:10" outlineLevel="1" x14ac:dyDescent="0.6">
      <c r="B261" s="120"/>
      <c r="C261" s="121"/>
      <c r="E261" s="124"/>
    </row>
    <row r="262" spans="2:10" outlineLevel="1" x14ac:dyDescent="0.6">
      <c r="B262" s="120"/>
      <c r="C262" s="124"/>
      <c r="E262" s="124"/>
    </row>
    <row r="263" spans="2:10" outlineLevel="1" x14ac:dyDescent="0.6">
      <c r="C263" s="118"/>
      <c r="D263" s="118"/>
      <c r="E263" s="118"/>
      <c r="F263" s="118"/>
      <c r="G263" s="118"/>
      <c r="H263" s="118"/>
      <c r="I263" s="118"/>
      <c r="J263" s="118"/>
    </row>
    <row r="264" spans="2:10" outlineLevel="1" x14ac:dyDescent="0.6"/>
    <row r="265" spans="2:10" outlineLevel="1" x14ac:dyDescent="0.6">
      <c r="C265" s="169"/>
      <c r="D265" s="169"/>
      <c r="E265" s="169"/>
    </row>
    <row r="266" spans="2:10" outlineLevel="1" x14ac:dyDescent="0.6">
      <c r="B266" s="120"/>
      <c r="C266" s="121"/>
      <c r="D266" s="117"/>
      <c r="E266" s="121"/>
    </row>
    <row r="267" spans="2:10" outlineLevel="1" x14ac:dyDescent="0.6">
      <c r="B267" s="120"/>
      <c r="C267" s="170"/>
      <c r="D267" s="123"/>
      <c r="E267" s="170"/>
    </row>
    <row r="268" spans="2:10" outlineLevel="1" x14ac:dyDescent="0.6">
      <c r="B268" s="120"/>
      <c r="C268" s="121"/>
      <c r="D268" s="121"/>
      <c r="E268" s="121"/>
      <c r="G268" s="120"/>
    </row>
    <row r="269" spans="2:10" outlineLevel="1" x14ac:dyDescent="0.6">
      <c r="C269" s="124"/>
      <c r="E269" s="124"/>
      <c r="G269" s="120"/>
    </row>
    <row r="270" spans="2:10" outlineLevel="1" x14ac:dyDescent="0.6">
      <c r="B270" s="165"/>
      <c r="C270" s="121"/>
      <c r="E270" s="167"/>
      <c r="G270" s="167"/>
    </row>
    <row r="271" spans="2:10" outlineLevel="1" x14ac:dyDescent="0.6">
      <c r="B271" s="120"/>
      <c r="C271" s="121"/>
      <c r="E271" s="2"/>
    </row>
    <row r="272" spans="2:10" outlineLevel="1" x14ac:dyDescent="0.6">
      <c r="B272" s="120"/>
      <c r="C272" s="170"/>
      <c r="E272" s="3"/>
    </row>
    <row r="273" spans="2:5" outlineLevel="1" x14ac:dyDescent="0.6">
      <c r="B273" s="120"/>
      <c r="C273" s="121"/>
      <c r="E273" s="2"/>
    </row>
    <row r="274" spans="2:5" outlineLevel="1" x14ac:dyDescent="0.6"/>
  </sheetData>
  <mergeCells count="1">
    <mergeCell ref="D2:G2"/>
  </mergeCells>
  <pageMargins left="0.75" right="0.75" top="1" bottom="1" header="0.5" footer="0.5"/>
  <pageSetup scale="76" fitToHeight="0" orientation="landscape" r:id="rId1"/>
  <headerFooter alignWithMargins="0">
    <oddHeader>&amp;C&amp;"Arial,Bold"Public Service Electric and Gas Company Specific Addendum
Attachment 4</oddHeader>
    <oddFooter>&amp;C&amp;"Arial,Bold"Page 5 of 5</oddFooter>
  </headerFooter>
  <rowBreaks count="7" manualBreakCount="7">
    <brk id="33" max="9" man="1"/>
    <brk id="79" max="9" man="1"/>
    <brk id="115" max="9" man="1"/>
    <brk id="151" max="9" man="1"/>
    <brk id="187" max="9" man="1"/>
    <brk id="212" max="11" man="1"/>
    <brk id="25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74"/>
  <sheetViews>
    <sheetView view="pageBreakPreview" zoomScaleNormal="100" zoomScaleSheetLayoutView="100" workbookViewId="0"/>
  </sheetViews>
  <sheetFormatPr defaultColWidth="9.1328125" defaultRowHeight="13" outlineLevelRow="1" x14ac:dyDescent="0.6"/>
  <cols>
    <col min="1" max="1" width="12.26953125" style="302" bestFit="1" customWidth="1"/>
    <col min="2" max="2" width="46" style="302" customWidth="1"/>
    <col min="3" max="3" width="17.86328125" style="302" customWidth="1"/>
    <col min="4" max="5" width="13.1328125" style="302" customWidth="1"/>
    <col min="6" max="6" width="12.1328125" style="302" customWidth="1"/>
    <col min="7" max="7" width="41.7265625" style="302" bestFit="1" customWidth="1"/>
    <col min="8" max="8" width="0.86328125" style="302" customWidth="1"/>
    <col min="9" max="9" width="12.54296875" style="302" customWidth="1"/>
    <col min="10" max="10" width="21" style="302" customWidth="1"/>
    <col min="11" max="11" width="14.26953125" style="302" bestFit="1" customWidth="1"/>
    <col min="12" max="12" width="24.1328125" style="302" bestFit="1" customWidth="1"/>
    <col min="13" max="14" width="10.86328125" style="302" bestFit="1" customWidth="1"/>
    <col min="15" max="15" width="14.40625" style="302" bestFit="1" customWidth="1"/>
    <col min="16" max="16384" width="9.1328125" style="302"/>
  </cols>
  <sheetData>
    <row r="1" spans="1:9" ht="20.5" x14ac:dyDescent="0.9">
      <c r="A1" s="415" t="s">
        <v>354</v>
      </c>
      <c r="D1" s="454"/>
      <c r="E1" s="455"/>
      <c r="F1" s="455"/>
      <c r="G1" s="455"/>
      <c r="H1" s="455"/>
    </row>
    <row r="2" spans="1:9" ht="15" customHeight="1" x14ac:dyDescent="0.7">
      <c r="A2" s="416" t="s">
        <v>397</v>
      </c>
      <c r="D2" s="304"/>
    </row>
    <row r="3" spans="1:9" s="456" customFormat="1" ht="21.75" customHeight="1" x14ac:dyDescent="0.65">
      <c r="A3" s="489" t="s">
        <v>398</v>
      </c>
    </row>
    <row r="4" spans="1:9" s="327" customFormat="1" x14ac:dyDescent="0.6"/>
    <row r="5" spans="1:9" s="327" customFormat="1" x14ac:dyDescent="0.6">
      <c r="A5" s="405" t="s">
        <v>239</v>
      </c>
      <c r="B5" s="308" t="s">
        <v>261</v>
      </c>
    </row>
    <row r="6" spans="1:9" s="327" customFormat="1" ht="51" customHeight="1" x14ac:dyDescent="0.6">
      <c r="A6" s="406" t="s">
        <v>202</v>
      </c>
      <c r="B6" s="308" t="s">
        <v>355</v>
      </c>
      <c r="C6" s="325" t="s">
        <v>384</v>
      </c>
      <c r="D6" s="325" t="s">
        <v>399</v>
      </c>
      <c r="E6" s="325" t="s">
        <v>400</v>
      </c>
      <c r="G6" s="325" t="s">
        <v>203</v>
      </c>
    </row>
    <row r="7" spans="1:9" s="327" customFormat="1" x14ac:dyDescent="0.6"/>
    <row r="8" spans="1:9" s="327" customFormat="1" x14ac:dyDescent="0.6">
      <c r="A8" s="406">
        <v>1</v>
      </c>
      <c r="B8" s="308" t="s">
        <v>204</v>
      </c>
      <c r="C8" s="332">
        <f>'Att 4-4'!D8</f>
        <v>67.06</v>
      </c>
      <c r="D8" s="332">
        <f>'Att 4-4'!E8</f>
        <v>65.150000000000006</v>
      </c>
      <c r="E8" s="332">
        <f>D10</f>
        <v>65.150000000000006</v>
      </c>
      <c r="G8" s="457" t="s">
        <v>357</v>
      </c>
    </row>
    <row r="9" spans="1:9" s="327" customFormat="1" x14ac:dyDescent="0.6">
      <c r="A9" s="406" t="s">
        <v>329</v>
      </c>
      <c r="B9" s="308" t="s">
        <v>401</v>
      </c>
      <c r="C9" s="332">
        <f>'Att 4-3'!C21</f>
        <v>0.62</v>
      </c>
      <c r="D9" s="407"/>
      <c r="E9" s="407"/>
      <c r="G9" s="457" t="s">
        <v>402</v>
      </c>
    </row>
    <row r="10" spans="1:9" s="327" customFormat="1" x14ac:dyDescent="0.6">
      <c r="A10" s="406" t="s">
        <v>331</v>
      </c>
      <c r="B10" s="308" t="s">
        <v>305</v>
      </c>
      <c r="C10" s="408">
        <f>C8+C9</f>
        <v>67.680000000000007</v>
      </c>
      <c r="D10" s="408">
        <f t="shared" ref="D10:E10" si="0">D8+D9</f>
        <v>65.150000000000006</v>
      </c>
      <c r="E10" s="408">
        <f t="shared" si="0"/>
        <v>65.150000000000006</v>
      </c>
      <c r="G10" s="458" t="s">
        <v>375</v>
      </c>
    </row>
    <row r="11" spans="1:9" s="327" customFormat="1" x14ac:dyDescent="0.6">
      <c r="A11" s="406"/>
      <c r="B11" s="308"/>
      <c r="C11" s="408"/>
      <c r="D11" s="408"/>
      <c r="E11" s="408"/>
      <c r="G11" s="326"/>
    </row>
    <row r="12" spans="1:9" s="327" customFormat="1" x14ac:dyDescent="0.6">
      <c r="A12" s="406">
        <v>2</v>
      </c>
      <c r="B12" s="317" t="s">
        <v>303</v>
      </c>
      <c r="C12" s="327">
        <f>'Att 3'!E13</f>
        <v>28</v>
      </c>
      <c r="D12" s="327">
        <v>29</v>
      </c>
      <c r="E12" s="327">
        <v>28</v>
      </c>
      <c r="G12" s="457" t="s">
        <v>205</v>
      </c>
    </row>
    <row r="13" spans="1:9" s="327" customFormat="1" x14ac:dyDescent="0.6">
      <c r="A13" s="406">
        <v>3</v>
      </c>
      <c r="B13" s="308" t="s">
        <v>304</v>
      </c>
      <c r="C13" s="327">
        <v>85</v>
      </c>
      <c r="D13" s="327">
        <v>85</v>
      </c>
      <c r="E13" s="327">
        <v>85</v>
      </c>
      <c r="G13" s="457" t="s">
        <v>205</v>
      </c>
    </row>
    <row r="14" spans="1:9" s="327" customFormat="1" x14ac:dyDescent="0.6">
      <c r="A14" s="406"/>
      <c r="B14" s="308"/>
      <c r="G14" s="457"/>
    </row>
    <row r="15" spans="1:9" s="327" customFormat="1" x14ac:dyDescent="0.6">
      <c r="A15" s="406"/>
      <c r="B15" s="308" t="s">
        <v>206</v>
      </c>
    </row>
    <row r="16" spans="1:9" s="327" customFormat="1" x14ac:dyDescent="0.6">
      <c r="A16" s="406">
        <v>4</v>
      </c>
      <c r="B16" s="334" t="s">
        <v>207</v>
      </c>
      <c r="C16" s="459">
        <v>1</v>
      </c>
      <c r="D16" s="459">
        <v>1</v>
      </c>
      <c r="E16" s="459">
        <v>1</v>
      </c>
      <c r="G16" s="457" t="s">
        <v>358</v>
      </c>
      <c r="I16" s="407"/>
    </row>
    <row r="17" spans="1:10" s="327" customFormat="1" x14ac:dyDescent="0.6">
      <c r="A17" s="406">
        <v>5</v>
      </c>
      <c r="B17" s="334" t="s">
        <v>208</v>
      </c>
      <c r="C17" s="459">
        <v>1</v>
      </c>
      <c r="D17" s="459">
        <v>1</v>
      </c>
      <c r="E17" s="459">
        <v>1</v>
      </c>
      <c r="G17" s="457" t="s">
        <v>358</v>
      </c>
      <c r="I17" s="407"/>
    </row>
    <row r="18" spans="1:10" s="327" customFormat="1" x14ac:dyDescent="0.6">
      <c r="A18" s="406"/>
    </row>
    <row r="19" spans="1:10" s="327" customFormat="1" x14ac:dyDescent="0.6">
      <c r="A19" s="406"/>
      <c r="B19" s="460" t="s">
        <v>359</v>
      </c>
    </row>
    <row r="20" spans="1:10" s="327" customFormat="1" x14ac:dyDescent="0.6">
      <c r="A20" s="406">
        <v>6</v>
      </c>
      <c r="B20" s="327" t="s">
        <v>209</v>
      </c>
      <c r="C20" s="321">
        <f>+'Att 2'!C352</f>
        <v>10148392.794606369</v>
      </c>
      <c r="D20" s="321"/>
      <c r="E20" s="321"/>
      <c r="G20" s="457" t="s">
        <v>360</v>
      </c>
    </row>
    <row r="21" spans="1:10" s="327" customFormat="1" x14ac:dyDescent="0.6">
      <c r="A21" s="406">
        <v>7</v>
      </c>
      <c r="B21" s="327" t="s">
        <v>210</v>
      </c>
      <c r="C21" s="321">
        <f>+'Att 2'!C353</f>
        <v>15359063.515746474</v>
      </c>
      <c r="D21" s="321"/>
      <c r="E21" s="321"/>
    </row>
    <row r="22" spans="1:10" x14ac:dyDescent="0.6">
      <c r="A22" s="417"/>
    </row>
    <row r="23" spans="1:10" x14ac:dyDescent="0.6">
      <c r="A23" s="417"/>
      <c r="B23" s="308" t="s">
        <v>269</v>
      </c>
    </row>
    <row r="24" spans="1:10" x14ac:dyDescent="0.6">
      <c r="A24" s="417">
        <v>8</v>
      </c>
      <c r="B24" s="225" t="s">
        <v>207</v>
      </c>
      <c r="C24" s="461">
        <f>((+C$10)*C$12/C$13*C16*$C20/1000)</f>
        <v>226254.23860577479</v>
      </c>
      <c r="D24" s="461">
        <f t="shared" ref="D24:E25" si="1">((+D$10)*D$12/D$13*D16*$C20/1000)</f>
        <v>225574.89325281818</v>
      </c>
      <c r="E24" s="461">
        <f t="shared" si="1"/>
        <v>217796.44865789343</v>
      </c>
      <c r="F24" s="462"/>
      <c r="G24" s="458" t="s">
        <v>389</v>
      </c>
      <c r="H24" s="421"/>
      <c r="J24" s="421"/>
    </row>
    <row r="25" spans="1:10" ht="15.25" x14ac:dyDescent="1.05">
      <c r="A25" s="417">
        <v>9</v>
      </c>
      <c r="B25" s="225" t="s">
        <v>208</v>
      </c>
      <c r="C25" s="463">
        <f>((+C$10)*C$12/C$13*C17*$C21/1000)</f>
        <v>342423.99676329648</v>
      </c>
      <c r="D25" s="463">
        <f t="shared" si="1"/>
        <v>341395.84298206592</v>
      </c>
      <c r="E25" s="463">
        <f t="shared" si="1"/>
        <v>329623.57253440854</v>
      </c>
      <c r="F25" s="462"/>
      <c r="G25" s="458" t="s">
        <v>390</v>
      </c>
    </row>
    <row r="26" spans="1:10" x14ac:dyDescent="0.6">
      <c r="A26" s="417">
        <v>10</v>
      </c>
      <c r="B26" s="302" t="s">
        <v>211</v>
      </c>
      <c r="C26" s="421">
        <f>+C25+C24</f>
        <v>568678.23536907125</v>
      </c>
      <c r="D26" s="421">
        <f>+D25+D24</f>
        <v>566970.73623488413</v>
      </c>
      <c r="E26" s="421">
        <f>+E25+E24</f>
        <v>547420.021192302</v>
      </c>
      <c r="H26" s="421"/>
      <c r="J26" s="421"/>
    </row>
    <row r="27" spans="1:10" x14ac:dyDescent="0.6">
      <c r="A27" s="417"/>
    </row>
    <row r="28" spans="1:10" x14ac:dyDescent="0.6">
      <c r="A28" s="417"/>
      <c r="B28" s="308" t="s">
        <v>270</v>
      </c>
    </row>
    <row r="29" spans="1:10" x14ac:dyDescent="0.6">
      <c r="A29" s="417">
        <v>11</v>
      </c>
      <c r="B29" s="225" t="s">
        <v>207</v>
      </c>
      <c r="C29" s="464">
        <f>ROUND(+SUM(C24:E24)/C20*1000,3)</f>
        <v>65.983000000000004</v>
      </c>
      <c r="D29" s="419"/>
      <c r="G29" s="458" t="s">
        <v>361</v>
      </c>
    </row>
    <row r="30" spans="1:10" x14ac:dyDescent="0.6">
      <c r="A30" s="417">
        <v>12</v>
      </c>
      <c r="B30" s="225" t="s">
        <v>208</v>
      </c>
      <c r="C30" s="412">
        <f>ROUND(+SUM(C25:E25)/C21*1000,3)</f>
        <v>65.983000000000004</v>
      </c>
      <c r="G30" s="458" t="s">
        <v>362</v>
      </c>
    </row>
    <row r="31" spans="1:10" x14ac:dyDescent="0.6">
      <c r="A31" s="417"/>
      <c r="B31" s="225"/>
      <c r="C31" s="414"/>
      <c r="G31" s="422"/>
    </row>
    <row r="32" spans="1:10" x14ac:dyDescent="0.6">
      <c r="A32" s="417">
        <v>13</v>
      </c>
      <c r="B32" s="302" t="s">
        <v>215</v>
      </c>
      <c r="C32" s="418">
        <f>ROUND(+SUM(C26:E26)/(C20+C21)*1000,3)</f>
        <v>65.983000000000004</v>
      </c>
      <c r="D32" s="302" t="s">
        <v>213</v>
      </c>
      <c r="G32" s="458" t="s">
        <v>212</v>
      </c>
    </row>
    <row r="33" spans="1:11" x14ac:dyDescent="0.6">
      <c r="D33" s="302" t="s">
        <v>214</v>
      </c>
      <c r="G33" s="465" t="s">
        <v>363</v>
      </c>
    </row>
    <row r="34" spans="1:11" x14ac:dyDescent="0.6">
      <c r="C34" s="419"/>
    </row>
    <row r="35" spans="1:11" x14ac:dyDescent="0.6">
      <c r="B35" s="272"/>
      <c r="D35" s="419"/>
    </row>
    <row r="36" spans="1:11" x14ac:dyDescent="0.6">
      <c r="A36" s="417"/>
      <c r="B36" s="420"/>
      <c r="C36" s="421"/>
      <c r="D36" s="419"/>
      <c r="G36" s="422"/>
    </row>
    <row r="37" spans="1:11" ht="15.25" x14ac:dyDescent="1.05">
      <c r="A37" s="417"/>
      <c r="B37" s="420"/>
      <c r="C37" s="423"/>
      <c r="D37" s="419"/>
      <c r="G37" s="422"/>
    </row>
    <row r="38" spans="1:11" x14ac:dyDescent="0.6">
      <c r="A38" s="417"/>
      <c r="B38" s="420"/>
      <c r="C38" s="424"/>
      <c r="D38" s="419"/>
      <c r="G38" s="422"/>
    </row>
    <row r="39" spans="1:11" x14ac:dyDescent="0.6">
      <c r="B39" s="420"/>
      <c r="D39" s="419"/>
    </row>
    <row r="41" spans="1:11" x14ac:dyDescent="0.6">
      <c r="A41" s="425"/>
      <c r="B41" s="308"/>
      <c r="G41" s="426"/>
    </row>
    <row r="42" spans="1:11" x14ac:dyDescent="0.6">
      <c r="A42" s="425"/>
      <c r="B42" s="308"/>
      <c r="G42" s="426"/>
    </row>
    <row r="43" spans="1:11" x14ac:dyDescent="0.6">
      <c r="B43" s="308"/>
    </row>
    <row r="44" spans="1:11" x14ac:dyDescent="0.6">
      <c r="B44" s="426"/>
    </row>
    <row r="45" spans="1:11" x14ac:dyDescent="0.6">
      <c r="B45" s="308"/>
    </row>
    <row r="46" spans="1:11" x14ac:dyDescent="0.6">
      <c r="C46" s="427"/>
      <c r="D46" s="427"/>
      <c r="E46" s="427"/>
      <c r="F46" s="427"/>
      <c r="G46" s="427"/>
      <c r="H46" s="427"/>
    </row>
    <row r="47" spans="1:11" x14ac:dyDescent="0.6">
      <c r="C47" s="427"/>
      <c r="D47" s="427"/>
      <c r="E47" s="427"/>
      <c r="F47" s="427"/>
      <c r="G47" s="427"/>
    </row>
    <row r="48" spans="1:11" x14ac:dyDescent="0.6">
      <c r="B48" s="428"/>
      <c r="E48" s="107"/>
      <c r="F48" s="69"/>
      <c r="G48" s="69"/>
      <c r="H48" s="107"/>
      <c r="I48" s="266"/>
      <c r="J48" s="266"/>
      <c r="K48" s="266"/>
    </row>
    <row r="49" spans="2:11" x14ac:dyDescent="0.6">
      <c r="B49" s="429"/>
      <c r="C49" s="70"/>
      <c r="D49" s="109"/>
      <c r="E49" s="69"/>
      <c r="F49" s="107"/>
      <c r="G49" s="107"/>
      <c r="H49" s="110"/>
      <c r="I49" s="266"/>
      <c r="J49" s="266"/>
      <c r="K49" s="266"/>
    </row>
    <row r="50" spans="2:11" x14ac:dyDescent="0.6">
      <c r="B50" s="429"/>
      <c r="C50" s="70"/>
      <c r="D50" s="109"/>
      <c r="E50" s="69"/>
      <c r="F50" s="107"/>
      <c r="G50" s="107"/>
      <c r="H50" s="110"/>
      <c r="I50" s="431"/>
      <c r="J50" s="266"/>
      <c r="K50" s="266"/>
    </row>
    <row r="51" spans="2:11" x14ac:dyDescent="0.6">
      <c r="E51" s="70"/>
      <c r="F51" s="109"/>
      <c r="G51" s="109"/>
      <c r="J51" s="266"/>
      <c r="K51" s="266"/>
    </row>
    <row r="52" spans="2:11" x14ac:dyDescent="0.6">
      <c r="B52" s="432"/>
      <c r="C52" s="69"/>
      <c r="D52" s="69"/>
      <c r="E52" s="70"/>
      <c r="F52" s="109"/>
      <c r="G52" s="109"/>
      <c r="H52" s="109"/>
      <c r="I52" s="266"/>
      <c r="J52" s="266"/>
      <c r="K52" s="266"/>
    </row>
    <row r="53" spans="2:11" x14ac:dyDescent="0.6">
      <c r="B53" s="432"/>
      <c r="C53" s="433"/>
      <c r="D53" s="433"/>
      <c r="E53" s="434"/>
      <c r="F53" s="109"/>
      <c r="G53" s="109"/>
      <c r="H53" s="109"/>
      <c r="I53" s="266"/>
      <c r="J53" s="266"/>
      <c r="K53" s="266"/>
    </row>
    <row r="54" spans="2:11" x14ac:dyDescent="0.6">
      <c r="B54" s="432"/>
      <c r="C54" s="433"/>
      <c r="D54" s="433"/>
      <c r="E54" s="434"/>
      <c r="F54" s="109"/>
      <c r="G54" s="109"/>
      <c r="H54" s="109"/>
      <c r="I54" s="266"/>
      <c r="J54" s="266"/>
      <c r="K54" s="266"/>
    </row>
    <row r="55" spans="2:11" x14ac:dyDescent="0.6">
      <c r="G55" s="109"/>
      <c r="H55" s="109"/>
      <c r="I55" s="266"/>
      <c r="J55" s="266"/>
      <c r="K55" s="266"/>
    </row>
    <row r="56" spans="2:11" x14ac:dyDescent="0.6">
      <c r="H56" s="109"/>
      <c r="I56" s="266"/>
      <c r="J56" s="266"/>
      <c r="K56" s="266"/>
    </row>
    <row r="57" spans="2:11" x14ac:dyDescent="0.6">
      <c r="C57" s="109"/>
      <c r="D57" s="109"/>
      <c r="E57" s="109"/>
      <c r="F57" s="109"/>
      <c r="G57" s="109"/>
      <c r="H57" s="109"/>
      <c r="I57" s="266"/>
      <c r="J57" s="266"/>
      <c r="K57" s="266"/>
    </row>
    <row r="58" spans="2:11" x14ac:dyDescent="0.6">
      <c r="B58" s="428"/>
      <c r="C58" s="69"/>
      <c r="D58" s="69"/>
      <c r="E58" s="107"/>
      <c r="F58" s="69"/>
      <c r="G58" s="69"/>
      <c r="H58" s="107"/>
      <c r="I58" s="266"/>
      <c r="J58" s="266"/>
      <c r="K58" s="266"/>
    </row>
    <row r="59" spans="2:11" x14ac:dyDescent="0.6">
      <c r="B59" s="429"/>
      <c r="C59" s="109"/>
      <c r="D59" s="109"/>
      <c r="E59" s="69"/>
      <c r="F59" s="109"/>
      <c r="G59" s="109"/>
      <c r="H59" s="110"/>
      <c r="I59" s="266"/>
      <c r="J59" s="266"/>
      <c r="K59" s="266"/>
    </row>
    <row r="60" spans="2:11" x14ac:dyDescent="0.6">
      <c r="B60" s="429"/>
      <c r="C60" s="109"/>
      <c r="D60" s="109"/>
      <c r="E60" s="69"/>
      <c r="F60" s="109"/>
      <c r="G60" s="109"/>
      <c r="H60" s="110"/>
      <c r="I60" s="431"/>
      <c r="J60" s="266"/>
      <c r="K60" s="266"/>
    </row>
    <row r="61" spans="2:11" x14ac:dyDescent="0.6">
      <c r="C61" s="399"/>
      <c r="D61" s="399"/>
      <c r="E61" s="399"/>
      <c r="F61" s="399"/>
      <c r="G61" s="399"/>
      <c r="I61" s="266"/>
      <c r="J61" s="266"/>
      <c r="K61" s="266"/>
    </row>
    <row r="62" spans="2:11" x14ac:dyDescent="0.6">
      <c r="C62" s="400"/>
      <c r="D62" s="400"/>
      <c r="E62" s="400"/>
      <c r="F62" s="400"/>
      <c r="G62" s="400"/>
      <c r="H62" s="400"/>
      <c r="I62" s="266"/>
      <c r="J62" s="266"/>
      <c r="K62" s="266"/>
    </row>
    <row r="65" spans="2:9" x14ac:dyDescent="0.6">
      <c r="B65" s="308"/>
    </row>
    <row r="66" spans="2:9" x14ac:dyDescent="0.6">
      <c r="B66" s="426"/>
    </row>
    <row r="67" spans="2:9" x14ac:dyDescent="0.6">
      <c r="B67" s="327"/>
    </row>
    <row r="68" spans="2:9" x14ac:dyDescent="0.6">
      <c r="C68" s="427"/>
      <c r="D68" s="427"/>
      <c r="E68" s="427"/>
      <c r="F68" s="427"/>
      <c r="H68" s="427"/>
    </row>
    <row r="69" spans="2:9" x14ac:dyDescent="0.6">
      <c r="C69" s="427"/>
      <c r="D69" s="329"/>
      <c r="E69" s="427"/>
      <c r="F69" s="329"/>
    </row>
    <row r="70" spans="2:9" x14ac:dyDescent="0.6">
      <c r="B70" s="428"/>
      <c r="C70" s="69"/>
      <c r="D70" s="431"/>
      <c r="E70" s="430"/>
      <c r="F70" s="430"/>
    </row>
    <row r="71" spans="2:9" x14ac:dyDescent="0.6">
      <c r="B71" s="429"/>
      <c r="C71" s="107"/>
      <c r="D71" s="431"/>
      <c r="E71" s="69"/>
      <c r="F71" s="431"/>
      <c r="H71" s="435"/>
      <c r="I71" s="422"/>
    </row>
    <row r="72" spans="2:9" x14ac:dyDescent="0.6">
      <c r="B72" s="429"/>
      <c r="C72" s="107"/>
      <c r="D72" s="431"/>
      <c r="E72" s="69"/>
      <c r="F72" s="431"/>
      <c r="H72" s="435"/>
      <c r="I72" s="422"/>
    </row>
    <row r="73" spans="2:9" x14ac:dyDescent="0.6">
      <c r="C73" s="107"/>
      <c r="D73" s="431"/>
      <c r="E73" s="107"/>
      <c r="F73" s="431"/>
      <c r="H73" s="435"/>
      <c r="I73" s="422"/>
    </row>
    <row r="74" spans="2:9" x14ac:dyDescent="0.6">
      <c r="B74" s="428"/>
      <c r="C74" s="69"/>
      <c r="D74" s="431"/>
      <c r="E74" s="69"/>
      <c r="F74" s="431"/>
      <c r="H74" s="419"/>
    </row>
    <row r="75" spans="2:9" x14ac:dyDescent="0.6">
      <c r="B75" s="429"/>
      <c r="C75" s="107"/>
      <c r="D75" s="430"/>
      <c r="E75" s="69"/>
      <c r="F75" s="431"/>
      <c r="H75" s="435"/>
      <c r="I75" s="422"/>
    </row>
    <row r="76" spans="2:9" x14ac:dyDescent="0.6">
      <c r="B76" s="429"/>
      <c r="C76" s="107"/>
      <c r="D76" s="430"/>
      <c r="E76" s="69"/>
      <c r="F76" s="431"/>
    </row>
    <row r="77" spans="2:9" x14ac:dyDescent="0.6">
      <c r="C77" s="400"/>
      <c r="D77" s="430"/>
      <c r="E77" s="400"/>
      <c r="F77" s="430"/>
    </row>
    <row r="78" spans="2:9" x14ac:dyDescent="0.6">
      <c r="C78" s="400"/>
      <c r="D78" s="430"/>
      <c r="E78" s="400"/>
      <c r="F78" s="430"/>
    </row>
    <row r="79" spans="2:9" x14ac:dyDescent="0.6">
      <c r="C79" s="400"/>
      <c r="D79" s="430"/>
      <c r="E79" s="400"/>
      <c r="F79" s="430"/>
    </row>
    <row r="80" spans="2:9" x14ac:dyDescent="0.6">
      <c r="C80" s="266"/>
      <c r="E80" s="266"/>
    </row>
    <row r="81" spans="1:11" x14ac:dyDescent="0.6">
      <c r="A81" s="307"/>
      <c r="B81" s="272"/>
      <c r="C81" s="266"/>
      <c r="E81" s="266"/>
    </row>
    <row r="82" spans="1:11" x14ac:dyDescent="0.6">
      <c r="A82" s="307"/>
      <c r="B82" s="426"/>
    </row>
    <row r="84" spans="1:11" x14ac:dyDescent="0.6">
      <c r="B84" s="308"/>
    </row>
    <row r="85" spans="1:11" x14ac:dyDescent="0.6">
      <c r="B85" s="426"/>
    </row>
    <row r="86" spans="1:11" x14ac:dyDescent="0.6">
      <c r="B86" s="308"/>
    </row>
    <row r="87" spans="1:11" x14ac:dyDescent="0.6">
      <c r="C87" s="427"/>
      <c r="D87" s="427"/>
      <c r="E87" s="427"/>
      <c r="F87" s="427"/>
      <c r="G87" s="427"/>
      <c r="H87" s="427"/>
    </row>
    <row r="88" spans="1:11" x14ac:dyDescent="0.6">
      <c r="C88" s="307"/>
      <c r="D88" s="307"/>
      <c r="E88" s="307"/>
      <c r="F88" s="466"/>
      <c r="G88" s="466"/>
      <c r="H88" s="466"/>
    </row>
    <row r="89" spans="1:11" x14ac:dyDescent="0.6">
      <c r="B89" s="428"/>
      <c r="C89" s="307"/>
      <c r="D89" s="307"/>
      <c r="E89" s="307"/>
      <c r="F89" s="466"/>
      <c r="G89" s="466"/>
      <c r="H89" s="466"/>
      <c r="J89" s="266"/>
      <c r="K89" s="266"/>
    </row>
    <row r="90" spans="1:11" x14ac:dyDescent="0.6">
      <c r="B90" s="429"/>
      <c r="C90" s="307"/>
      <c r="D90" s="307"/>
      <c r="E90" s="466"/>
      <c r="F90" s="307"/>
      <c r="G90" s="466"/>
      <c r="H90" s="307"/>
      <c r="J90" s="266"/>
      <c r="K90" s="266"/>
    </row>
    <row r="91" spans="1:11" x14ac:dyDescent="0.6">
      <c r="B91" s="429"/>
      <c r="C91" s="307"/>
      <c r="D91" s="307"/>
      <c r="E91" s="466"/>
      <c r="F91" s="307"/>
      <c r="G91" s="307"/>
      <c r="H91" s="307"/>
      <c r="J91" s="266"/>
      <c r="K91" s="266"/>
    </row>
    <row r="92" spans="1:11" x14ac:dyDescent="0.6">
      <c r="B92" s="432"/>
      <c r="C92" s="307"/>
      <c r="D92" s="307"/>
      <c r="E92" s="307"/>
      <c r="F92" s="307"/>
      <c r="G92" s="307"/>
      <c r="H92" s="307"/>
      <c r="J92" s="266"/>
      <c r="K92" s="266"/>
    </row>
    <row r="93" spans="1:11" x14ac:dyDescent="0.6">
      <c r="B93" s="434"/>
      <c r="C93" s="466"/>
      <c r="D93" s="466"/>
      <c r="E93" s="307"/>
      <c r="F93" s="307"/>
      <c r="G93" s="307"/>
      <c r="H93" s="307"/>
      <c r="J93" s="266"/>
      <c r="K93" s="266"/>
    </row>
    <row r="94" spans="1:11" x14ac:dyDescent="0.6">
      <c r="B94" s="434"/>
      <c r="C94" s="466"/>
      <c r="D94" s="466"/>
      <c r="E94" s="307"/>
      <c r="F94" s="307"/>
      <c r="G94" s="307"/>
      <c r="H94" s="307"/>
      <c r="J94" s="266"/>
      <c r="K94" s="266"/>
    </row>
    <row r="95" spans="1:11" x14ac:dyDescent="0.6">
      <c r="C95" s="466"/>
      <c r="D95" s="466"/>
      <c r="E95" s="307"/>
      <c r="F95" s="307"/>
      <c r="G95" s="307"/>
      <c r="H95" s="307"/>
      <c r="J95" s="266"/>
      <c r="K95" s="266"/>
    </row>
    <row r="96" spans="1:11" x14ac:dyDescent="0.6">
      <c r="B96" s="428"/>
      <c r="C96" s="466"/>
      <c r="D96" s="466"/>
      <c r="E96" s="307"/>
      <c r="F96" s="466"/>
      <c r="G96" s="466"/>
      <c r="H96" s="466"/>
      <c r="J96" s="266"/>
      <c r="K96" s="266"/>
    </row>
    <row r="97" spans="2:11" x14ac:dyDescent="0.6">
      <c r="B97" s="429"/>
      <c r="C97" s="307"/>
      <c r="D97" s="307"/>
      <c r="E97" s="466"/>
      <c r="F97" s="307"/>
      <c r="G97" s="307"/>
      <c r="H97" s="307"/>
      <c r="J97" s="266"/>
      <c r="K97" s="266"/>
    </row>
    <row r="98" spans="2:11" x14ac:dyDescent="0.6">
      <c r="B98" s="429"/>
      <c r="C98" s="307"/>
      <c r="D98" s="307"/>
      <c r="E98" s="466"/>
      <c r="F98" s="307"/>
      <c r="G98" s="307"/>
      <c r="H98" s="307"/>
      <c r="J98" s="266"/>
      <c r="K98" s="266"/>
    </row>
    <row r="99" spans="2:11" x14ac:dyDescent="0.6">
      <c r="C99" s="307"/>
      <c r="D99" s="307"/>
      <c r="E99" s="466"/>
      <c r="F99" s="307"/>
      <c r="G99" s="307"/>
      <c r="H99" s="307"/>
      <c r="J99" s="266"/>
      <c r="K99" s="266"/>
    </row>
    <row r="102" spans="2:11" x14ac:dyDescent="0.6">
      <c r="B102" s="308"/>
    </row>
    <row r="103" spans="2:11" x14ac:dyDescent="0.6">
      <c r="B103" s="426"/>
    </row>
    <row r="104" spans="2:11" x14ac:dyDescent="0.6">
      <c r="B104" s="327"/>
    </row>
    <row r="105" spans="2:11" x14ac:dyDescent="0.6">
      <c r="C105" s="427"/>
      <c r="D105" s="427"/>
      <c r="E105" s="427"/>
      <c r="F105" s="427"/>
      <c r="H105" s="427"/>
    </row>
    <row r="106" spans="2:11" x14ac:dyDescent="0.6">
      <c r="F106" s="329"/>
    </row>
    <row r="107" spans="2:11" x14ac:dyDescent="0.6">
      <c r="B107" s="428"/>
      <c r="C107" s="466"/>
      <c r="D107" s="466"/>
      <c r="E107" s="466"/>
      <c r="F107" s="430"/>
    </row>
    <row r="108" spans="2:11" x14ac:dyDescent="0.6">
      <c r="B108" s="429"/>
      <c r="C108" s="466"/>
      <c r="D108" s="466"/>
      <c r="E108" s="466"/>
      <c r="F108" s="431"/>
      <c r="H108" s="467"/>
      <c r="I108" s="422"/>
    </row>
    <row r="109" spans="2:11" x14ac:dyDescent="0.6">
      <c r="B109" s="429"/>
      <c r="C109" s="466"/>
      <c r="D109" s="466"/>
      <c r="E109" s="466"/>
      <c r="F109" s="431"/>
      <c r="H109" s="467"/>
      <c r="I109" s="422"/>
    </row>
    <row r="110" spans="2:11" x14ac:dyDescent="0.6">
      <c r="C110" s="466"/>
      <c r="D110" s="466"/>
      <c r="E110" s="466"/>
      <c r="F110" s="431"/>
      <c r="H110" s="435"/>
      <c r="I110" s="422"/>
    </row>
    <row r="111" spans="2:11" x14ac:dyDescent="0.6">
      <c r="B111" s="428"/>
      <c r="C111" s="466"/>
      <c r="D111" s="466"/>
      <c r="E111" s="466"/>
      <c r="F111" s="431"/>
      <c r="H111" s="419"/>
    </row>
    <row r="112" spans="2:11" x14ac:dyDescent="0.6">
      <c r="B112" s="429"/>
      <c r="C112" s="466"/>
      <c r="D112" s="466"/>
      <c r="E112" s="466"/>
      <c r="F112" s="431"/>
      <c r="H112" s="467"/>
      <c r="I112" s="422"/>
    </row>
    <row r="113" spans="1:10" x14ac:dyDescent="0.6">
      <c r="B113" s="429"/>
      <c r="C113" s="466"/>
      <c r="D113" s="466"/>
      <c r="E113" s="466"/>
      <c r="F113" s="431"/>
    </row>
    <row r="114" spans="1:10" x14ac:dyDescent="0.6">
      <c r="C114" s="400"/>
      <c r="D114" s="430"/>
      <c r="E114" s="400"/>
      <c r="F114" s="430"/>
    </row>
    <row r="115" spans="1:10" x14ac:dyDescent="0.6">
      <c r="C115" s="400"/>
      <c r="D115" s="430"/>
      <c r="E115" s="400"/>
      <c r="F115" s="430"/>
    </row>
    <row r="117" spans="1:10" x14ac:dyDescent="0.6">
      <c r="A117" s="307"/>
      <c r="B117" s="308"/>
      <c r="C117" s="266"/>
      <c r="E117" s="266"/>
    </row>
    <row r="118" spans="1:10" x14ac:dyDescent="0.6">
      <c r="C118" s="266"/>
      <c r="E118" s="266"/>
    </row>
    <row r="119" spans="1:10" x14ac:dyDescent="0.6">
      <c r="C119" s="427"/>
      <c r="D119" s="427"/>
      <c r="E119" s="427"/>
      <c r="F119" s="427"/>
      <c r="G119" s="427"/>
      <c r="H119" s="427"/>
    </row>
    <row r="121" spans="1:10" x14ac:dyDescent="0.6">
      <c r="B121" s="417"/>
      <c r="C121" s="424"/>
      <c r="D121" s="424"/>
      <c r="E121" s="468"/>
      <c r="F121" s="424"/>
      <c r="G121" s="424"/>
      <c r="H121" s="424"/>
    </row>
    <row r="122" spans="1:10" ht="15.25" x14ac:dyDescent="1.05">
      <c r="B122" s="417"/>
      <c r="C122" s="411"/>
      <c r="D122" s="411"/>
      <c r="E122" s="411"/>
      <c r="F122" s="411"/>
      <c r="G122" s="411"/>
      <c r="H122" s="411"/>
    </row>
    <row r="123" spans="1:10" x14ac:dyDescent="0.6">
      <c r="B123" s="417"/>
      <c r="C123" s="421"/>
      <c r="D123" s="421"/>
      <c r="E123" s="421"/>
      <c r="F123" s="421"/>
      <c r="G123" s="421"/>
      <c r="H123" s="421"/>
    </row>
    <row r="124" spans="1:10" x14ac:dyDescent="0.6">
      <c r="B124" s="417"/>
      <c r="C124" s="421"/>
      <c r="D124" s="421"/>
      <c r="E124" s="421"/>
      <c r="F124" s="421"/>
      <c r="G124" s="421"/>
      <c r="H124" s="421"/>
      <c r="I124" s="421"/>
      <c r="J124" s="421"/>
    </row>
    <row r="125" spans="1:10" x14ac:dyDescent="0.6">
      <c r="B125" s="417"/>
      <c r="C125" s="421"/>
      <c r="D125" s="421"/>
      <c r="E125" s="421"/>
      <c r="F125" s="421"/>
      <c r="G125" s="421"/>
      <c r="H125" s="421"/>
      <c r="I125" s="421"/>
      <c r="J125" s="421"/>
    </row>
    <row r="126" spans="1:10" x14ac:dyDescent="0.6">
      <c r="B126" s="417"/>
      <c r="C126" s="427"/>
      <c r="D126" s="427"/>
      <c r="F126" s="427"/>
      <c r="G126" s="427"/>
      <c r="H126" s="421"/>
      <c r="I126" s="421"/>
      <c r="J126" s="421"/>
    </row>
    <row r="127" spans="1:10" x14ac:dyDescent="0.6">
      <c r="B127" s="417"/>
      <c r="C127" s="427"/>
      <c r="D127" s="427"/>
      <c r="F127" s="427"/>
      <c r="G127" s="427"/>
      <c r="H127" s="421"/>
      <c r="I127" s="421"/>
      <c r="J127" s="421"/>
    </row>
    <row r="128" spans="1:10" x14ac:dyDescent="0.6">
      <c r="B128" s="417"/>
      <c r="G128" s="421"/>
      <c r="H128" s="421"/>
      <c r="I128" s="421"/>
      <c r="J128" s="421"/>
    </row>
    <row r="129" spans="2:10" x14ac:dyDescent="0.6">
      <c r="B129" s="417"/>
      <c r="C129" s="468"/>
      <c r="D129" s="468"/>
      <c r="F129" s="468"/>
      <c r="G129" s="468"/>
      <c r="H129" s="421"/>
      <c r="I129" s="421"/>
      <c r="J129" s="421"/>
    </row>
    <row r="130" spans="2:10" ht="15.25" x14ac:dyDescent="1.05">
      <c r="B130" s="417"/>
      <c r="C130" s="469"/>
      <c r="D130" s="469"/>
      <c r="F130" s="469"/>
      <c r="G130" s="469"/>
      <c r="H130" s="421"/>
      <c r="I130" s="421"/>
      <c r="J130" s="421"/>
    </row>
    <row r="131" spans="2:10" x14ac:dyDescent="0.6">
      <c r="B131" s="417"/>
      <c r="C131" s="421"/>
      <c r="D131" s="421"/>
      <c r="F131" s="421"/>
      <c r="G131" s="421"/>
      <c r="H131" s="421"/>
      <c r="I131" s="421"/>
      <c r="J131" s="421"/>
    </row>
    <row r="132" spans="2:10" x14ac:dyDescent="0.6">
      <c r="B132" s="417"/>
      <c r="C132" s="421"/>
      <c r="F132" s="421"/>
      <c r="G132" s="421"/>
      <c r="H132" s="421"/>
      <c r="I132" s="421"/>
      <c r="J132" s="421"/>
    </row>
    <row r="133" spans="2:10" x14ac:dyDescent="0.6">
      <c r="B133" s="417"/>
      <c r="C133" s="421"/>
      <c r="D133" s="421"/>
      <c r="E133" s="421"/>
      <c r="F133" s="421"/>
      <c r="G133" s="421"/>
      <c r="H133" s="421"/>
      <c r="I133" s="421"/>
      <c r="J133" s="421"/>
    </row>
    <row r="134" spans="2:10" x14ac:dyDescent="0.6">
      <c r="B134" s="417"/>
      <c r="C134" s="427"/>
      <c r="D134" s="427"/>
      <c r="E134" s="427"/>
      <c r="F134" s="421"/>
      <c r="G134" s="421"/>
      <c r="H134" s="421"/>
      <c r="I134" s="421"/>
      <c r="J134" s="421"/>
    </row>
    <row r="135" spans="2:10" x14ac:dyDescent="0.6">
      <c r="B135" s="417"/>
      <c r="C135" s="421"/>
      <c r="D135" s="421"/>
      <c r="E135" s="421"/>
      <c r="F135" s="421"/>
      <c r="G135" s="421"/>
      <c r="H135" s="421"/>
      <c r="I135" s="421"/>
      <c r="J135" s="421"/>
    </row>
    <row r="136" spans="2:10" ht="15.25" x14ac:dyDescent="1.05">
      <c r="B136" s="417"/>
      <c r="C136" s="423"/>
      <c r="D136" s="423"/>
      <c r="E136" s="423"/>
    </row>
    <row r="137" spans="2:10" x14ac:dyDescent="0.6">
      <c r="B137" s="417"/>
      <c r="C137" s="421"/>
      <c r="D137" s="421"/>
      <c r="E137" s="470"/>
    </row>
    <row r="138" spans="2:10" x14ac:dyDescent="0.6">
      <c r="B138" s="417"/>
      <c r="C138" s="266"/>
      <c r="E138" s="266"/>
    </row>
    <row r="139" spans="2:10" x14ac:dyDescent="0.6">
      <c r="C139" s="427"/>
      <c r="D139" s="427"/>
      <c r="E139" s="427"/>
      <c r="F139" s="427"/>
      <c r="G139" s="427"/>
      <c r="H139" s="427"/>
      <c r="I139" s="427"/>
      <c r="J139" s="427"/>
    </row>
    <row r="141" spans="2:10" x14ac:dyDescent="0.6">
      <c r="B141" s="417"/>
      <c r="C141" s="421"/>
    </row>
    <row r="142" spans="2:10" ht="15.25" x14ac:dyDescent="1.05">
      <c r="B142" s="417"/>
      <c r="C142" s="423"/>
    </row>
    <row r="143" spans="2:10" x14ac:dyDescent="0.6">
      <c r="B143" s="417"/>
      <c r="C143" s="421"/>
    </row>
    <row r="144" spans="2:10" x14ac:dyDescent="0.6">
      <c r="C144" s="266"/>
    </row>
    <row r="145" spans="1:8" x14ac:dyDescent="0.6">
      <c r="B145" s="471"/>
      <c r="C145" s="406"/>
    </row>
    <row r="146" spans="1:8" x14ac:dyDescent="0.6">
      <c r="B146" s="417"/>
      <c r="C146" s="421"/>
    </row>
    <row r="147" spans="1:8" ht="15.25" x14ac:dyDescent="1.05">
      <c r="B147" s="417"/>
      <c r="C147" s="423"/>
    </row>
    <row r="148" spans="1:8" x14ac:dyDescent="0.6">
      <c r="B148" s="417"/>
      <c r="C148" s="421"/>
    </row>
    <row r="151" spans="1:8" x14ac:dyDescent="0.6">
      <c r="D151" s="472"/>
      <c r="E151" s="472"/>
      <c r="F151" s="472"/>
      <c r="G151" s="472"/>
    </row>
    <row r="152" spans="1:8" x14ac:dyDescent="0.6">
      <c r="D152" s="472"/>
      <c r="E152" s="472"/>
      <c r="F152" s="472"/>
      <c r="G152" s="472"/>
    </row>
    <row r="153" spans="1:8" x14ac:dyDescent="0.6">
      <c r="A153" s="307"/>
      <c r="B153" s="272"/>
      <c r="C153" s="266"/>
      <c r="E153" s="266"/>
    </row>
    <row r="154" spans="1:8" x14ac:dyDescent="0.6">
      <c r="B154" s="426"/>
    </row>
    <row r="156" spans="1:8" x14ac:dyDescent="0.6">
      <c r="B156" s="308"/>
    </row>
    <row r="157" spans="1:8" x14ac:dyDescent="0.6">
      <c r="B157" s="426"/>
    </row>
    <row r="158" spans="1:8" x14ac:dyDescent="0.6">
      <c r="B158" s="308"/>
    </row>
    <row r="159" spans="1:8" x14ac:dyDescent="0.6">
      <c r="C159" s="427"/>
      <c r="D159" s="427"/>
      <c r="E159" s="427"/>
      <c r="F159" s="427"/>
      <c r="G159" s="427"/>
      <c r="H159" s="427"/>
    </row>
    <row r="160" spans="1:8" x14ac:dyDescent="0.6">
      <c r="C160" s="307"/>
      <c r="D160" s="307"/>
      <c r="E160" s="307"/>
      <c r="F160" s="466"/>
      <c r="G160" s="466"/>
      <c r="H160" s="466"/>
    </row>
    <row r="161" spans="2:8" x14ac:dyDescent="0.6">
      <c r="B161" s="428"/>
      <c r="C161" s="307"/>
      <c r="D161" s="307"/>
      <c r="E161" s="307"/>
      <c r="F161" s="466"/>
      <c r="G161" s="466"/>
      <c r="H161" s="466"/>
    </row>
    <row r="162" spans="2:8" x14ac:dyDescent="0.6">
      <c r="B162" s="429"/>
      <c r="C162" s="307"/>
      <c r="D162" s="307"/>
      <c r="E162" s="466"/>
      <c r="G162" s="466"/>
      <c r="H162" s="307"/>
    </row>
    <row r="163" spans="2:8" x14ac:dyDescent="0.6">
      <c r="B163" s="429"/>
      <c r="C163" s="307"/>
      <c r="D163" s="307"/>
      <c r="E163" s="466"/>
      <c r="F163" s="307"/>
      <c r="G163" s="307"/>
      <c r="H163" s="307"/>
    </row>
    <row r="164" spans="2:8" x14ac:dyDescent="0.6">
      <c r="B164" s="432"/>
      <c r="C164" s="307"/>
      <c r="D164" s="307"/>
      <c r="E164" s="307"/>
      <c r="F164" s="307"/>
      <c r="G164" s="307"/>
      <c r="H164" s="307"/>
    </row>
    <row r="165" spans="2:8" x14ac:dyDescent="0.6">
      <c r="B165" s="434"/>
      <c r="C165" s="466"/>
      <c r="D165" s="466"/>
      <c r="E165" s="307"/>
      <c r="F165" s="307"/>
      <c r="G165" s="307"/>
      <c r="H165" s="307"/>
    </row>
    <row r="166" spans="2:8" x14ac:dyDescent="0.6">
      <c r="B166" s="434"/>
      <c r="C166" s="466"/>
      <c r="D166" s="466"/>
      <c r="E166" s="307"/>
      <c r="F166" s="307"/>
      <c r="G166" s="307"/>
      <c r="H166" s="307"/>
    </row>
    <row r="167" spans="2:8" x14ac:dyDescent="0.6">
      <c r="C167" s="466"/>
      <c r="D167" s="466"/>
      <c r="E167" s="307"/>
      <c r="F167" s="307"/>
      <c r="G167" s="307"/>
      <c r="H167" s="307"/>
    </row>
    <row r="168" spans="2:8" x14ac:dyDescent="0.6">
      <c r="B168" s="428"/>
      <c r="C168" s="466"/>
      <c r="D168" s="466"/>
      <c r="E168" s="307"/>
      <c r="F168" s="466"/>
      <c r="G168" s="466"/>
      <c r="H168" s="466"/>
    </row>
    <row r="169" spans="2:8" x14ac:dyDescent="0.6">
      <c r="B169" s="429"/>
      <c r="C169" s="307"/>
      <c r="D169" s="307"/>
      <c r="E169" s="466"/>
      <c r="F169" s="307"/>
      <c r="G169" s="307"/>
      <c r="H169" s="307"/>
    </row>
    <row r="170" spans="2:8" x14ac:dyDescent="0.6">
      <c r="B170" s="429"/>
      <c r="C170" s="307"/>
      <c r="D170" s="307"/>
      <c r="E170" s="466"/>
      <c r="F170" s="307"/>
      <c r="G170" s="307"/>
      <c r="H170" s="307"/>
    </row>
    <row r="171" spans="2:8" x14ac:dyDescent="0.6">
      <c r="C171" s="307"/>
      <c r="D171" s="307"/>
      <c r="E171" s="466"/>
      <c r="F171" s="307"/>
      <c r="G171" s="307"/>
      <c r="H171" s="307"/>
    </row>
    <row r="174" spans="2:8" x14ac:dyDescent="0.6">
      <c r="B174" s="308"/>
    </row>
    <row r="175" spans="2:8" x14ac:dyDescent="0.6">
      <c r="B175" s="426"/>
    </row>
    <row r="176" spans="2:8" x14ac:dyDescent="0.6">
      <c r="B176" s="327"/>
    </row>
    <row r="177" spans="1:10" x14ac:dyDescent="0.6">
      <c r="C177" s="427"/>
      <c r="D177" s="427"/>
      <c r="E177" s="427"/>
      <c r="F177" s="427"/>
      <c r="H177" s="427"/>
    </row>
    <row r="178" spans="1:10" x14ac:dyDescent="0.6">
      <c r="F178" s="329"/>
    </row>
    <row r="179" spans="1:10" x14ac:dyDescent="0.6">
      <c r="B179" s="428"/>
      <c r="C179" s="466"/>
      <c r="D179" s="466"/>
      <c r="E179" s="466"/>
      <c r="F179" s="430"/>
    </row>
    <row r="180" spans="1:10" x14ac:dyDescent="0.6">
      <c r="B180" s="429"/>
      <c r="C180" s="466"/>
      <c r="D180" s="466"/>
      <c r="E180" s="466"/>
      <c r="F180" s="431"/>
      <c r="H180" s="473"/>
    </row>
    <row r="181" spans="1:10" x14ac:dyDescent="0.6">
      <c r="B181" s="429"/>
      <c r="C181" s="466"/>
      <c r="D181" s="466"/>
      <c r="E181" s="466"/>
      <c r="F181" s="431"/>
      <c r="H181" s="473"/>
    </row>
    <row r="182" spans="1:10" x14ac:dyDescent="0.6">
      <c r="C182" s="466"/>
      <c r="D182" s="466"/>
      <c r="E182" s="466"/>
      <c r="F182" s="431"/>
      <c r="H182" s="435"/>
    </row>
    <row r="183" spans="1:10" x14ac:dyDescent="0.6">
      <c r="B183" s="428"/>
      <c r="C183" s="466"/>
      <c r="D183" s="466"/>
      <c r="E183" s="466"/>
      <c r="F183" s="431"/>
      <c r="H183" s="419"/>
    </row>
    <row r="184" spans="1:10" x14ac:dyDescent="0.6">
      <c r="B184" s="429"/>
      <c r="C184" s="466"/>
      <c r="D184" s="466"/>
      <c r="E184" s="466"/>
      <c r="F184" s="431"/>
      <c r="H184" s="473"/>
    </row>
    <row r="185" spans="1:10" x14ac:dyDescent="0.6">
      <c r="B185" s="429"/>
      <c r="C185" s="466"/>
      <c r="D185" s="466"/>
      <c r="E185" s="466"/>
      <c r="F185" s="431"/>
    </row>
    <row r="189" spans="1:10" x14ac:dyDescent="0.6">
      <c r="A189" s="307"/>
      <c r="B189" s="308"/>
      <c r="C189" s="266"/>
      <c r="E189" s="266"/>
    </row>
    <row r="190" spans="1:10" x14ac:dyDescent="0.6">
      <c r="C190" s="266"/>
      <c r="E190" s="266"/>
    </row>
    <row r="191" spans="1:10" x14ac:dyDescent="0.6">
      <c r="C191" s="427"/>
      <c r="D191" s="427"/>
      <c r="E191" s="427"/>
      <c r="F191" s="427"/>
      <c r="G191" s="427"/>
      <c r="H191" s="427"/>
      <c r="I191" s="427"/>
      <c r="J191" s="427"/>
    </row>
    <row r="193" spans="2:10" x14ac:dyDescent="0.6">
      <c r="B193" s="417"/>
      <c r="C193" s="424"/>
      <c r="D193" s="424"/>
      <c r="E193" s="468"/>
      <c r="F193" s="424"/>
      <c r="G193" s="424"/>
      <c r="H193" s="424"/>
      <c r="I193" s="468"/>
      <c r="J193" s="468"/>
    </row>
    <row r="194" spans="2:10" ht="15.25" x14ac:dyDescent="1.05">
      <c r="B194" s="417"/>
      <c r="C194" s="411"/>
      <c r="D194" s="411"/>
      <c r="E194" s="411"/>
      <c r="F194" s="411"/>
      <c r="G194" s="411"/>
      <c r="H194" s="411"/>
      <c r="I194" s="469"/>
      <c r="J194" s="469"/>
    </row>
    <row r="195" spans="2:10" x14ac:dyDescent="0.6">
      <c r="B195" s="417"/>
      <c r="C195" s="421"/>
      <c r="D195" s="421"/>
      <c r="E195" s="421"/>
      <c r="F195" s="421"/>
      <c r="G195" s="421"/>
      <c r="H195" s="421"/>
      <c r="I195" s="421"/>
      <c r="J195" s="421"/>
    </row>
    <row r="196" spans="2:10" x14ac:dyDescent="0.6">
      <c r="B196" s="417"/>
      <c r="C196" s="421"/>
      <c r="D196" s="421"/>
      <c r="E196" s="421"/>
      <c r="F196" s="421"/>
      <c r="G196" s="421"/>
      <c r="H196" s="421"/>
      <c r="I196" s="421"/>
      <c r="J196" s="421"/>
    </row>
    <row r="197" spans="2:10" x14ac:dyDescent="0.6">
      <c r="B197" s="417"/>
      <c r="C197" s="421"/>
      <c r="D197" s="421"/>
      <c r="E197" s="421"/>
      <c r="F197" s="421"/>
      <c r="G197" s="421"/>
      <c r="H197" s="421"/>
      <c r="I197" s="421"/>
      <c r="J197" s="421"/>
    </row>
    <row r="198" spans="2:10" ht="15.25" x14ac:dyDescent="1.05">
      <c r="B198" s="417"/>
      <c r="C198" s="423"/>
      <c r="E198" s="266"/>
    </row>
    <row r="199" spans="2:10" x14ac:dyDescent="0.6">
      <c r="B199" s="417"/>
      <c r="C199" s="421"/>
      <c r="E199" s="266"/>
    </row>
    <row r="200" spans="2:10" x14ac:dyDescent="0.6">
      <c r="B200" s="417"/>
      <c r="C200" s="266"/>
      <c r="E200" s="266"/>
    </row>
    <row r="201" spans="2:10" x14ac:dyDescent="0.6">
      <c r="C201" s="427"/>
      <c r="D201" s="427"/>
      <c r="E201" s="427"/>
      <c r="F201" s="427"/>
      <c r="G201" s="427"/>
      <c r="H201" s="427"/>
      <c r="I201" s="427"/>
      <c r="J201" s="427"/>
    </row>
    <row r="203" spans="2:10" x14ac:dyDescent="0.6">
      <c r="B203" s="417"/>
      <c r="C203" s="421"/>
    </row>
    <row r="204" spans="2:10" ht="15.25" x14ac:dyDescent="1.05">
      <c r="B204" s="417"/>
      <c r="C204" s="423"/>
    </row>
    <row r="205" spans="2:10" x14ac:dyDescent="0.6">
      <c r="B205" s="417"/>
      <c r="C205" s="421"/>
      <c r="D205" s="421"/>
      <c r="G205" s="417"/>
    </row>
    <row r="206" spans="2:10" x14ac:dyDescent="0.6">
      <c r="C206" s="266"/>
      <c r="E206" s="266"/>
      <c r="G206" s="417"/>
    </row>
    <row r="207" spans="2:10" x14ac:dyDescent="0.6">
      <c r="B207" s="471"/>
      <c r="C207" s="421"/>
      <c r="E207" s="474"/>
      <c r="G207" s="474"/>
    </row>
    <row r="208" spans="2:10" x14ac:dyDescent="0.6">
      <c r="B208" s="417"/>
      <c r="C208" s="421"/>
      <c r="E208" s="296"/>
    </row>
    <row r="209" spans="1:8" ht="15.25" x14ac:dyDescent="1.05">
      <c r="B209" s="417"/>
      <c r="C209" s="423"/>
      <c r="E209" s="301"/>
    </row>
    <row r="210" spans="1:8" x14ac:dyDescent="0.6">
      <c r="B210" s="417"/>
      <c r="C210" s="421"/>
      <c r="E210" s="296"/>
    </row>
    <row r="212" spans="1:8" x14ac:dyDescent="0.6">
      <c r="C212" s="475"/>
    </row>
    <row r="213" spans="1:8" outlineLevel="1" x14ac:dyDescent="0.6">
      <c r="A213" s="308"/>
    </row>
    <row r="214" spans="1:8" outlineLevel="1" x14ac:dyDescent="0.6">
      <c r="A214" s="307"/>
      <c r="B214" s="272"/>
      <c r="C214" s="266"/>
      <c r="E214" s="266"/>
    </row>
    <row r="215" spans="1:8" outlineLevel="1" x14ac:dyDescent="0.6">
      <c r="B215" s="426"/>
    </row>
    <row r="216" spans="1:8" outlineLevel="1" x14ac:dyDescent="0.6">
      <c r="A216" s="307"/>
    </row>
    <row r="217" spans="1:8" outlineLevel="1" x14ac:dyDescent="0.6">
      <c r="B217" s="308"/>
    </row>
    <row r="218" spans="1:8" outlineLevel="1" x14ac:dyDescent="0.6">
      <c r="B218" s="426"/>
    </row>
    <row r="219" spans="1:8" outlineLevel="1" x14ac:dyDescent="0.6">
      <c r="B219" s="308"/>
    </row>
    <row r="220" spans="1:8" outlineLevel="1" x14ac:dyDescent="0.6">
      <c r="C220" s="427"/>
      <c r="D220" s="427"/>
      <c r="E220" s="427"/>
      <c r="F220" s="427"/>
      <c r="G220" s="427"/>
      <c r="H220" s="427"/>
    </row>
    <row r="221" spans="1:8" outlineLevel="1" x14ac:dyDescent="0.6">
      <c r="C221" s="307"/>
      <c r="D221" s="307"/>
      <c r="E221" s="307"/>
      <c r="F221" s="466"/>
      <c r="G221" s="466"/>
      <c r="H221" s="466"/>
    </row>
    <row r="222" spans="1:8" outlineLevel="1" x14ac:dyDescent="0.6">
      <c r="B222" s="428"/>
      <c r="C222" s="307"/>
      <c r="D222" s="307"/>
      <c r="E222" s="307"/>
      <c r="F222" s="466"/>
      <c r="G222" s="466"/>
      <c r="H222" s="466"/>
    </row>
    <row r="223" spans="1:8" outlineLevel="1" x14ac:dyDescent="0.6">
      <c r="B223" s="429"/>
      <c r="C223" s="307"/>
      <c r="D223" s="307"/>
      <c r="E223" s="466"/>
    </row>
    <row r="224" spans="1:8" outlineLevel="1" x14ac:dyDescent="0.6">
      <c r="B224" s="429"/>
      <c r="C224" s="307"/>
      <c r="D224" s="307"/>
      <c r="E224" s="466"/>
      <c r="F224" s="307"/>
      <c r="G224" s="307"/>
      <c r="H224" s="307"/>
    </row>
    <row r="225" spans="2:8" outlineLevel="1" x14ac:dyDescent="0.6">
      <c r="B225" s="432"/>
      <c r="C225" s="307"/>
      <c r="D225" s="307"/>
      <c r="E225" s="307"/>
      <c r="F225" s="307"/>
      <c r="G225" s="307"/>
      <c r="H225" s="307"/>
    </row>
    <row r="226" spans="2:8" outlineLevel="1" x14ac:dyDescent="0.6">
      <c r="B226" s="434"/>
      <c r="C226" s="466"/>
      <c r="D226" s="466"/>
      <c r="E226" s="307"/>
      <c r="F226" s="307"/>
      <c r="G226" s="307"/>
      <c r="H226" s="307"/>
    </row>
    <row r="227" spans="2:8" outlineLevel="1" x14ac:dyDescent="0.6">
      <c r="B227" s="434"/>
      <c r="C227" s="466"/>
      <c r="D227" s="466"/>
      <c r="E227" s="307"/>
      <c r="F227" s="307"/>
      <c r="G227" s="307"/>
      <c r="H227" s="307"/>
    </row>
    <row r="228" spans="2:8" outlineLevel="1" x14ac:dyDescent="0.6">
      <c r="C228" s="466"/>
      <c r="D228" s="466"/>
      <c r="E228" s="307"/>
      <c r="F228" s="307"/>
      <c r="G228" s="307"/>
      <c r="H228" s="307"/>
    </row>
    <row r="229" spans="2:8" outlineLevel="1" x14ac:dyDescent="0.6">
      <c r="B229" s="428"/>
      <c r="C229" s="466"/>
      <c r="D229" s="466"/>
      <c r="E229" s="307"/>
      <c r="F229" s="466"/>
      <c r="G229" s="466"/>
      <c r="H229" s="466"/>
    </row>
    <row r="230" spans="2:8" outlineLevel="1" x14ac:dyDescent="0.6">
      <c r="B230" s="429"/>
      <c r="C230" s="307"/>
      <c r="D230" s="307"/>
      <c r="E230" s="466"/>
      <c r="F230" s="307"/>
      <c r="G230" s="307"/>
      <c r="H230" s="307"/>
    </row>
    <row r="231" spans="2:8" outlineLevel="1" x14ac:dyDescent="0.6">
      <c r="B231" s="429"/>
      <c r="C231" s="307"/>
      <c r="D231" s="307"/>
      <c r="E231" s="466"/>
      <c r="F231" s="307"/>
      <c r="G231" s="307"/>
      <c r="H231" s="307"/>
    </row>
    <row r="232" spans="2:8" outlineLevel="1" x14ac:dyDescent="0.6">
      <c r="C232" s="307"/>
      <c r="D232" s="307"/>
      <c r="E232" s="466"/>
      <c r="F232" s="307"/>
      <c r="G232" s="307"/>
      <c r="H232" s="307"/>
    </row>
    <row r="233" spans="2:8" outlineLevel="1" x14ac:dyDescent="0.6"/>
    <row r="234" spans="2:8" outlineLevel="1" x14ac:dyDescent="0.6"/>
    <row r="235" spans="2:8" outlineLevel="1" x14ac:dyDescent="0.6">
      <c r="B235" s="308"/>
    </row>
    <row r="236" spans="2:8" outlineLevel="1" x14ac:dyDescent="0.6">
      <c r="B236" s="426"/>
    </row>
    <row r="237" spans="2:8" outlineLevel="1" x14ac:dyDescent="0.6">
      <c r="B237" s="327"/>
    </row>
    <row r="238" spans="2:8" outlineLevel="1" x14ac:dyDescent="0.6">
      <c r="C238" s="427"/>
      <c r="D238" s="427"/>
      <c r="E238" s="427"/>
      <c r="F238" s="427"/>
      <c r="H238" s="427"/>
    </row>
    <row r="239" spans="2:8" outlineLevel="1" x14ac:dyDescent="0.6">
      <c r="F239" s="329"/>
    </row>
    <row r="240" spans="2:8" outlineLevel="1" x14ac:dyDescent="0.6">
      <c r="B240" s="428"/>
      <c r="C240" s="466"/>
      <c r="D240" s="466"/>
      <c r="E240" s="466"/>
      <c r="F240" s="430"/>
    </row>
    <row r="241" spans="1:10" outlineLevel="1" x14ac:dyDescent="0.6">
      <c r="B241" s="429"/>
      <c r="C241" s="466"/>
      <c r="D241" s="466"/>
      <c r="E241" s="466"/>
      <c r="F241" s="431"/>
      <c r="H241" s="473"/>
    </row>
    <row r="242" spans="1:10" outlineLevel="1" x14ac:dyDescent="0.6">
      <c r="B242" s="429"/>
      <c r="C242" s="466"/>
      <c r="D242" s="466"/>
      <c r="E242" s="466"/>
      <c r="F242" s="431"/>
      <c r="H242" s="473"/>
    </row>
    <row r="243" spans="1:10" outlineLevel="1" x14ac:dyDescent="0.6">
      <c r="C243" s="466"/>
      <c r="D243" s="466"/>
      <c r="E243" s="466"/>
      <c r="F243" s="431"/>
      <c r="H243" s="435"/>
    </row>
    <row r="244" spans="1:10" outlineLevel="1" x14ac:dyDescent="0.6">
      <c r="B244" s="428"/>
      <c r="C244" s="466"/>
      <c r="D244" s="466"/>
      <c r="E244" s="466"/>
      <c r="F244" s="431"/>
      <c r="H244" s="419"/>
    </row>
    <row r="245" spans="1:10" outlineLevel="1" x14ac:dyDescent="0.6">
      <c r="B245" s="429"/>
      <c r="C245" s="466"/>
      <c r="D245" s="466"/>
      <c r="E245" s="466"/>
      <c r="F245" s="431"/>
      <c r="H245" s="473"/>
    </row>
    <row r="246" spans="1:10" outlineLevel="1" x14ac:dyDescent="0.6">
      <c r="B246" s="429"/>
      <c r="C246" s="466"/>
      <c r="D246" s="466"/>
      <c r="E246" s="466"/>
      <c r="F246" s="431"/>
    </row>
    <row r="247" spans="1:10" outlineLevel="1" x14ac:dyDescent="0.6"/>
    <row r="248" spans="1:10" outlineLevel="1" x14ac:dyDescent="0.6"/>
    <row r="249" spans="1:10" outlineLevel="1" x14ac:dyDescent="0.6"/>
    <row r="250" spans="1:10" outlineLevel="1" x14ac:dyDescent="0.6"/>
    <row r="251" spans="1:10" outlineLevel="1" x14ac:dyDescent="0.6">
      <c r="A251" s="307"/>
      <c r="B251" s="308"/>
      <c r="C251" s="266"/>
      <c r="E251" s="266"/>
    </row>
    <row r="252" spans="1:10" outlineLevel="1" x14ac:dyDescent="0.6">
      <c r="C252" s="266"/>
      <c r="E252" s="266"/>
    </row>
    <row r="253" spans="1:10" outlineLevel="1" x14ac:dyDescent="0.6">
      <c r="C253" s="427"/>
      <c r="D253" s="427"/>
      <c r="E253" s="427"/>
      <c r="F253" s="427"/>
      <c r="G253" s="427"/>
      <c r="H253" s="427"/>
      <c r="I253" s="427"/>
      <c r="J253" s="427"/>
    </row>
    <row r="254" spans="1:10" outlineLevel="1" x14ac:dyDescent="0.6"/>
    <row r="255" spans="1:10" outlineLevel="1" x14ac:dyDescent="0.6">
      <c r="B255" s="417"/>
      <c r="C255" s="424"/>
      <c r="D255" s="424"/>
      <c r="E255" s="468"/>
      <c r="F255" s="424"/>
      <c r="G255" s="424"/>
      <c r="H255" s="424"/>
      <c r="I255" s="468"/>
      <c r="J255" s="468"/>
    </row>
    <row r="256" spans="1:10" ht="15.25" outlineLevel="1" x14ac:dyDescent="1.05">
      <c r="B256" s="417"/>
      <c r="C256" s="411"/>
      <c r="D256" s="411"/>
      <c r="E256" s="411"/>
      <c r="F256" s="476"/>
      <c r="G256" s="476"/>
      <c r="H256" s="476"/>
      <c r="I256" s="469"/>
      <c r="J256" s="469"/>
    </row>
    <row r="257" spans="2:10" outlineLevel="1" x14ac:dyDescent="0.6">
      <c r="B257" s="417"/>
      <c r="C257" s="421"/>
      <c r="D257" s="421"/>
      <c r="E257" s="421"/>
      <c r="F257" s="421"/>
      <c r="G257" s="421"/>
      <c r="H257" s="421"/>
      <c r="I257" s="421"/>
      <c r="J257" s="421"/>
    </row>
    <row r="258" spans="2:10" outlineLevel="1" x14ac:dyDescent="0.6">
      <c r="B258" s="417"/>
      <c r="C258" s="421"/>
      <c r="D258" s="421"/>
      <c r="E258" s="421"/>
      <c r="F258" s="421"/>
      <c r="G258" s="421"/>
      <c r="H258" s="421"/>
      <c r="I258" s="421"/>
      <c r="J258" s="421"/>
    </row>
    <row r="259" spans="2:10" outlineLevel="1" x14ac:dyDescent="0.6">
      <c r="B259" s="417"/>
      <c r="C259" s="421"/>
      <c r="D259" s="421"/>
      <c r="E259" s="421"/>
      <c r="F259" s="421"/>
      <c r="G259" s="421"/>
      <c r="H259" s="421"/>
      <c r="I259" s="421"/>
      <c r="J259" s="421"/>
    </row>
    <row r="260" spans="2:10" ht="15.25" outlineLevel="1" x14ac:dyDescent="1.05">
      <c r="B260" s="417"/>
      <c r="C260" s="423"/>
      <c r="E260" s="266"/>
    </row>
    <row r="261" spans="2:10" outlineLevel="1" x14ac:dyDescent="0.6">
      <c r="B261" s="417"/>
      <c r="C261" s="421"/>
      <c r="E261" s="266"/>
    </row>
    <row r="262" spans="2:10" outlineLevel="1" x14ac:dyDescent="0.6">
      <c r="B262" s="417"/>
      <c r="C262" s="266"/>
      <c r="E262" s="266"/>
    </row>
    <row r="263" spans="2:10" outlineLevel="1" x14ac:dyDescent="0.6">
      <c r="C263" s="427"/>
      <c r="D263" s="427"/>
      <c r="E263" s="427"/>
      <c r="F263" s="427"/>
      <c r="G263" s="427"/>
      <c r="H263" s="427"/>
      <c r="I263" s="427"/>
      <c r="J263" s="427"/>
    </row>
    <row r="264" spans="2:10" outlineLevel="1" x14ac:dyDescent="0.6"/>
    <row r="265" spans="2:10" outlineLevel="1" x14ac:dyDescent="0.6">
      <c r="C265" s="477"/>
      <c r="D265" s="477"/>
      <c r="E265" s="477"/>
    </row>
    <row r="266" spans="2:10" outlineLevel="1" x14ac:dyDescent="0.6">
      <c r="B266" s="417"/>
      <c r="C266" s="421"/>
      <c r="D266" s="475"/>
      <c r="E266" s="421"/>
    </row>
    <row r="267" spans="2:10" outlineLevel="1" x14ac:dyDescent="0.6">
      <c r="B267" s="417"/>
      <c r="C267" s="478"/>
      <c r="D267" s="479"/>
      <c r="E267" s="478"/>
    </row>
    <row r="268" spans="2:10" outlineLevel="1" x14ac:dyDescent="0.6">
      <c r="B268" s="417"/>
      <c r="C268" s="421"/>
      <c r="D268" s="421"/>
      <c r="E268" s="421"/>
      <c r="G268" s="417"/>
    </row>
    <row r="269" spans="2:10" outlineLevel="1" x14ac:dyDescent="0.6">
      <c r="C269" s="266"/>
      <c r="E269" s="266"/>
      <c r="G269" s="417"/>
    </row>
    <row r="270" spans="2:10" outlineLevel="1" x14ac:dyDescent="0.6">
      <c r="B270" s="471"/>
      <c r="C270" s="421"/>
      <c r="E270" s="474"/>
      <c r="G270" s="474"/>
    </row>
    <row r="271" spans="2:10" outlineLevel="1" x14ac:dyDescent="0.6">
      <c r="B271" s="417"/>
      <c r="C271" s="421"/>
      <c r="E271" s="296"/>
    </row>
    <row r="272" spans="2:10" outlineLevel="1" x14ac:dyDescent="0.6">
      <c r="B272" s="417"/>
      <c r="C272" s="478"/>
      <c r="E272" s="301"/>
    </row>
    <row r="273" spans="2:5" outlineLevel="1" x14ac:dyDescent="0.6">
      <c r="B273" s="417"/>
      <c r="C273" s="421"/>
      <c r="E273" s="296"/>
    </row>
    <row r="274" spans="2:5" outlineLevel="1" x14ac:dyDescent="0.6"/>
  </sheetData>
  <pageMargins left="0.75" right="0.75" top="1" bottom="1" header="0.5" footer="0.5"/>
  <pageSetup scale="78" fitToHeight="0" orientation="landscape" r:id="rId1"/>
  <headerFooter alignWithMargins="0">
    <oddHeader>&amp;C&amp;"Arial,Bold"Public Service Electric and Gas Company Specific Addendum
Attachment 4</oddHeader>
    <oddFooter>&amp;C&amp;"Arial,Bold"Page 5 of 5</oddFooter>
  </headerFooter>
  <rowBreaks count="7" manualBreakCount="7">
    <brk id="33" max="9" man="1"/>
    <brk id="79" max="9" man="1"/>
    <brk id="115" max="9" man="1"/>
    <brk id="151" max="9" man="1"/>
    <brk id="187" max="9"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Input</vt:lpstr>
      <vt:lpstr>Att 2</vt:lpstr>
      <vt:lpstr>Att 3</vt:lpstr>
      <vt:lpstr>Att 4-1</vt:lpstr>
      <vt:lpstr>Att 4-2</vt:lpstr>
      <vt:lpstr>Att 4-3</vt:lpstr>
      <vt:lpstr>Att 4-4</vt:lpstr>
      <vt:lpstr>Att 4-5</vt:lpstr>
      <vt:lpstr>'Att 2'!Print_Area</vt:lpstr>
      <vt:lpstr>'Att 3'!Print_Area</vt:lpstr>
      <vt:lpstr>'Att 4-1'!Print_Area</vt:lpstr>
      <vt:lpstr>'Att 4-2'!Print_Area</vt:lpstr>
      <vt:lpstr>'Att 4-3'!Print_Area</vt:lpstr>
      <vt:lpstr>'Att 4-4'!Print_Area</vt:lpstr>
      <vt:lpstr>'Att 4-5'!Print_Area</vt:lpstr>
      <vt:lpstr>Input!Print_Area</vt:lpstr>
      <vt:lpstr>'Att 3'!Print_Titles</vt:lpstr>
      <vt:lpstr>'Att 4-4'!Print_Titles</vt:lpstr>
      <vt:lpstr>'Att 4-5'!Print_Titles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Morrison, Kate</cp:lastModifiedBy>
  <cp:lastPrinted>2022-06-15T17:03:34Z</cp:lastPrinted>
  <dcterms:created xsi:type="dcterms:W3CDTF">2002-02-27T17:48:59Z</dcterms:created>
  <dcterms:modified xsi:type="dcterms:W3CDTF">2022-06-30T13:59:52Z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{14083822-E661-4B94-85A0-9BC91DEF1BC1}</vt:lpwstr>
  </property>
</Properties>
</file>