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3 Auction\3 RSCP Rates\1 July Filing\2 Received from EDCs\1 to post\"/>
    </mc:Choice>
  </mc:AlternateContent>
  <xr:revisionPtr revIDLastSave="0" documentId="8_{5948D462-7F9E-4CD4-9B24-39545EF3FCED}" xr6:coauthVersionLast="46" xr6:coauthVersionMax="46" xr10:uidLastSave="{00000000-0000-0000-0000-000000000000}"/>
  <bookViews>
    <workbookView xWindow="29880" yWindow="-15360" windowWidth="24525" windowHeight="14130" tabRatio="935" xr2:uid="{FFCD7060-73EC-4583-855C-8E3C368AD128}"/>
  </bookViews>
  <sheets>
    <sheet name="BGS PTY19 Cost Alloc" sheetId="11" r:id="rId1"/>
    <sheet name="BGS PTY20 Cost Alloc" sheetId="13" r:id="rId2"/>
    <sheet name="BGS PTY21 Cost Alloc" sheetId="10" r:id="rId3"/>
    <sheet name="Composite Cost Allocation" sheetId="14" r:id="rId4"/>
    <sheet name="Attachment 3 - 23-24" sheetId="26" r:id="rId5"/>
    <sheet name="Attachment 3 - 24-25" sheetId="28" r:id="rId6"/>
    <sheet name="Attachment 3 - 25-26" sheetId="30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'Attachment 3 - 23-24'!$A$1:$G$55</definedName>
    <definedName name="_xlnm.Print_Area" localSheetId="5">'Attachment 3 - 24-25'!$A$1:$G$56</definedName>
    <definedName name="_xlnm.Print_Area" localSheetId="6">'Attachment 3 - 25-26'!$A$1:$G$54</definedName>
    <definedName name="_xlnm.Print_Area" localSheetId="0">'BGS PTY19 Cost Alloc'!$A$1:$L$328</definedName>
    <definedName name="_xlnm.Print_Area" localSheetId="1">'BGS PTY20 Cost Alloc'!$A$1:$L$326</definedName>
    <definedName name="_xlnm.Print_Area" localSheetId="2">'BGS PTY21 Cost Alloc'!$A$1:$L$317</definedName>
    <definedName name="_xlnm.Print_Area" localSheetId="3">'Composite Cost Allocation'!$A$1:$N$185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6" l="1"/>
  <c r="C33" i="30" l="1"/>
  <c r="E134" i="14"/>
  <c r="D173" i="10"/>
  <c r="D14" i="26"/>
  <c r="C14" i="30"/>
  <c r="D14" i="28"/>
  <c r="C14" i="28"/>
  <c r="D16" i="26"/>
  <c r="C14" i="26"/>
  <c r="Y60" i="10" l="1"/>
  <c r="D15" i="28" l="1"/>
  <c r="D16" i="28"/>
  <c r="D10" i="28"/>
  <c r="C38" i="30"/>
  <c r="E38" i="30" s="1"/>
  <c r="C15" i="30" s="1"/>
  <c r="C16" i="30" s="1"/>
  <c r="A11" i="30"/>
  <c r="A12" i="30" s="1"/>
  <c r="A13" i="30" s="1"/>
  <c r="A14" i="30" s="1"/>
  <c r="A15" i="30" s="1"/>
  <c r="A16" i="30" s="1"/>
  <c r="A17" i="30" s="1"/>
  <c r="A18" i="30" s="1"/>
  <c r="A19" i="30" s="1"/>
  <c r="A20" i="30" s="1"/>
  <c r="C10" i="30"/>
  <c r="D38" i="30" l="1"/>
  <c r="AF76" i="10" l="1"/>
  <c r="D12" i="26" l="1"/>
  <c r="D10" i="26"/>
  <c r="C38" i="28" l="1"/>
  <c r="E38" i="28" s="1"/>
  <c r="C15" i="28" s="1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C10" i="28"/>
  <c r="D38" i="28" l="1"/>
  <c r="C16" i="28"/>
  <c r="G192" i="10" l="1"/>
  <c r="C10" i="26" l="1"/>
  <c r="C40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E40" i="26" l="1"/>
  <c r="C15" i="26" s="1"/>
  <c r="D15" i="26" s="1"/>
  <c r="D40" i="26"/>
  <c r="H192" i="10" l="1"/>
  <c r="D192" i="13" l="1"/>
  <c r="E192" i="13" s="1"/>
  <c r="D178" i="13"/>
  <c r="D193" i="11" l="1"/>
  <c r="B328" i="11" l="1"/>
  <c r="B326" i="13"/>
  <c r="F187" i="10" l="1"/>
  <c r="X95" i="10" l="1"/>
  <c r="U178" i="10" l="1"/>
  <c r="U185" i="10" l="1"/>
  <c r="U177" i="10"/>
  <c r="D174" i="10" l="1"/>
  <c r="X87" i="10" l="1"/>
  <c r="E95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10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4" i="13"/>
  <c r="E95" i="13" s="1"/>
  <c r="F87" i="13"/>
  <c r="D87" i="13"/>
  <c r="F87" i="11"/>
  <c r="D87" i="11"/>
  <c r="E180" i="11"/>
  <c r="C311" i="11" s="1"/>
  <c r="AD72" i="10"/>
  <c r="E179" i="11"/>
  <c r="C310" i="11" s="1"/>
  <c r="T30" i="10"/>
  <c r="T30" i="11" s="1"/>
  <c r="Q30" i="10"/>
  <c r="Q30" i="13" s="1"/>
  <c r="X72" i="10"/>
  <c r="E177" i="13"/>
  <c r="C308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64" i="14"/>
  <c r="H164" i="14"/>
  <c r="G164" i="14"/>
  <c r="F164" i="14"/>
  <c r="E164" i="14"/>
  <c r="AF72" i="10"/>
  <c r="AE71" i="11"/>
  <c r="AE70" i="11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0" i="11"/>
  <c r="C319" i="11"/>
  <c r="C318" i="11"/>
  <c r="B102" i="11"/>
  <c r="B165" i="11"/>
  <c r="B57" i="11"/>
  <c r="H30" i="11"/>
  <c r="E30" i="11"/>
  <c r="E10" i="11"/>
  <c r="B3" i="11"/>
  <c r="E193" i="11"/>
  <c r="C315" i="11" s="1"/>
  <c r="C314" i="11"/>
  <c r="C313" i="11"/>
  <c r="D83" i="11"/>
  <c r="D79" i="11"/>
  <c r="D80" i="11"/>
  <c r="D81" i="11"/>
  <c r="D82" i="11"/>
  <c r="F83" i="11"/>
  <c r="F79" i="11"/>
  <c r="F80" i="11"/>
  <c r="F81" i="11"/>
  <c r="F82" i="11"/>
  <c r="D90" i="1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D84" i="11"/>
  <c r="D85" i="11"/>
  <c r="D86" i="11"/>
  <c r="F84" i="11"/>
  <c r="F85" i="11"/>
  <c r="F86" i="11"/>
  <c r="F94" i="11"/>
  <c r="F95" i="11" s="1"/>
  <c r="G94" i="11"/>
  <c r="G95" i="11" s="1"/>
  <c r="H94" i="11"/>
  <c r="H95" i="11" s="1"/>
  <c r="I94" i="11"/>
  <c r="I95" i="11" s="1"/>
  <c r="W68" i="11"/>
  <c r="W65" i="11"/>
  <c r="W66" i="11"/>
  <c r="W67" i="1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 s="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 s="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S58" i="11" s="1"/>
  <c r="R13" i="11"/>
  <c r="R31" i="11" s="1"/>
  <c r="Q58" i="11"/>
  <c r="I58" i="11"/>
  <c r="G58" i="11"/>
  <c r="F58" i="11"/>
  <c r="E58" i="11"/>
  <c r="B53" i="11"/>
  <c r="B52" i="11"/>
  <c r="I31" i="11"/>
  <c r="H31" i="11"/>
  <c r="G31" i="11"/>
  <c r="F31" i="11"/>
  <c r="E31" i="11"/>
  <c r="AE72" i="11"/>
  <c r="AE71" i="13"/>
  <c r="AE70" i="13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18" i="13"/>
  <c r="C317" i="13"/>
  <c r="C316" i="13"/>
  <c r="D84" i="13"/>
  <c r="D85" i="13"/>
  <c r="D86" i="13"/>
  <c r="F84" i="13"/>
  <c r="F85" i="13"/>
  <c r="F86" i="13"/>
  <c r="C313" i="13"/>
  <c r="F94" i="13"/>
  <c r="F95" i="13" s="1"/>
  <c r="H94" i="13"/>
  <c r="H95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78" i="13"/>
  <c r="C309" i="13" s="1"/>
  <c r="H80" i="13"/>
  <c r="H81" i="13"/>
  <c r="H82" i="13"/>
  <c r="H83" i="13"/>
  <c r="I80" i="13"/>
  <c r="I81" i="13"/>
  <c r="I82" i="13"/>
  <c r="I83" i="13"/>
  <c r="B102" i="13"/>
  <c r="B163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B284" i="13"/>
  <c r="B283" i="13"/>
  <c r="G94" i="13"/>
  <c r="G95" i="13" s="1"/>
  <c r="I291" i="13"/>
  <c r="H291" i="13"/>
  <c r="G291" i="13"/>
  <c r="F291" i="13"/>
  <c r="E291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E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6" i="13"/>
  <c r="H196" i="13"/>
  <c r="G196" i="13"/>
  <c r="F196" i="13"/>
  <c r="E196" i="13"/>
  <c r="I261" i="13"/>
  <c r="H261" i="13"/>
  <c r="G261" i="13"/>
  <c r="F261" i="13"/>
  <c r="E261" i="13"/>
  <c r="H215" i="13"/>
  <c r="H128" i="13"/>
  <c r="H110" i="13"/>
  <c r="H149" i="13"/>
  <c r="Q150" i="13" s="1"/>
  <c r="H164" i="13"/>
  <c r="E149" i="13"/>
  <c r="Z162" i="13" s="1"/>
  <c r="Q13" i="13"/>
  <c r="Q79" i="13" s="1"/>
  <c r="C183" i="13"/>
  <c r="B237" i="13"/>
  <c r="B236" i="13"/>
  <c r="C312" i="13"/>
  <c r="C311" i="13"/>
  <c r="I215" i="13"/>
  <c r="G215" i="13"/>
  <c r="F215" i="13"/>
  <c r="E215" i="13"/>
  <c r="B207" i="13"/>
  <c r="B206" i="13"/>
  <c r="H173" i="13"/>
  <c r="I164" i="13"/>
  <c r="G164" i="13"/>
  <c r="F164" i="13"/>
  <c r="E164" i="13"/>
  <c r="I149" i="13"/>
  <c r="G149" i="13"/>
  <c r="F149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D87" i="10"/>
  <c r="E87" i="10" s="1"/>
  <c r="E84" i="10"/>
  <c r="D85" i="10"/>
  <c r="E85" i="10" s="1"/>
  <c r="D86" i="10"/>
  <c r="E86" i="10" s="1"/>
  <c r="I85" i="10"/>
  <c r="I86" i="10" s="1"/>
  <c r="I87" i="10" s="1"/>
  <c r="Q163" i="10"/>
  <c r="W163" i="10" s="1"/>
  <c r="D83" i="10"/>
  <c r="E83" i="10" s="1"/>
  <c r="E79" i="10"/>
  <c r="D80" i="10"/>
  <c r="E80" i="10" s="1"/>
  <c r="D81" i="10"/>
  <c r="E81" i="10" s="1"/>
  <c r="D82" i="10"/>
  <c r="E82" i="10" s="1"/>
  <c r="I80" i="10"/>
  <c r="I81" i="10"/>
  <c r="I82" i="10"/>
  <c r="I83" i="10"/>
  <c r="D90" i="10"/>
  <c r="E90" i="10" s="1"/>
  <c r="I90" i="10"/>
  <c r="D88" i="10"/>
  <c r="E88" i="10" s="1"/>
  <c r="D89" i="10"/>
  <c r="E89" i="10" s="1"/>
  <c r="I88" i="10"/>
  <c r="I89" i="10"/>
  <c r="Q168" i="10"/>
  <c r="W168" i="10" s="1"/>
  <c r="B277" i="10"/>
  <c r="B276" i="10"/>
  <c r="I191" i="10"/>
  <c r="H191" i="10"/>
  <c r="G191" i="10"/>
  <c r="F191" i="10"/>
  <c r="E191" i="10"/>
  <c r="I255" i="10"/>
  <c r="H255" i="10"/>
  <c r="G255" i="10"/>
  <c r="F255" i="10"/>
  <c r="E255" i="10"/>
  <c r="H209" i="10"/>
  <c r="Q63" i="10"/>
  <c r="Q67" i="10"/>
  <c r="AD77" i="10"/>
  <c r="H128" i="10"/>
  <c r="H110" i="10"/>
  <c r="H148" i="10"/>
  <c r="AC148" i="10" s="1"/>
  <c r="H162" i="10"/>
  <c r="Z72" i="10"/>
  <c r="E148" i="10"/>
  <c r="Z159" i="10" s="1"/>
  <c r="Q13" i="10"/>
  <c r="Q79" i="10" s="1"/>
  <c r="C301" i="10"/>
  <c r="AX181" i="10"/>
  <c r="C178" i="10"/>
  <c r="B231" i="10"/>
  <c r="B230" i="10"/>
  <c r="C300" i="10"/>
  <c r="C305" i="10"/>
  <c r="C304" i="10"/>
  <c r="C303" i="10"/>
  <c r="I209" i="10"/>
  <c r="G209" i="10"/>
  <c r="F209" i="10"/>
  <c r="E209" i="10"/>
  <c r="B201" i="10"/>
  <c r="B200" i="10"/>
  <c r="H170" i="10"/>
  <c r="I162" i="10"/>
  <c r="G162" i="10"/>
  <c r="F162" i="10"/>
  <c r="E162" i="10"/>
  <c r="I148" i="10"/>
  <c r="G148" i="10"/>
  <c r="F148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31" i="14"/>
  <c r="G131" i="14"/>
  <c r="H131" i="14"/>
  <c r="I131" i="14"/>
  <c r="E131" i="14"/>
  <c r="B157" i="14"/>
  <c r="B156" i="14"/>
  <c r="B53" i="14"/>
  <c r="B52" i="14"/>
  <c r="B51" i="14"/>
  <c r="B50" i="14"/>
  <c r="B49" i="14"/>
  <c r="B48" i="14"/>
  <c r="B47" i="14"/>
  <c r="T150" i="13"/>
  <c r="Q162" i="13"/>
  <c r="T150" i="11"/>
  <c r="R58" i="11"/>
  <c r="AC162" i="11"/>
  <c r="C33" i="28" l="1"/>
  <c r="Q31" i="11"/>
  <c r="E97" i="11"/>
  <c r="AC150" i="11"/>
  <c r="S31" i="11"/>
  <c r="AG63" i="11"/>
  <c r="H65" i="10"/>
  <c r="AG67" i="11"/>
  <c r="T162" i="11"/>
  <c r="W162" i="13"/>
  <c r="Z162" i="11"/>
  <c r="Q162" i="11"/>
  <c r="T162" i="13"/>
  <c r="U31" i="10"/>
  <c r="Q150" i="11"/>
  <c r="AG62" i="13"/>
  <c r="H68" i="10"/>
  <c r="AA94" i="11"/>
  <c r="R31" i="13"/>
  <c r="W150" i="11"/>
  <c r="AC162" i="13"/>
  <c r="AA95" i="11"/>
  <c r="AH71" i="11"/>
  <c r="Z150" i="13"/>
  <c r="S31" i="13"/>
  <c r="U31" i="13"/>
  <c r="U31" i="11"/>
  <c r="T79" i="11"/>
  <c r="W150" i="13"/>
  <c r="AC150" i="13"/>
  <c r="Y67" i="13"/>
  <c r="T159" i="10"/>
  <c r="AA94" i="13"/>
  <c r="H97" i="10"/>
  <c r="T31" i="13"/>
  <c r="Q69" i="13"/>
  <c r="T79" i="13"/>
  <c r="AA95" i="13"/>
  <c r="T58" i="11"/>
  <c r="T69" i="11"/>
  <c r="T69" i="13"/>
  <c r="T148" i="10"/>
  <c r="AC159" i="10"/>
  <c r="AA65" i="13"/>
  <c r="F60" i="11"/>
  <c r="R60" i="11" s="1"/>
  <c r="AG61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48" i="10"/>
  <c r="G60" i="10"/>
  <c r="G60" i="11" s="1"/>
  <c r="AC60" i="13"/>
  <c r="AC60" i="11"/>
  <c r="I97" i="10"/>
  <c r="Q69" i="10"/>
  <c r="R31" i="10"/>
  <c r="Z148" i="10"/>
  <c r="T31" i="10"/>
  <c r="Q148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W81" i="11"/>
  <c r="V81" i="11" s="1"/>
  <c r="W82" i="11"/>
  <c r="V82" i="11" s="1"/>
  <c r="W86" i="11"/>
  <c r="V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59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59" i="10"/>
  <c r="Z72" i="13"/>
  <c r="T30" i="13"/>
  <c r="Q30" i="11"/>
  <c r="R64" i="10"/>
  <c r="U60" i="10"/>
  <c r="H97" i="11"/>
  <c r="F97" i="11"/>
  <c r="G97" i="11"/>
  <c r="W83" i="13"/>
  <c r="V83" i="13" s="1"/>
  <c r="W84" i="13"/>
  <c r="V84" i="13" s="1"/>
  <c r="Y70" i="11"/>
  <c r="AB72" i="11"/>
  <c r="W80" i="11"/>
  <c r="V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W77" i="11"/>
  <c r="V77" i="11" s="1"/>
  <c r="W83" i="11"/>
  <c r="V83" i="11" s="1"/>
  <c r="Y63" i="11"/>
  <c r="E237" i="10"/>
  <c r="Q63" i="11"/>
  <c r="W72" i="11"/>
  <c r="AD72" i="13"/>
  <c r="Q172" i="11"/>
  <c r="W172" i="11" s="1"/>
  <c r="E243" i="13"/>
  <c r="X72" i="13"/>
  <c r="Y69" i="13"/>
  <c r="Q67" i="13"/>
  <c r="E245" i="11"/>
  <c r="E116" i="14"/>
  <c r="AC72" i="10"/>
  <c r="W75" i="11"/>
  <c r="V75" i="11" s="1"/>
  <c r="W87" i="10"/>
  <c r="V87" i="10"/>
  <c r="I66" i="13"/>
  <c r="I66" i="11"/>
  <c r="I62" i="11"/>
  <c r="I110" i="14"/>
  <c r="U64" i="10"/>
  <c r="I65" i="13"/>
  <c r="I65" i="11"/>
  <c r="I61" i="11"/>
  <c r="I72" i="10"/>
  <c r="T95" i="10"/>
  <c r="F72" i="10"/>
  <c r="F71" i="13"/>
  <c r="F67" i="11"/>
  <c r="R60" i="10"/>
  <c r="F64" i="13"/>
  <c r="F63" i="13"/>
  <c r="Q167" i="11"/>
  <c r="W167" i="11" s="1"/>
  <c r="Y66" i="13"/>
  <c r="Y61" i="13"/>
  <c r="Q67" i="11"/>
  <c r="W72" i="13"/>
  <c r="E37" i="26" l="1"/>
  <c r="I97" i="11"/>
  <c r="AB83" i="11"/>
  <c r="AC83" i="11" s="1"/>
  <c r="AB78" i="11"/>
  <c r="AC78" i="11" s="1"/>
  <c r="AB77" i="11"/>
  <c r="AC77" i="11" s="1"/>
  <c r="AB86" i="11"/>
  <c r="AC86" i="11" s="1"/>
  <c r="AH71" i="13"/>
  <c r="T176" i="10"/>
  <c r="T180" i="10" s="1"/>
  <c r="T184" i="10"/>
  <c r="T188" i="10" s="1"/>
  <c r="AB76" i="11"/>
  <c r="AC76" i="11" s="1"/>
  <c r="AB80" i="11"/>
  <c r="AC80" i="11" s="1"/>
  <c r="AB84" i="11"/>
  <c r="AC84" i="11" s="1"/>
  <c r="AB85" i="11"/>
  <c r="AC85" i="11" s="1"/>
  <c r="AB79" i="11"/>
  <c r="AC79" i="11" s="1"/>
  <c r="AB82" i="11"/>
  <c r="AC82" i="11" s="1"/>
  <c r="AB75" i="11"/>
  <c r="AC75" i="11" s="1"/>
  <c r="AB81" i="11"/>
  <c r="AC81" i="11" s="1"/>
  <c r="AH72" i="10"/>
  <c r="AG70" i="11"/>
  <c r="AH70" i="13"/>
  <c r="AH70" i="11"/>
  <c r="AB80" i="13"/>
  <c r="AC80" i="13" s="1"/>
  <c r="AB77" i="13"/>
  <c r="AC77" i="13" s="1"/>
  <c r="AB86" i="13"/>
  <c r="AC86" i="13" s="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AG62" i="11"/>
  <c r="H65" i="11"/>
  <c r="AA65" i="11"/>
  <c r="AF81" i="10"/>
  <c r="AF78" i="10"/>
  <c r="E65" i="10"/>
  <c r="Q176" i="10"/>
  <c r="Q180" i="10" s="1"/>
  <c r="G67" i="13"/>
  <c r="G65" i="11"/>
  <c r="E243" i="10"/>
  <c r="AG65" i="11"/>
  <c r="AG61" i="11"/>
  <c r="H61" i="10"/>
  <c r="H61" i="13" s="1"/>
  <c r="I166" i="13"/>
  <c r="H65" i="13"/>
  <c r="G60" i="13"/>
  <c r="H62" i="10"/>
  <c r="H62" i="11" s="1"/>
  <c r="AG65" i="13"/>
  <c r="E62" i="10"/>
  <c r="AA62" i="11"/>
  <c r="E70" i="10"/>
  <c r="AA70" i="13"/>
  <c r="G63" i="11"/>
  <c r="G62" i="13"/>
  <c r="AB83" i="10"/>
  <c r="AC83" i="10" s="1"/>
  <c r="AB75" i="10"/>
  <c r="AC75" i="10" s="1"/>
  <c r="AB76" i="10"/>
  <c r="AC76" i="10" s="1"/>
  <c r="AB77" i="10"/>
  <c r="AC77" i="10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10" i="14"/>
  <c r="G65" i="13"/>
  <c r="R64" i="13"/>
  <c r="F292" i="13"/>
  <c r="G64" i="13"/>
  <c r="S64" i="10"/>
  <c r="G70" i="11"/>
  <c r="G66" i="11"/>
  <c r="G72" i="10"/>
  <c r="G61" i="13"/>
  <c r="G69" i="13"/>
  <c r="S60" i="10"/>
  <c r="G68" i="11"/>
  <c r="Y72" i="11"/>
  <c r="U60" i="13"/>
  <c r="AG68" i="11"/>
  <c r="E249" i="13"/>
  <c r="I116" i="14"/>
  <c r="E251" i="11"/>
  <c r="AG67" i="13"/>
  <c r="I72" i="11"/>
  <c r="U60" i="11"/>
  <c r="I237" i="10"/>
  <c r="I247" i="10" s="1"/>
  <c r="I243" i="13"/>
  <c r="I253" i="13" s="1"/>
  <c r="I245" i="11"/>
  <c r="I255" i="11" s="1"/>
  <c r="I120" i="14"/>
  <c r="U64" i="11"/>
  <c r="I294" i="11"/>
  <c r="I292" i="13"/>
  <c r="U64" i="13"/>
  <c r="I72" i="13"/>
  <c r="F294" i="11"/>
  <c r="F72" i="11"/>
  <c r="F295" i="11" s="1"/>
  <c r="R66" i="10"/>
  <c r="R65" i="10"/>
  <c r="R64" i="11"/>
  <c r="F72" i="13"/>
  <c r="R60" i="13"/>
  <c r="Y72" i="13"/>
  <c r="H67" i="10"/>
  <c r="H67" i="11" s="1"/>
  <c r="AG68" i="13"/>
  <c r="AG69" i="13"/>
  <c r="AG69" i="11"/>
  <c r="H69" i="10"/>
  <c r="H71" i="10"/>
  <c r="AG71" i="11"/>
  <c r="AG71" i="13"/>
  <c r="AG66" i="13"/>
  <c r="H66" i="10"/>
  <c r="AG66" i="11"/>
  <c r="H68" i="13"/>
  <c r="H68" i="11"/>
  <c r="AG60" i="11"/>
  <c r="H60" i="10"/>
  <c r="AG60" i="13"/>
  <c r="AG64" i="13"/>
  <c r="H64" i="10"/>
  <c r="AG64" i="11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AA68" i="13"/>
  <c r="AF84" i="10"/>
  <c r="E68" i="10"/>
  <c r="AA68" i="11"/>
  <c r="AA60" i="13"/>
  <c r="AA60" i="11"/>
  <c r="E60" i="10"/>
  <c r="AA72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T179" i="10" l="1"/>
  <c r="H34" i="13"/>
  <c r="T34" i="13" s="1"/>
  <c r="T35" i="10"/>
  <c r="H43" i="13"/>
  <c r="T43" i="13" s="1"/>
  <c r="Q37" i="10"/>
  <c r="E41" i="11"/>
  <c r="Q41" i="11" s="1"/>
  <c r="E38" i="13"/>
  <c r="E39" i="13"/>
  <c r="Q39" i="13" s="1"/>
  <c r="E42" i="13"/>
  <c r="Q42" i="13" s="1"/>
  <c r="E40" i="13"/>
  <c r="Q40" i="13" s="1"/>
  <c r="E34" i="13"/>
  <c r="Q34" i="13" s="1"/>
  <c r="Q20" i="10"/>
  <c r="E20" i="11"/>
  <c r="Q20" i="11" s="1"/>
  <c r="E20" i="13"/>
  <c r="Q20" i="13" s="1"/>
  <c r="G17" i="11"/>
  <c r="S17" i="11" s="1"/>
  <c r="G17" i="13"/>
  <c r="S17" i="13" s="1"/>
  <c r="S17" i="10"/>
  <c r="Q18" i="10"/>
  <c r="E18" i="13"/>
  <c r="Q18" i="13" s="1"/>
  <c r="E18" i="11"/>
  <c r="Q18" i="11" s="1"/>
  <c r="F20" i="13"/>
  <c r="R20" i="10"/>
  <c r="F20" i="11"/>
  <c r="F113" i="10"/>
  <c r="F131" i="10" s="1"/>
  <c r="H25" i="13"/>
  <c r="T25" i="13" s="1"/>
  <c r="T25" i="10"/>
  <c r="H25" i="11"/>
  <c r="T25" i="11" s="1"/>
  <c r="I25" i="11"/>
  <c r="U25" i="11" s="1"/>
  <c r="U25" i="10"/>
  <c r="I25" i="13"/>
  <c r="U25" i="13" s="1"/>
  <c r="G22" i="13"/>
  <c r="S22" i="13" s="1"/>
  <c r="G22" i="11"/>
  <c r="S22" i="11" s="1"/>
  <c r="S22" i="10"/>
  <c r="F22" i="11"/>
  <c r="R22" i="11" s="1"/>
  <c r="F22" i="13"/>
  <c r="R22" i="13" s="1"/>
  <c r="R22" i="10"/>
  <c r="Q23" i="10"/>
  <c r="E23" i="11"/>
  <c r="Q23" i="11" s="1"/>
  <c r="E23" i="13"/>
  <c r="Q23" i="13" s="1"/>
  <c r="R18" i="10"/>
  <c r="F18" i="11"/>
  <c r="R18" i="11" s="1"/>
  <c r="F18" i="13"/>
  <c r="R18" i="13" s="1"/>
  <c r="H22" i="13"/>
  <c r="T22" i="13" s="1"/>
  <c r="T22" i="10"/>
  <c r="H22" i="11"/>
  <c r="T22" i="11" s="1"/>
  <c r="I17" i="13"/>
  <c r="U17" i="13" s="1"/>
  <c r="I17" i="11"/>
  <c r="U17" i="11" s="1"/>
  <c r="U17" i="10"/>
  <c r="G20" i="13"/>
  <c r="S20" i="13" s="1"/>
  <c r="S20" i="10"/>
  <c r="G20" i="11"/>
  <c r="S20" i="11" s="1"/>
  <c r="E16" i="11"/>
  <c r="Q16" i="11" s="1"/>
  <c r="Q16" i="10"/>
  <c r="E16" i="13"/>
  <c r="Q16" i="13" s="1"/>
  <c r="F23" i="13"/>
  <c r="R23" i="13" s="1"/>
  <c r="R23" i="10"/>
  <c r="F23" i="11"/>
  <c r="R23" i="11" s="1"/>
  <c r="T20" i="10"/>
  <c r="H20" i="11"/>
  <c r="T20" i="11" s="1"/>
  <c r="H20" i="13"/>
  <c r="T20" i="13" s="1"/>
  <c r="I22" i="11"/>
  <c r="U22" i="11" s="1"/>
  <c r="I22" i="13"/>
  <c r="U22" i="13" s="1"/>
  <c r="U22" i="10"/>
  <c r="S18" i="10"/>
  <c r="G18" i="11"/>
  <c r="S18" i="11" s="1"/>
  <c r="G18" i="13"/>
  <c r="S18" i="13" s="1"/>
  <c r="E21" i="13"/>
  <c r="Q21" i="13" s="1"/>
  <c r="Q21" i="10"/>
  <c r="E112" i="10" s="1"/>
  <c r="E21" i="11"/>
  <c r="Q21" i="11" s="1"/>
  <c r="F16" i="13"/>
  <c r="R16" i="13" s="1"/>
  <c r="R16" i="10"/>
  <c r="F16" i="11"/>
  <c r="R16" i="11" s="1"/>
  <c r="T18" i="10"/>
  <c r="H18" i="13"/>
  <c r="T18" i="13" s="1"/>
  <c r="H18" i="11"/>
  <c r="T18" i="11" s="1"/>
  <c r="I20" i="13"/>
  <c r="I20" i="11"/>
  <c r="U20" i="10"/>
  <c r="I113" i="10"/>
  <c r="I131" i="10" s="1"/>
  <c r="G23" i="11"/>
  <c r="S23" i="11" s="1"/>
  <c r="S23" i="10"/>
  <c r="G23" i="13"/>
  <c r="S23" i="13" s="1"/>
  <c r="E26" i="11"/>
  <c r="Q26" i="11" s="1"/>
  <c r="Q26" i="10"/>
  <c r="E26" i="13"/>
  <c r="Q26" i="13" s="1"/>
  <c r="F21" i="13"/>
  <c r="R21" i="13" s="1"/>
  <c r="R21" i="10"/>
  <c r="F21" i="11"/>
  <c r="R21" i="11" s="1"/>
  <c r="H23" i="11"/>
  <c r="T23" i="11" s="1"/>
  <c r="T23" i="10"/>
  <c r="H23" i="13"/>
  <c r="T23" i="13" s="1"/>
  <c r="U18" i="10"/>
  <c r="I18" i="13"/>
  <c r="U18" i="13" s="1"/>
  <c r="I18" i="11"/>
  <c r="U18" i="11" s="1"/>
  <c r="G16" i="11"/>
  <c r="S16" i="11" s="1"/>
  <c r="G16" i="13"/>
  <c r="S16" i="13" s="1"/>
  <c r="S16" i="10"/>
  <c r="G113" i="10"/>
  <c r="G131" i="10" s="1"/>
  <c r="E19" i="13"/>
  <c r="Q19" i="13" s="1"/>
  <c r="E19" i="11"/>
  <c r="Q19" i="11" s="1"/>
  <c r="Q19" i="10"/>
  <c r="R26" i="10"/>
  <c r="F26" i="13"/>
  <c r="R26" i="13" s="1"/>
  <c r="F26" i="11"/>
  <c r="R26" i="11" s="1"/>
  <c r="H16" i="11"/>
  <c r="T16" i="11" s="1"/>
  <c r="H16" i="13"/>
  <c r="T16" i="13" s="1"/>
  <c r="T16" i="10"/>
  <c r="I23" i="11"/>
  <c r="U23" i="11" s="1"/>
  <c r="U23" i="10"/>
  <c r="I23" i="13"/>
  <c r="U23" i="13" s="1"/>
  <c r="S21" i="10"/>
  <c r="G21" i="13"/>
  <c r="S21" i="13" s="1"/>
  <c r="G21" i="11"/>
  <c r="S21" i="11" s="1"/>
  <c r="Q24" i="10"/>
  <c r="E24" i="11"/>
  <c r="Q24" i="11" s="1"/>
  <c r="E24" i="13"/>
  <c r="Q24" i="13" s="1"/>
  <c r="F19" i="11"/>
  <c r="R19" i="11" s="1"/>
  <c r="F19" i="13"/>
  <c r="R19" i="13" s="1"/>
  <c r="R19" i="10"/>
  <c r="T21" i="10"/>
  <c r="H21" i="11"/>
  <c r="T21" i="11" s="1"/>
  <c r="H21" i="13"/>
  <c r="T21" i="13" s="1"/>
  <c r="I16" i="11"/>
  <c r="U16" i="11" s="1"/>
  <c r="I16" i="13"/>
  <c r="U16" i="13" s="1"/>
  <c r="U16" i="10"/>
  <c r="S26" i="10"/>
  <c r="G26" i="13"/>
  <c r="S26" i="13" s="1"/>
  <c r="G26" i="11"/>
  <c r="S26" i="11" s="1"/>
  <c r="I19" i="13"/>
  <c r="U19" i="13" s="1"/>
  <c r="I19" i="11"/>
  <c r="U19" i="11" s="1"/>
  <c r="U19" i="10"/>
  <c r="E17" i="11"/>
  <c r="Q17" i="11" s="1"/>
  <c r="E17" i="13"/>
  <c r="Q17" i="13" s="1"/>
  <c r="Q17" i="10"/>
  <c r="F24" i="13"/>
  <c r="R24" i="13" s="1"/>
  <c r="F24" i="11"/>
  <c r="R24" i="11" s="1"/>
  <c r="R24" i="10"/>
  <c r="H26" i="13"/>
  <c r="T26" i="13" s="1"/>
  <c r="T26" i="10"/>
  <c r="H26" i="11"/>
  <c r="T26" i="11" s="1"/>
  <c r="U21" i="10"/>
  <c r="I21" i="13"/>
  <c r="U21" i="13" s="1"/>
  <c r="I21" i="11"/>
  <c r="U21" i="11" s="1"/>
  <c r="G19" i="11"/>
  <c r="S19" i="11" s="1"/>
  <c r="S19" i="10"/>
  <c r="G19" i="13"/>
  <c r="S19" i="13" s="1"/>
  <c r="G117" i="10"/>
  <c r="G135" i="10" s="1"/>
  <c r="E22" i="13"/>
  <c r="Q22" i="13" s="1"/>
  <c r="E22" i="11"/>
  <c r="Q22" i="11" s="1"/>
  <c r="Q22" i="10"/>
  <c r="F17" i="13"/>
  <c r="R17" i="13" s="1"/>
  <c r="R17" i="10"/>
  <c r="F17" i="11"/>
  <c r="R17" i="11" s="1"/>
  <c r="H19" i="13"/>
  <c r="T19" i="13" s="1"/>
  <c r="T19" i="10"/>
  <c r="H19" i="11"/>
  <c r="T19" i="11" s="1"/>
  <c r="I26" i="11"/>
  <c r="U26" i="11" s="1"/>
  <c r="U26" i="10"/>
  <c r="I26" i="13"/>
  <c r="U26" i="13" s="1"/>
  <c r="G24" i="11"/>
  <c r="S24" i="11" s="1"/>
  <c r="G24" i="13"/>
  <c r="S24" i="13" s="1"/>
  <c r="S24" i="10"/>
  <c r="Q15" i="10"/>
  <c r="E15" i="13"/>
  <c r="Q15" i="13" s="1"/>
  <c r="E15" i="11"/>
  <c r="Q15" i="11" s="1"/>
  <c r="R15" i="10"/>
  <c r="F15" i="11"/>
  <c r="F15" i="13"/>
  <c r="F117" i="10"/>
  <c r="F135" i="10" s="1"/>
  <c r="T15" i="10"/>
  <c r="H15" i="13"/>
  <c r="T15" i="13" s="1"/>
  <c r="H15" i="11"/>
  <c r="T15" i="11" s="1"/>
  <c r="U15" i="10"/>
  <c r="I15" i="13"/>
  <c r="I15" i="11"/>
  <c r="I117" i="10"/>
  <c r="I135" i="10" s="1"/>
  <c r="G15" i="13"/>
  <c r="S15" i="13" s="1"/>
  <c r="G15" i="11"/>
  <c r="S15" i="11" s="1"/>
  <c r="S15" i="10"/>
  <c r="H17" i="11"/>
  <c r="T17" i="11" s="1"/>
  <c r="H17" i="13"/>
  <c r="T17" i="13" s="1"/>
  <c r="T17" i="10"/>
  <c r="Q25" i="10"/>
  <c r="E25" i="11"/>
  <c r="Q25" i="11" s="1"/>
  <c r="E25" i="13"/>
  <c r="Q25" i="13" s="1"/>
  <c r="F25" i="11"/>
  <c r="R25" i="11" s="1"/>
  <c r="R25" i="10"/>
  <c r="F25" i="13"/>
  <c r="R25" i="13" s="1"/>
  <c r="H24" i="13"/>
  <c r="T24" i="13" s="1"/>
  <c r="T24" i="10"/>
  <c r="H24" i="11"/>
  <c r="T24" i="11" s="1"/>
  <c r="I24" i="11"/>
  <c r="U24" i="11" s="1"/>
  <c r="I24" i="13"/>
  <c r="U24" i="13" s="1"/>
  <c r="U24" i="10"/>
  <c r="S25" i="10"/>
  <c r="G25" i="11"/>
  <c r="S25" i="11" s="1"/>
  <c r="G25" i="13"/>
  <c r="S25" i="13" s="1"/>
  <c r="AH72" i="13"/>
  <c r="AG72" i="10"/>
  <c r="AG70" i="13"/>
  <c r="AG72" i="13" s="1"/>
  <c r="H70" i="10"/>
  <c r="T60" i="10" s="1"/>
  <c r="S184" i="10"/>
  <c r="S188" i="10" s="1"/>
  <c r="AH72" i="11"/>
  <c r="H62" i="13"/>
  <c r="H63" i="11"/>
  <c r="H168" i="11"/>
  <c r="H166" i="13"/>
  <c r="E65" i="13"/>
  <c r="M65" i="13" s="1"/>
  <c r="M70" i="10"/>
  <c r="Q179" i="10"/>
  <c r="H39" i="11"/>
  <c r="T39" i="11" s="1"/>
  <c r="H33" i="13"/>
  <c r="T33" i="13" s="1"/>
  <c r="T34" i="10"/>
  <c r="H34" i="11"/>
  <c r="T34" i="11" s="1"/>
  <c r="H35" i="11"/>
  <c r="T35" i="11" s="1"/>
  <c r="T40" i="10"/>
  <c r="H41" i="11"/>
  <c r="T41" i="11" s="1"/>
  <c r="H35" i="13"/>
  <c r="T35" i="13" s="1"/>
  <c r="E35" i="11"/>
  <c r="Q35" i="11" s="1"/>
  <c r="E41" i="13"/>
  <c r="Q41" i="13" s="1"/>
  <c r="E37" i="11"/>
  <c r="Q37" i="11" s="1"/>
  <c r="Q41" i="10"/>
  <c r="J65" i="10"/>
  <c r="E37" i="13"/>
  <c r="Q37" i="13" s="1"/>
  <c r="E65" i="11"/>
  <c r="M65" i="10"/>
  <c r="R176" i="10"/>
  <c r="R180" i="10" s="1"/>
  <c r="F97" i="13"/>
  <c r="H61" i="11"/>
  <c r="J62" i="10"/>
  <c r="F168" i="11"/>
  <c r="Q184" i="10"/>
  <c r="Q188" i="10" s="1"/>
  <c r="F166" i="13"/>
  <c r="P184" i="10"/>
  <c r="P188" i="10" s="1"/>
  <c r="E166" i="13"/>
  <c r="E168" i="11"/>
  <c r="S60" i="11"/>
  <c r="E70" i="13"/>
  <c r="M70" i="13" s="1"/>
  <c r="E70" i="11"/>
  <c r="M70" i="11" s="1"/>
  <c r="M62" i="10"/>
  <c r="E62" i="13"/>
  <c r="M62" i="13" s="1"/>
  <c r="E62" i="11"/>
  <c r="G97" i="13"/>
  <c r="AB87" i="10"/>
  <c r="G237" i="10"/>
  <c r="G247" i="10" s="1"/>
  <c r="G245" i="11"/>
  <c r="G255" i="11" s="1"/>
  <c r="G120" i="14"/>
  <c r="G243" i="13"/>
  <c r="G253" i="13" s="1"/>
  <c r="AC87" i="10"/>
  <c r="G294" i="11"/>
  <c r="S64" i="13"/>
  <c r="H67" i="13"/>
  <c r="G292" i="13"/>
  <c r="G72" i="11"/>
  <c r="G295" i="11" s="1"/>
  <c r="G116" i="14"/>
  <c r="G72" i="13"/>
  <c r="G293" i="13" s="1"/>
  <c r="S60" i="13"/>
  <c r="S64" i="11"/>
  <c r="J164" i="10"/>
  <c r="R184" i="10"/>
  <c r="AC72" i="11"/>
  <c r="AC72" i="13"/>
  <c r="G166" i="13"/>
  <c r="G168" i="11"/>
  <c r="I295" i="11"/>
  <c r="I293" i="13"/>
  <c r="F113" i="14"/>
  <c r="R65" i="11"/>
  <c r="R65" i="13"/>
  <c r="E180" i="10"/>
  <c r="E181" i="10" s="1"/>
  <c r="F114" i="14"/>
  <c r="R66" i="11"/>
  <c r="R66" i="13"/>
  <c r="F293" i="13"/>
  <c r="H69" i="11"/>
  <c r="H69" i="13"/>
  <c r="H71" i="11"/>
  <c r="H71" i="13"/>
  <c r="H64" i="13"/>
  <c r="H64" i="11"/>
  <c r="H60" i="11"/>
  <c r="H60" i="13"/>
  <c r="AG72" i="11"/>
  <c r="H66" i="11"/>
  <c r="H66" i="13"/>
  <c r="H111" i="14"/>
  <c r="H113" i="10"/>
  <c r="H131" i="10" s="1"/>
  <c r="T64" i="10"/>
  <c r="T75" i="10"/>
  <c r="T76" i="10"/>
  <c r="M69" i="10"/>
  <c r="E69" i="11"/>
  <c r="E69" i="13"/>
  <c r="J69" i="10"/>
  <c r="E61" i="11"/>
  <c r="J61" i="10"/>
  <c r="M61" i="10"/>
  <c r="E61" i="13"/>
  <c r="E66" i="13"/>
  <c r="E66" i="11"/>
  <c r="J66" i="10"/>
  <c r="M66" i="10"/>
  <c r="E60" i="11"/>
  <c r="Q60" i="10"/>
  <c r="E117" i="10"/>
  <c r="E135" i="10" s="1"/>
  <c r="Q71" i="10"/>
  <c r="Q72" i="10"/>
  <c r="T166" i="10" s="1"/>
  <c r="E72" i="10"/>
  <c r="E60" i="13"/>
  <c r="J60" i="10"/>
  <c r="M60" i="10"/>
  <c r="AA72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E67" i="11"/>
  <c r="E67" i="13"/>
  <c r="Q64" i="10"/>
  <c r="J67" i="10"/>
  <c r="Q76" i="10"/>
  <c r="M67" i="10"/>
  <c r="E113" i="10"/>
  <c r="E131" i="10" s="1"/>
  <c r="Q75" i="10"/>
  <c r="C13" i="30" l="1"/>
  <c r="C17" i="30" s="1"/>
  <c r="C11" i="28"/>
  <c r="C11" i="30"/>
  <c r="C11" i="26"/>
  <c r="D11" i="26" s="1"/>
  <c r="D13" i="26" s="1"/>
  <c r="E42" i="11"/>
  <c r="Q42" i="11" s="1"/>
  <c r="G113" i="11"/>
  <c r="G131" i="11" s="1"/>
  <c r="H38" i="11"/>
  <c r="T38" i="11" s="1"/>
  <c r="T38" i="10"/>
  <c r="H38" i="13"/>
  <c r="T38" i="13" s="1"/>
  <c r="H44" i="11"/>
  <c r="T44" i="11" s="1"/>
  <c r="H44" i="13"/>
  <c r="T44" i="13" s="1"/>
  <c r="H42" i="13"/>
  <c r="T42" i="13" s="1"/>
  <c r="T42" i="10"/>
  <c r="H37" i="11"/>
  <c r="T37" i="11" s="1"/>
  <c r="H37" i="13"/>
  <c r="T37" i="13" s="1"/>
  <c r="T43" i="10"/>
  <c r="H43" i="11"/>
  <c r="T43" i="11" s="1"/>
  <c r="T44" i="10"/>
  <c r="H41" i="13"/>
  <c r="T41" i="13" s="1"/>
  <c r="T41" i="10"/>
  <c r="H42" i="11"/>
  <c r="T42" i="11" s="1"/>
  <c r="H40" i="11"/>
  <c r="T40" i="11" s="1"/>
  <c r="H40" i="13"/>
  <c r="T40" i="13" s="1"/>
  <c r="T39" i="10"/>
  <c r="H39" i="13"/>
  <c r="T39" i="13" s="1"/>
  <c r="H36" i="13"/>
  <c r="T36" i="13" s="1"/>
  <c r="T36" i="10"/>
  <c r="H36" i="11"/>
  <c r="T36" i="11" s="1"/>
  <c r="T65" i="10"/>
  <c r="Q150" i="10" s="1"/>
  <c r="T37" i="10"/>
  <c r="T33" i="10"/>
  <c r="H33" i="11"/>
  <c r="T33" i="11" s="1"/>
  <c r="E38" i="11"/>
  <c r="Q38" i="11" s="1"/>
  <c r="R161" i="10"/>
  <c r="E111" i="14"/>
  <c r="E238" i="10" s="1"/>
  <c r="E43" i="11"/>
  <c r="Q43" i="11" s="1"/>
  <c r="E43" i="13"/>
  <c r="Q43" i="13" s="1"/>
  <c r="Q43" i="10"/>
  <c r="Q34" i="10"/>
  <c r="R166" i="10"/>
  <c r="E34" i="11"/>
  <c r="Q34" i="11" s="1"/>
  <c r="Q42" i="10"/>
  <c r="E40" i="11"/>
  <c r="Q40" i="11" s="1"/>
  <c r="E44" i="13"/>
  <c r="Q44" i="13" s="1"/>
  <c r="Q44" i="10"/>
  <c r="E44" i="11"/>
  <c r="Q44" i="11" s="1"/>
  <c r="E36" i="11"/>
  <c r="Q36" i="11" s="1"/>
  <c r="E36" i="13"/>
  <c r="Q36" i="13" s="1"/>
  <c r="Q36" i="10"/>
  <c r="Q40" i="10"/>
  <c r="E39" i="11"/>
  <c r="Q39" i="11" s="1"/>
  <c r="Q35" i="10"/>
  <c r="E35" i="13"/>
  <c r="Q35" i="13" s="1"/>
  <c r="Q38" i="10"/>
  <c r="Q39" i="10"/>
  <c r="Q33" i="10"/>
  <c r="E33" i="13"/>
  <c r="Q33" i="13" s="1"/>
  <c r="E33" i="11"/>
  <c r="Q33" i="11" s="1"/>
  <c r="E116" i="10"/>
  <c r="E134" i="10" s="1"/>
  <c r="H112" i="10"/>
  <c r="H130" i="10" s="1"/>
  <c r="I112" i="10"/>
  <c r="I130" i="10" s="1"/>
  <c r="G117" i="11"/>
  <c r="G135" i="11" s="1"/>
  <c r="G118" i="11"/>
  <c r="G136" i="11" s="1"/>
  <c r="G116" i="11"/>
  <c r="G134" i="11" s="1"/>
  <c r="G156" i="11" s="1"/>
  <c r="G112" i="13"/>
  <c r="G130" i="13" s="1"/>
  <c r="G151" i="13" s="1"/>
  <c r="G116" i="10"/>
  <c r="G134" i="10" s="1"/>
  <c r="G153" i="10" s="1"/>
  <c r="G118" i="13"/>
  <c r="G136" i="13" s="1"/>
  <c r="F116" i="10"/>
  <c r="F134" i="10" s="1"/>
  <c r="F153" i="10" s="1"/>
  <c r="G112" i="10"/>
  <c r="G130" i="10" s="1"/>
  <c r="G113" i="13"/>
  <c r="G131" i="13" s="1"/>
  <c r="E118" i="10"/>
  <c r="E136" i="10" s="1"/>
  <c r="E114" i="10"/>
  <c r="E132" i="10" s="1"/>
  <c r="H114" i="10"/>
  <c r="H132" i="10" s="1"/>
  <c r="G114" i="11"/>
  <c r="G132" i="11" s="1"/>
  <c r="I114" i="10"/>
  <c r="I132" i="10" s="1"/>
  <c r="G114" i="13"/>
  <c r="G132" i="13" s="1"/>
  <c r="U15" i="13"/>
  <c r="I118" i="13" s="1"/>
  <c r="I136" i="13" s="1"/>
  <c r="I117" i="13"/>
  <c r="I135" i="13" s="1"/>
  <c r="R20" i="11"/>
  <c r="F114" i="11" s="1"/>
  <c r="F132" i="11" s="1"/>
  <c r="F112" i="11"/>
  <c r="F113" i="11"/>
  <c r="F131" i="11" s="1"/>
  <c r="I118" i="10"/>
  <c r="I136" i="10" s="1"/>
  <c r="F114" i="10"/>
  <c r="F132" i="10" s="1"/>
  <c r="R20" i="13"/>
  <c r="F114" i="13" s="1"/>
  <c r="F132" i="13" s="1"/>
  <c r="F113" i="13"/>
  <c r="F131" i="13" s="1"/>
  <c r="U20" i="11"/>
  <c r="I114" i="11" s="1"/>
  <c r="I132" i="11" s="1"/>
  <c r="I113" i="11"/>
  <c r="I131" i="11" s="1"/>
  <c r="G112" i="11"/>
  <c r="G130" i="11" s="1"/>
  <c r="G152" i="11" s="1"/>
  <c r="U20" i="13"/>
  <c r="I114" i="13" s="1"/>
  <c r="I132" i="13" s="1"/>
  <c r="I113" i="13"/>
  <c r="I131" i="13" s="1"/>
  <c r="R15" i="13"/>
  <c r="F118" i="13" s="1"/>
  <c r="F136" i="13" s="1"/>
  <c r="F117" i="13"/>
  <c r="F135" i="13" s="1"/>
  <c r="G117" i="13"/>
  <c r="G135" i="13" s="1"/>
  <c r="G118" i="10"/>
  <c r="G136" i="10" s="1"/>
  <c r="G116" i="13"/>
  <c r="G134" i="13" s="1"/>
  <c r="G155" i="13" s="1"/>
  <c r="R15" i="11"/>
  <c r="F118" i="11" s="1"/>
  <c r="F136" i="11" s="1"/>
  <c r="F117" i="11"/>
  <c r="F135" i="11" s="1"/>
  <c r="G114" i="10"/>
  <c r="G132" i="10" s="1"/>
  <c r="F118" i="10"/>
  <c r="F136" i="10" s="1"/>
  <c r="I116" i="10"/>
  <c r="I134" i="10" s="1"/>
  <c r="I153" i="10" s="1"/>
  <c r="F112" i="10"/>
  <c r="U15" i="11"/>
  <c r="I118" i="11" s="1"/>
  <c r="I136" i="11" s="1"/>
  <c r="I117" i="11"/>
  <c r="I135" i="11" s="1"/>
  <c r="Q166" i="10"/>
  <c r="W166" i="10" s="1"/>
  <c r="D17" i="26"/>
  <c r="H117" i="10"/>
  <c r="H135" i="10" s="1"/>
  <c r="J135" i="10" s="1"/>
  <c r="J70" i="10"/>
  <c r="H118" i="10"/>
  <c r="H136" i="10" s="1"/>
  <c r="H70" i="11"/>
  <c r="T71" i="11" s="1"/>
  <c r="H116" i="10"/>
  <c r="H134" i="10" s="1"/>
  <c r="AC156" i="10" s="1"/>
  <c r="H72" i="10"/>
  <c r="T61" i="10"/>
  <c r="Q154" i="10" s="1"/>
  <c r="H70" i="13"/>
  <c r="T71" i="10"/>
  <c r="T72" i="10"/>
  <c r="J65" i="13"/>
  <c r="R179" i="10"/>
  <c r="T65" i="11"/>
  <c r="Q153" i="11" s="1"/>
  <c r="H174" i="10"/>
  <c r="F197" i="10" s="1"/>
  <c r="M65" i="11"/>
  <c r="J65" i="11"/>
  <c r="P176" i="10"/>
  <c r="P180" i="10" s="1"/>
  <c r="J166" i="13"/>
  <c r="H178" i="13" s="1"/>
  <c r="F203" i="13" s="1"/>
  <c r="G121" i="14"/>
  <c r="G122" i="14" s="1"/>
  <c r="J168" i="11"/>
  <c r="H179" i="11" s="1"/>
  <c r="G203" i="11" s="1"/>
  <c r="G251" i="11"/>
  <c r="G256" i="11" s="1"/>
  <c r="G257" i="11" s="1"/>
  <c r="J62" i="13"/>
  <c r="J62" i="11"/>
  <c r="M62" i="11"/>
  <c r="I97" i="13"/>
  <c r="H97" i="13"/>
  <c r="G243" i="10"/>
  <c r="G248" i="10" s="1"/>
  <c r="G249" i="10" s="1"/>
  <c r="G249" i="13"/>
  <c r="G254" i="13" s="1"/>
  <c r="G255" i="13" s="1"/>
  <c r="R188" i="10"/>
  <c r="U184" i="10"/>
  <c r="U188" i="10" s="1"/>
  <c r="H173" i="10"/>
  <c r="E195" i="10" s="1"/>
  <c r="E186" i="11"/>
  <c r="E187" i="11" s="1"/>
  <c r="F248" i="11"/>
  <c r="F120" i="14"/>
  <c r="F240" i="10"/>
  <c r="F246" i="13"/>
  <c r="F116" i="14"/>
  <c r="F249" i="11"/>
  <c r="F241" i="10"/>
  <c r="F247" i="13"/>
  <c r="E185" i="13"/>
  <c r="E186" i="13" s="1"/>
  <c r="T76" i="13"/>
  <c r="H112" i="13"/>
  <c r="H113" i="13"/>
  <c r="H131" i="13" s="1"/>
  <c r="H114" i="13"/>
  <c r="H132" i="13" s="1"/>
  <c r="H292" i="13"/>
  <c r="T75" i="13"/>
  <c r="T64" i="13"/>
  <c r="T77" i="10"/>
  <c r="T151" i="10" s="1"/>
  <c r="H112" i="11"/>
  <c r="T64" i="11"/>
  <c r="H114" i="11"/>
  <c r="H132" i="11" s="1"/>
  <c r="H294" i="11"/>
  <c r="T76" i="11"/>
  <c r="T75" i="11"/>
  <c r="H113" i="11"/>
  <c r="H131" i="11" s="1"/>
  <c r="T150" i="10"/>
  <c r="U76" i="10"/>
  <c r="H244" i="13"/>
  <c r="H238" i="10"/>
  <c r="H117" i="14"/>
  <c r="H112" i="14"/>
  <c r="H246" i="1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M68" i="13"/>
  <c r="J68" i="13"/>
  <c r="M71" i="11"/>
  <c r="J71" i="11"/>
  <c r="J63" i="13"/>
  <c r="M63" i="13"/>
  <c r="M72" i="10"/>
  <c r="Q61" i="10"/>
  <c r="Q82" i="10" s="1"/>
  <c r="Q161" i="10"/>
  <c r="Q65" i="10"/>
  <c r="Q86" i="10" s="1"/>
  <c r="Q87" i="10" s="1"/>
  <c r="M68" i="11"/>
  <c r="J68" i="11"/>
  <c r="M71" i="13"/>
  <c r="J71" i="13"/>
  <c r="J64" i="13"/>
  <c r="M64" i="13"/>
  <c r="J63" i="11"/>
  <c r="M63" i="11"/>
  <c r="R72" i="10"/>
  <c r="E153" i="10"/>
  <c r="AC169" i="10"/>
  <c r="R76" i="10"/>
  <c r="T161" i="10"/>
  <c r="R165" i="13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Q77" i="10"/>
  <c r="T162" i="10" s="1"/>
  <c r="J67" i="13"/>
  <c r="M67" i="13"/>
  <c r="E113" i="13"/>
  <c r="E131" i="13" s="1"/>
  <c r="Q64" i="13"/>
  <c r="E112" i="13"/>
  <c r="E292" i="13"/>
  <c r="Q76" i="13"/>
  <c r="Q75" i="13"/>
  <c r="E114" i="13"/>
  <c r="E132" i="13" s="1"/>
  <c r="R166" i="13"/>
  <c r="J64" i="11"/>
  <c r="M64" i="11"/>
  <c r="Q73" i="10"/>
  <c r="T167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E112" i="14" l="1"/>
  <c r="E244" i="13"/>
  <c r="E117" i="14"/>
  <c r="E250" i="13" s="1"/>
  <c r="E246" i="11"/>
  <c r="Q66" i="10"/>
  <c r="R166" i="11"/>
  <c r="T65" i="13"/>
  <c r="G159" i="13"/>
  <c r="G160" i="11"/>
  <c r="J70" i="11"/>
  <c r="T66" i="10"/>
  <c r="Q151" i="10" s="1"/>
  <c r="W151" i="10" s="1"/>
  <c r="H151" i="10" s="1"/>
  <c r="H213" i="10" s="1"/>
  <c r="W150" i="10"/>
  <c r="H150" i="10" s="1"/>
  <c r="U65" i="10"/>
  <c r="T86" i="10"/>
  <c r="T87" i="10" s="1"/>
  <c r="T61" i="13"/>
  <c r="Q157" i="13" s="1"/>
  <c r="H204" i="13" s="1"/>
  <c r="R171" i="13"/>
  <c r="R167" i="10"/>
  <c r="R168" i="10" s="1"/>
  <c r="R165" i="11"/>
  <c r="E204" i="11" s="1"/>
  <c r="Q162" i="10"/>
  <c r="R162" i="10"/>
  <c r="R163" i="10" s="1"/>
  <c r="R170" i="13"/>
  <c r="E204" i="13" s="1"/>
  <c r="R171" i="11"/>
  <c r="Q167" i="10"/>
  <c r="U166" i="10" s="1"/>
  <c r="X166" i="10" s="1"/>
  <c r="E154" i="10" s="1"/>
  <c r="Z166" i="10" s="1"/>
  <c r="Q62" i="10"/>
  <c r="R170" i="11"/>
  <c r="G219" i="11"/>
  <c r="G265" i="11" s="1"/>
  <c r="G11" i="14" s="1"/>
  <c r="F217" i="10"/>
  <c r="Q83" i="10"/>
  <c r="G138" i="11"/>
  <c r="G120" i="11"/>
  <c r="I112" i="11"/>
  <c r="I130" i="11" s="1"/>
  <c r="J136" i="10"/>
  <c r="G120" i="10"/>
  <c r="G120" i="13"/>
  <c r="I116" i="13"/>
  <c r="I134" i="13" s="1"/>
  <c r="I155" i="13" s="1"/>
  <c r="G138" i="13"/>
  <c r="F116" i="11"/>
  <c r="F134" i="11" s="1"/>
  <c r="F156" i="11" s="1"/>
  <c r="J132" i="10"/>
  <c r="I112" i="13"/>
  <c r="F130" i="10"/>
  <c r="J130" i="10" s="1"/>
  <c r="F120" i="10"/>
  <c r="F130" i="11"/>
  <c r="I120" i="10"/>
  <c r="I116" i="11"/>
  <c r="I134" i="11" s="1"/>
  <c r="I156" i="11" s="1"/>
  <c r="I149" i="10"/>
  <c r="I157" i="10" s="1"/>
  <c r="I138" i="10"/>
  <c r="F116" i="13"/>
  <c r="F134" i="13" s="1"/>
  <c r="F155" i="13" s="1"/>
  <c r="F223" i="13" s="1"/>
  <c r="F112" i="13"/>
  <c r="G149" i="10"/>
  <c r="G157" i="10" s="1"/>
  <c r="G138" i="10"/>
  <c r="C13" i="28"/>
  <c r="C17" i="28" s="1"/>
  <c r="D11" i="28"/>
  <c r="D13" i="28" s="1"/>
  <c r="D17" i="28" s="1"/>
  <c r="C13" i="26"/>
  <c r="H117" i="11"/>
  <c r="H135" i="11" s="1"/>
  <c r="J135" i="11" s="1"/>
  <c r="H153" i="10"/>
  <c r="J134" i="10"/>
  <c r="H72" i="11"/>
  <c r="H295" i="11" s="1"/>
  <c r="H118" i="13"/>
  <c r="H136" i="13" s="1"/>
  <c r="J136" i="13" s="1"/>
  <c r="H116" i="13"/>
  <c r="H134" i="13" s="1"/>
  <c r="AC159" i="13" s="1"/>
  <c r="H118" i="11"/>
  <c r="H136" i="11" s="1"/>
  <c r="J136" i="11" s="1"/>
  <c r="T72" i="11"/>
  <c r="U72" i="11" s="1"/>
  <c r="H117" i="13"/>
  <c r="H135" i="13" s="1"/>
  <c r="J135" i="13" s="1"/>
  <c r="T61" i="11"/>
  <c r="Q157" i="11" s="1"/>
  <c r="T60" i="11"/>
  <c r="T72" i="13"/>
  <c r="H116" i="11"/>
  <c r="H134" i="11" s="1"/>
  <c r="AC159" i="11" s="1"/>
  <c r="U61" i="10"/>
  <c r="J72" i="10"/>
  <c r="H120" i="10"/>
  <c r="T62" i="10"/>
  <c r="Q155" i="10" s="1"/>
  <c r="S176" i="10"/>
  <c r="S180" i="10" s="1"/>
  <c r="J70" i="13"/>
  <c r="U72" i="10"/>
  <c r="H72" i="13"/>
  <c r="H293" i="13" s="1"/>
  <c r="T60" i="13"/>
  <c r="T82" i="10"/>
  <c r="T83" i="10" s="1"/>
  <c r="T71" i="13"/>
  <c r="T154" i="10"/>
  <c r="W154" i="10" s="1"/>
  <c r="H154" i="10" s="1"/>
  <c r="Z154" i="10" s="1"/>
  <c r="T73" i="10"/>
  <c r="T155" i="10" s="1"/>
  <c r="T66" i="11"/>
  <c r="Q154" i="11" s="1"/>
  <c r="H177" i="13"/>
  <c r="G201" i="13" s="1"/>
  <c r="G217" i="13" s="1"/>
  <c r="G263" i="13" s="1"/>
  <c r="G32" i="14" s="1"/>
  <c r="E197" i="10"/>
  <c r="E217" i="10" s="1"/>
  <c r="E263" i="10" s="1"/>
  <c r="G197" i="10"/>
  <c r="G217" i="10" s="1"/>
  <c r="G263" i="10" s="1"/>
  <c r="G269" i="10" s="1"/>
  <c r="I197" i="10"/>
  <c r="I217" i="10" s="1"/>
  <c r="E198" i="10"/>
  <c r="H198" i="10"/>
  <c r="G203" i="13"/>
  <c r="G223" i="13" s="1"/>
  <c r="G269" i="13" s="1"/>
  <c r="G38" i="14" s="1"/>
  <c r="P179" i="10"/>
  <c r="E247" i="11"/>
  <c r="E255" i="11" s="1"/>
  <c r="I203" i="13"/>
  <c r="J292" i="13"/>
  <c r="F297" i="13" s="1"/>
  <c r="I203" i="11"/>
  <c r="F203" i="11"/>
  <c r="H204" i="11"/>
  <c r="E203" i="11"/>
  <c r="H180" i="11"/>
  <c r="I205" i="11" s="1"/>
  <c r="H196" i="10"/>
  <c r="H212" i="10" s="1"/>
  <c r="F195" i="10"/>
  <c r="H175" i="10"/>
  <c r="E196" i="10"/>
  <c r="G195" i="10"/>
  <c r="I195" i="10"/>
  <c r="Q77" i="11"/>
  <c r="T166" i="11" s="1"/>
  <c r="H120" i="14"/>
  <c r="E239" i="10"/>
  <c r="E247" i="10" s="1"/>
  <c r="Q166" i="11"/>
  <c r="Q171" i="13"/>
  <c r="E120" i="14"/>
  <c r="E245" i="13"/>
  <c r="E253" i="13" s="1"/>
  <c r="T77" i="11"/>
  <c r="T154" i="11" s="1"/>
  <c r="F255" i="11"/>
  <c r="F247" i="10"/>
  <c r="F121" i="14"/>
  <c r="F122" i="14" s="1"/>
  <c r="F251" i="11"/>
  <c r="F243" i="10"/>
  <c r="F248" i="10" s="1"/>
  <c r="F249" i="13"/>
  <c r="F254" i="13" s="1"/>
  <c r="F253" i="13"/>
  <c r="Q166" i="13"/>
  <c r="J294" i="11"/>
  <c r="F299" i="11" s="1"/>
  <c r="Z150" i="10"/>
  <c r="H245" i="13"/>
  <c r="H253" i="13" s="1"/>
  <c r="H239" i="10"/>
  <c r="H247" i="10" s="1"/>
  <c r="H247" i="11"/>
  <c r="H255" i="11" s="1"/>
  <c r="U65" i="11"/>
  <c r="U76" i="11"/>
  <c r="T86" i="11"/>
  <c r="T87" i="11" s="1"/>
  <c r="T153" i="11"/>
  <c r="W153" i="11" s="1"/>
  <c r="H153" i="11" s="1"/>
  <c r="H130" i="11"/>
  <c r="T77" i="13"/>
  <c r="T154" i="13" s="1"/>
  <c r="H130" i="13"/>
  <c r="H252" i="11"/>
  <c r="H250" i="13"/>
  <c r="H244" i="10"/>
  <c r="U65" i="13"/>
  <c r="Q153" i="13"/>
  <c r="U76" i="13"/>
  <c r="T86" i="13"/>
  <c r="T87" i="13" s="1"/>
  <c r="T153" i="13"/>
  <c r="T66" i="13"/>
  <c r="Q154" i="13" s="1"/>
  <c r="H118" i="14"/>
  <c r="H138" i="10"/>
  <c r="AC152" i="10"/>
  <c r="H149" i="10"/>
  <c r="Q77" i="13"/>
  <c r="T166" i="13" s="1"/>
  <c r="Q66" i="13"/>
  <c r="T170" i="11"/>
  <c r="R72" i="11"/>
  <c r="M72" i="11"/>
  <c r="Q170" i="11"/>
  <c r="Q61" i="11"/>
  <c r="Q82" i="11" s="1"/>
  <c r="Q83" i="11" s="1"/>
  <c r="Q171" i="11"/>
  <c r="AC173" i="13"/>
  <c r="E155" i="13"/>
  <c r="Z168" i="10"/>
  <c r="Q164" i="10"/>
  <c r="J131" i="11"/>
  <c r="E149" i="10"/>
  <c r="E138" i="10"/>
  <c r="AC164" i="10"/>
  <c r="AC171" i="10" s="1"/>
  <c r="Q73" i="11"/>
  <c r="T171" i="11" s="1"/>
  <c r="Q62" i="11"/>
  <c r="T165" i="13"/>
  <c r="R76" i="13"/>
  <c r="J131" i="13"/>
  <c r="U162" i="10"/>
  <c r="X162" i="10" s="1"/>
  <c r="W162" i="10"/>
  <c r="M72" i="13"/>
  <c r="Q61" i="13"/>
  <c r="Q82" i="13" s="1"/>
  <c r="Q83" i="13" s="1"/>
  <c r="Q170" i="13"/>
  <c r="E130" i="11"/>
  <c r="E120" i="11"/>
  <c r="AC173" i="11"/>
  <c r="E156" i="11"/>
  <c r="E295" i="11"/>
  <c r="J72" i="11"/>
  <c r="E293" i="13"/>
  <c r="E203" i="13"/>
  <c r="Q66" i="11"/>
  <c r="U161" i="10"/>
  <c r="X161" i="10" s="1"/>
  <c r="E150" i="10" s="1"/>
  <c r="W161" i="10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E118" i="14" l="1"/>
  <c r="E244" i="10"/>
  <c r="E252" i="11"/>
  <c r="U167" i="10"/>
  <c r="X167" i="10" s="1"/>
  <c r="E155" i="10" s="1"/>
  <c r="T62" i="13"/>
  <c r="Q158" i="13" s="1"/>
  <c r="T82" i="13"/>
  <c r="G276" i="11"/>
  <c r="E151" i="10"/>
  <c r="Q169" i="10"/>
  <c r="W167" i="10"/>
  <c r="I120" i="13"/>
  <c r="I223" i="13"/>
  <c r="G211" i="10"/>
  <c r="G257" i="10" s="1"/>
  <c r="G268" i="10" s="1"/>
  <c r="G270" i="10" s="1"/>
  <c r="G273" i="10" s="1"/>
  <c r="F120" i="11"/>
  <c r="I130" i="13"/>
  <c r="I151" i="13" s="1"/>
  <c r="I159" i="13" s="1"/>
  <c r="T157" i="13"/>
  <c r="W157" i="13" s="1"/>
  <c r="H156" i="13" s="1"/>
  <c r="H224" i="13" s="1"/>
  <c r="H270" i="13" s="1"/>
  <c r="H39" i="14" s="1"/>
  <c r="I225" i="11"/>
  <c r="I120" i="11"/>
  <c r="I152" i="11"/>
  <c r="I160" i="11" s="1"/>
  <c r="I138" i="11"/>
  <c r="F152" i="11"/>
  <c r="F160" i="11" s="1"/>
  <c r="F138" i="11"/>
  <c r="F130" i="13"/>
  <c r="F120" i="13"/>
  <c r="I211" i="10"/>
  <c r="I257" i="10" s="1"/>
  <c r="I268" i="10" s="1"/>
  <c r="C122" i="10"/>
  <c r="F149" i="10"/>
  <c r="F157" i="10" s="1"/>
  <c r="F138" i="10"/>
  <c r="U176" i="10"/>
  <c r="U180" i="10" s="1"/>
  <c r="S179" i="10"/>
  <c r="T82" i="11"/>
  <c r="T83" i="11" s="1"/>
  <c r="T62" i="11"/>
  <c r="Q158" i="11" s="1"/>
  <c r="H155" i="13"/>
  <c r="J134" i="13"/>
  <c r="T157" i="11"/>
  <c r="W157" i="11" s="1"/>
  <c r="H157" i="11" s="1"/>
  <c r="U61" i="13"/>
  <c r="T73" i="13"/>
  <c r="T158" i="13" s="1"/>
  <c r="W158" i="13" s="1"/>
  <c r="H157" i="13" s="1"/>
  <c r="H225" i="13" s="1"/>
  <c r="U61" i="11"/>
  <c r="T73" i="11"/>
  <c r="T158" i="11" s="1"/>
  <c r="J134" i="11"/>
  <c r="H120" i="11"/>
  <c r="H156" i="11"/>
  <c r="T83" i="13"/>
  <c r="W155" i="10"/>
  <c r="H155" i="10" s="1"/>
  <c r="H219" i="10" s="1"/>
  <c r="H218" i="10"/>
  <c r="H264" i="10" s="1"/>
  <c r="G22" i="14"/>
  <c r="U72" i="13"/>
  <c r="H120" i="13"/>
  <c r="J72" i="13"/>
  <c r="W154" i="11"/>
  <c r="H154" i="11" s="1"/>
  <c r="F201" i="13"/>
  <c r="H202" i="13"/>
  <c r="E202" i="13"/>
  <c r="E201" i="13"/>
  <c r="G274" i="13"/>
  <c r="I201" i="13"/>
  <c r="H179" i="13"/>
  <c r="G70" i="14"/>
  <c r="G76" i="14" s="1"/>
  <c r="E194" i="10"/>
  <c r="G205" i="11"/>
  <c r="G225" i="11" s="1"/>
  <c r="G271" i="11" s="1"/>
  <c r="G17" i="14" s="1"/>
  <c r="F205" i="11"/>
  <c r="F225" i="11" s="1"/>
  <c r="F271" i="11" s="1"/>
  <c r="F17" i="14" s="1"/>
  <c r="E205" i="11"/>
  <c r="E225" i="11" s="1"/>
  <c r="E271" i="11" s="1"/>
  <c r="E17" i="14" s="1"/>
  <c r="H181" i="11"/>
  <c r="E206" i="11"/>
  <c r="H206" i="11"/>
  <c r="H194" i="10"/>
  <c r="F194" i="10"/>
  <c r="Z151" i="10"/>
  <c r="Z152" i="10" s="1"/>
  <c r="I194" i="10"/>
  <c r="I221" i="10" s="1"/>
  <c r="G194" i="10"/>
  <c r="G221" i="10" s="1"/>
  <c r="G275" i="13"/>
  <c r="J120" i="14"/>
  <c r="W166" i="11"/>
  <c r="U166" i="11"/>
  <c r="X166" i="11" s="1"/>
  <c r="E154" i="11" s="1"/>
  <c r="E221" i="11" s="1"/>
  <c r="E267" i="11" s="1"/>
  <c r="E13" i="14" s="1"/>
  <c r="W166" i="13"/>
  <c r="J293" i="13"/>
  <c r="F298" i="13" s="1"/>
  <c r="F249" i="10"/>
  <c r="E253" i="11"/>
  <c r="F255" i="13"/>
  <c r="F263" i="10"/>
  <c r="F269" i="10" s="1"/>
  <c r="F269" i="13"/>
  <c r="F38" i="14" s="1"/>
  <c r="F256" i="11"/>
  <c r="F257" i="11" s="1"/>
  <c r="W154" i="13"/>
  <c r="H153" i="13" s="1"/>
  <c r="Z154" i="13" s="1"/>
  <c r="J295" i="11"/>
  <c r="F300" i="11" s="1"/>
  <c r="H259" i="10"/>
  <c r="H66" i="14" s="1"/>
  <c r="W153" i="13"/>
  <c r="H152" i="13" s="1"/>
  <c r="J253" i="13"/>
  <c r="J255" i="11"/>
  <c r="H251" i="13"/>
  <c r="H254" i="13" s="1"/>
  <c r="H245" i="10"/>
  <c r="H253" i="11"/>
  <c r="H256" i="11" s="1"/>
  <c r="H138" i="11"/>
  <c r="AC155" i="11"/>
  <c r="H152" i="11"/>
  <c r="H258" i="10"/>
  <c r="H121" i="14"/>
  <c r="AC155" i="13"/>
  <c r="H138" i="13"/>
  <c r="H151" i="13"/>
  <c r="Z153" i="11"/>
  <c r="H220" i="11"/>
  <c r="J247" i="10"/>
  <c r="N247" i="10" s="1"/>
  <c r="H157" i="10"/>
  <c r="Z161" i="10"/>
  <c r="E212" i="10"/>
  <c r="E258" i="10" s="1"/>
  <c r="E65" i="14" s="1"/>
  <c r="E213" i="10"/>
  <c r="E259" i="10" s="1"/>
  <c r="E66" i="14" s="1"/>
  <c r="Z162" i="10"/>
  <c r="Z172" i="11"/>
  <c r="U170" i="13"/>
  <c r="X170" i="13" s="1"/>
  <c r="E156" i="13" s="1"/>
  <c r="W170" i="13"/>
  <c r="E219" i="10"/>
  <c r="Z167" i="10"/>
  <c r="AC168" i="11"/>
  <c r="AC175" i="11" s="1"/>
  <c r="E138" i="11"/>
  <c r="E152" i="11"/>
  <c r="J130" i="11"/>
  <c r="U165" i="13"/>
  <c r="X165" i="13" s="1"/>
  <c r="E152" i="13" s="1"/>
  <c r="W165" i="13"/>
  <c r="E138" i="13"/>
  <c r="E151" i="13"/>
  <c r="AC168" i="13"/>
  <c r="AC175" i="13" s="1"/>
  <c r="E211" i="10"/>
  <c r="E257" i="10" s="1"/>
  <c r="Z163" i="10"/>
  <c r="E157" i="10"/>
  <c r="W165" i="11"/>
  <c r="U165" i="11"/>
  <c r="X165" i="11" s="1"/>
  <c r="E153" i="11" s="1"/>
  <c r="W171" i="13"/>
  <c r="U171" i="13"/>
  <c r="X171" i="13" s="1"/>
  <c r="E157" i="13" s="1"/>
  <c r="E218" i="10"/>
  <c r="E264" i="10" s="1"/>
  <c r="E71" i="14" s="1"/>
  <c r="W171" i="11"/>
  <c r="U171" i="11"/>
  <c r="X171" i="11" s="1"/>
  <c r="E158" i="11" s="1"/>
  <c r="Z172" i="13"/>
  <c r="E223" i="13"/>
  <c r="E269" i="13" s="1"/>
  <c r="E38" i="14" s="1"/>
  <c r="U166" i="13"/>
  <c r="X166" i="13" s="1"/>
  <c r="E153" i="13" s="1"/>
  <c r="W170" i="11"/>
  <c r="U170" i="11"/>
  <c r="X170" i="11" s="1"/>
  <c r="E157" i="11" s="1"/>
  <c r="E70" i="14"/>
  <c r="E256" i="11" l="1"/>
  <c r="E257" i="11" s="1"/>
  <c r="E121" i="14"/>
  <c r="E122" i="14" s="1"/>
  <c r="E245" i="10"/>
  <c r="E248" i="10" s="1"/>
  <c r="E249" i="10" s="1"/>
  <c r="E251" i="13"/>
  <c r="E254" i="13" s="1"/>
  <c r="E255" i="13" s="1"/>
  <c r="C47" i="26"/>
  <c r="C45" i="28"/>
  <c r="C45" i="30"/>
  <c r="C122" i="13"/>
  <c r="I138" i="13"/>
  <c r="J138" i="10"/>
  <c r="G64" i="14"/>
  <c r="G75" i="14" s="1"/>
  <c r="G77" i="14" s="1"/>
  <c r="F221" i="10"/>
  <c r="C122" i="11"/>
  <c r="C140" i="10"/>
  <c r="C158" i="10" s="1"/>
  <c r="I217" i="13"/>
  <c r="I263" i="13" s="1"/>
  <c r="I32" i="14" s="1"/>
  <c r="I219" i="11"/>
  <c r="I265" i="11" s="1"/>
  <c r="I11" i="14" s="1"/>
  <c r="I22" i="14" s="1"/>
  <c r="I64" i="14"/>
  <c r="I75" i="14" s="1"/>
  <c r="F219" i="11"/>
  <c r="F222" i="11" s="1"/>
  <c r="F151" i="13"/>
  <c r="F159" i="13" s="1"/>
  <c r="F138" i="13"/>
  <c r="J130" i="13"/>
  <c r="F211" i="10"/>
  <c r="F214" i="10" s="1"/>
  <c r="Z157" i="13"/>
  <c r="W158" i="11"/>
  <c r="H158" i="11" s="1"/>
  <c r="Z158" i="11" s="1"/>
  <c r="U179" i="10"/>
  <c r="H221" i="10"/>
  <c r="G44" i="14"/>
  <c r="G43" i="14"/>
  <c r="H265" i="10"/>
  <c r="H72" i="14" s="1"/>
  <c r="Z155" i="10"/>
  <c r="Z156" i="10" s="1"/>
  <c r="G202" i="11"/>
  <c r="G229" i="11" s="1"/>
  <c r="I200" i="13"/>
  <c r="I227" i="13" s="1"/>
  <c r="Z154" i="11"/>
  <c r="Z155" i="11" s="1"/>
  <c r="H221" i="11"/>
  <c r="H267" i="11" s="1"/>
  <c r="H13" i="14" s="1"/>
  <c r="G276" i="13"/>
  <c r="G280" i="13" s="1"/>
  <c r="H200" i="13"/>
  <c r="H218" i="13"/>
  <c r="H264" i="13" s="1"/>
  <c r="H33" i="14" s="1"/>
  <c r="E200" i="13"/>
  <c r="G200" i="13"/>
  <c r="G227" i="13" s="1"/>
  <c r="F200" i="13"/>
  <c r="G277" i="11"/>
  <c r="G278" i="11" s="1"/>
  <c r="G282" i="11" s="1"/>
  <c r="Z166" i="11"/>
  <c r="I202" i="11"/>
  <c r="I229" i="11" s="1"/>
  <c r="E202" i="11"/>
  <c r="H202" i="11"/>
  <c r="F202" i="11"/>
  <c r="F229" i="11" s="1"/>
  <c r="Z157" i="11"/>
  <c r="E265" i="10"/>
  <c r="E72" i="14" s="1"/>
  <c r="E76" i="14" s="1"/>
  <c r="Z158" i="13"/>
  <c r="H226" i="11"/>
  <c r="H272" i="11" s="1"/>
  <c r="H18" i="14" s="1"/>
  <c r="F70" i="14"/>
  <c r="F76" i="14" s="1"/>
  <c r="Z169" i="10"/>
  <c r="F275" i="13"/>
  <c r="H219" i="13"/>
  <c r="H265" i="13" s="1"/>
  <c r="H34" i="14" s="1"/>
  <c r="Z153" i="13"/>
  <c r="Z155" i="13" s="1"/>
  <c r="F277" i="11"/>
  <c r="G274" i="10"/>
  <c r="H257" i="11"/>
  <c r="H255" i="13"/>
  <c r="M200" i="13" s="1"/>
  <c r="H266" i="11"/>
  <c r="H12" i="14" s="1"/>
  <c r="M247" i="10"/>
  <c r="H248" i="10"/>
  <c r="H122" i="14"/>
  <c r="H160" i="11"/>
  <c r="H71" i="14"/>
  <c r="H268" i="10"/>
  <c r="H65" i="14"/>
  <c r="H75" i="14" s="1"/>
  <c r="H159" i="13"/>
  <c r="H271" i="13"/>
  <c r="H40" i="14" s="1"/>
  <c r="E226" i="11"/>
  <c r="E272" i="11" s="1"/>
  <c r="E18" i="14" s="1"/>
  <c r="Z170" i="11"/>
  <c r="E227" i="11"/>
  <c r="E273" i="11" s="1"/>
  <c r="E19" i="14" s="1"/>
  <c r="Z171" i="11"/>
  <c r="E218" i="13"/>
  <c r="E264" i="13" s="1"/>
  <c r="E33" i="14" s="1"/>
  <c r="Z165" i="13"/>
  <c r="Z170" i="13"/>
  <c r="E224" i="13"/>
  <c r="E270" i="13" s="1"/>
  <c r="E39" i="14" s="1"/>
  <c r="E219" i="13"/>
  <c r="E265" i="13" s="1"/>
  <c r="E34" i="14" s="1"/>
  <c r="Z166" i="13"/>
  <c r="E221" i="10"/>
  <c r="C140" i="11"/>
  <c r="C161" i="11" s="1"/>
  <c r="J138" i="11"/>
  <c r="Z164" i="10"/>
  <c r="E268" i="10"/>
  <c r="E64" i="14"/>
  <c r="E75" i="14" s="1"/>
  <c r="E217" i="13"/>
  <c r="E263" i="13" s="1"/>
  <c r="E32" i="14" s="1"/>
  <c r="E159" i="13"/>
  <c r="Z167" i="13"/>
  <c r="E225" i="13"/>
  <c r="E271" i="13" s="1"/>
  <c r="E40" i="14" s="1"/>
  <c r="Z171" i="13"/>
  <c r="Z167" i="11"/>
  <c r="E160" i="11"/>
  <c r="E219" i="11"/>
  <c r="E265" i="11" s="1"/>
  <c r="E11" i="14" s="1"/>
  <c r="E220" i="11"/>
  <c r="E266" i="11" s="1"/>
  <c r="E12" i="14" s="1"/>
  <c r="Z165" i="11"/>
  <c r="J138" i="13" l="1"/>
  <c r="C140" i="13"/>
  <c r="C160" i="13" s="1"/>
  <c r="I274" i="13"/>
  <c r="F227" i="13"/>
  <c r="I276" i="11"/>
  <c r="F204" i="10"/>
  <c r="F215" i="10"/>
  <c r="F261" i="10" s="1"/>
  <c r="F68" i="14" s="1"/>
  <c r="F260" i="10"/>
  <c r="Z159" i="13"/>
  <c r="F223" i="11"/>
  <c r="F269" i="11" s="1"/>
  <c r="F15" i="14" s="1"/>
  <c r="F268" i="11"/>
  <c r="F217" i="13"/>
  <c r="F220" i="13" s="1"/>
  <c r="D45" i="30"/>
  <c r="Z159" i="11"/>
  <c r="D45" i="28"/>
  <c r="E45" i="28" s="1"/>
  <c r="H227" i="11"/>
  <c r="H273" i="11" s="1"/>
  <c r="H19" i="14" s="1"/>
  <c r="C287" i="10"/>
  <c r="H269" i="10"/>
  <c r="H270" i="10" s="1"/>
  <c r="H273" i="10" s="1"/>
  <c r="G45" i="14"/>
  <c r="G85" i="14"/>
  <c r="F44" i="14"/>
  <c r="F23" i="14"/>
  <c r="G23" i="14"/>
  <c r="G24" i="14" s="1"/>
  <c r="I43" i="14"/>
  <c r="H76" i="14"/>
  <c r="H77" i="14" s="1"/>
  <c r="G279" i="13"/>
  <c r="G281" i="11"/>
  <c r="E269" i="10"/>
  <c r="E270" i="10" s="1"/>
  <c r="H229" i="11"/>
  <c r="H227" i="13"/>
  <c r="Z168" i="11"/>
  <c r="H275" i="13"/>
  <c r="H276" i="11"/>
  <c r="H274" i="13"/>
  <c r="H249" i="10"/>
  <c r="E275" i="13"/>
  <c r="Z168" i="13"/>
  <c r="Z173" i="11"/>
  <c r="E91" i="14"/>
  <c r="E229" i="11"/>
  <c r="E77" i="14"/>
  <c r="E277" i="11"/>
  <c r="Z173" i="13"/>
  <c r="E227" i="13"/>
  <c r="E276" i="11"/>
  <c r="E274" i="13"/>
  <c r="G96" i="14" l="1"/>
  <c r="F14" i="14"/>
  <c r="F276" i="11"/>
  <c r="F278" i="11" s="1"/>
  <c r="F281" i="11" s="1"/>
  <c r="F67" i="14"/>
  <c r="F75" i="14" s="1"/>
  <c r="F268" i="10"/>
  <c r="F221" i="13"/>
  <c r="F267" i="13" s="1"/>
  <c r="F36" i="14" s="1"/>
  <c r="F89" i="14" s="1"/>
  <c r="F266" i="13"/>
  <c r="E45" i="30"/>
  <c r="F45" i="30" s="1"/>
  <c r="F22" i="14"/>
  <c r="F24" i="14" s="1"/>
  <c r="E47" i="26"/>
  <c r="D47" i="26"/>
  <c r="E87" i="14"/>
  <c r="H277" i="11"/>
  <c r="H278" i="11" s="1"/>
  <c r="H281" i="11" s="1"/>
  <c r="N288" i="10"/>
  <c r="D288" i="10"/>
  <c r="G204" i="10" s="1"/>
  <c r="I85" i="14"/>
  <c r="F91" i="14"/>
  <c r="G91" i="14"/>
  <c r="H86" i="14"/>
  <c r="H44" i="14"/>
  <c r="H87" i="14"/>
  <c r="F45" i="28"/>
  <c r="H23" i="14"/>
  <c r="H92" i="14"/>
  <c r="E23" i="14"/>
  <c r="E92" i="14"/>
  <c r="E93" i="14"/>
  <c r="E44" i="14"/>
  <c r="E86" i="14"/>
  <c r="E43" i="14"/>
  <c r="E139" i="14"/>
  <c r="F282" i="11"/>
  <c r="H22" i="14"/>
  <c r="H274" i="10"/>
  <c r="H276" i="13"/>
  <c r="H280" i="13" s="1"/>
  <c r="E276" i="13"/>
  <c r="E274" i="10"/>
  <c r="E85" i="14"/>
  <c r="E273" i="10"/>
  <c r="J276" i="11"/>
  <c r="E278" i="11"/>
  <c r="H135" i="14" l="1"/>
  <c r="O170" i="14"/>
  <c r="F35" i="14"/>
  <c r="F43" i="14" s="1"/>
  <c r="F45" i="14" s="1"/>
  <c r="F274" i="13"/>
  <c r="F270" i="10"/>
  <c r="J268" i="10"/>
  <c r="F77" i="14"/>
  <c r="J75" i="14"/>
  <c r="E22" i="14"/>
  <c r="J22" i="14" s="1"/>
  <c r="H93" i="14"/>
  <c r="I96" i="14"/>
  <c r="F97" i="14"/>
  <c r="I133" i="14"/>
  <c r="G97" i="14"/>
  <c r="G98" i="14" s="1"/>
  <c r="H43" i="14"/>
  <c r="H45" i="14" s="1"/>
  <c r="F47" i="26"/>
  <c r="H140" i="14"/>
  <c r="H24" i="14"/>
  <c r="E45" i="14"/>
  <c r="E97" i="14"/>
  <c r="E133" i="14"/>
  <c r="H282" i="11"/>
  <c r="H279" i="13"/>
  <c r="H134" i="14"/>
  <c r="H96" i="14"/>
  <c r="E280" i="13"/>
  <c r="C306" i="11"/>
  <c r="E96" i="14"/>
  <c r="E282" i="11"/>
  <c r="E279" i="13"/>
  <c r="E281" i="11"/>
  <c r="F88" i="14" l="1"/>
  <c r="F273" i="10"/>
  <c r="F274" i="10"/>
  <c r="F276" i="13"/>
  <c r="J274" i="13"/>
  <c r="C304" i="13" s="1"/>
  <c r="N294" i="10"/>
  <c r="T295" i="10" s="1"/>
  <c r="C294" i="10"/>
  <c r="I294" i="10" s="1"/>
  <c r="E24" i="14"/>
  <c r="H141" i="14"/>
  <c r="H97" i="14"/>
  <c r="H98" i="14" s="1"/>
  <c r="J43" i="14"/>
  <c r="E98" i="14"/>
  <c r="O169" i="14" l="1"/>
  <c r="F96" i="14"/>
  <c r="F98" i="14" s="1"/>
  <c r="O168" i="14"/>
  <c r="F279" i="13"/>
  <c r="F280" i="13"/>
  <c r="H143" i="14"/>
  <c r="F171" i="14" l="1"/>
  <c r="J96" i="14"/>
  <c r="F172" i="14"/>
  <c r="I251" i="11"/>
  <c r="I256" i="11" s="1"/>
  <c r="I249" i="13" l="1"/>
  <c r="I243" i="10"/>
  <c r="I263" i="10" s="1"/>
  <c r="I121" i="14"/>
  <c r="I122" i="14" s="1"/>
  <c r="J122" i="14" s="1"/>
  <c r="I257" i="11"/>
  <c r="J257" i="11" s="1"/>
  <c r="J256" i="11"/>
  <c r="I271" i="11"/>
  <c r="I17" i="14" s="1"/>
  <c r="I248" i="10" l="1"/>
  <c r="I249" i="10" s="1"/>
  <c r="J249" i="10" s="1"/>
  <c r="J121" i="14"/>
  <c r="I254" i="13"/>
  <c r="I269" i="13"/>
  <c r="I38" i="14" s="1"/>
  <c r="I269" i="10"/>
  <c r="I70" i="14"/>
  <c r="I76" i="14" s="1"/>
  <c r="I277" i="11"/>
  <c r="I23" i="14" l="1"/>
  <c r="I24" i="14" s="1"/>
  <c r="J24" i="14" s="1"/>
  <c r="J248" i="10"/>
  <c r="M248" i="10" s="1"/>
  <c r="M249" i="10" s="1"/>
  <c r="J254" i="13"/>
  <c r="I255" i="13"/>
  <c r="J255" i="13" s="1"/>
  <c r="I275" i="13"/>
  <c r="J277" i="11"/>
  <c r="I278" i="11"/>
  <c r="I282" i="11" s="1"/>
  <c r="J76" i="14"/>
  <c r="I77" i="14"/>
  <c r="J77" i="14" s="1"/>
  <c r="J269" i="10"/>
  <c r="I270" i="10"/>
  <c r="I44" i="14" l="1"/>
  <c r="J44" i="14" s="1"/>
  <c r="G133" i="14"/>
  <c r="G139" i="14"/>
  <c r="G143" i="14"/>
  <c r="E135" i="14"/>
  <c r="E140" i="14"/>
  <c r="E141" i="14"/>
  <c r="E143" i="14"/>
  <c r="F137" i="14"/>
  <c r="F139" i="14"/>
  <c r="F136" i="14"/>
  <c r="F143" i="14"/>
  <c r="N248" i="10"/>
  <c r="J23" i="14"/>
  <c r="J275" i="13"/>
  <c r="I276" i="13"/>
  <c r="C307" i="11"/>
  <c r="I273" i="10"/>
  <c r="J270" i="10"/>
  <c r="J273" i="10" s="1"/>
  <c r="N295" i="10"/>
  <c r="T296" i="10" s="1"/>
  <c r="C295" i="10"/>
  <c r="I295" i="10" s="1"/>
  <c r="I274" i="10"/>
  <c r="J278" i="11"/>
  <c r="I281" i="11"/>
  <c r="C46" i="30" l="1"/>
  <c r="C48" i="26"/>
  <c r="C46" i="28"/>
  <c r="I45" i="14"/>
  <c r="J45" i="14" s="1"/>
  <c r="I91" i="14"/>
  <c r="J282" i="11"/>
  <c r="N249" i="10"/>
  <c r="I299" i="10"/>
  <c r="I298" i="10"/>
  <c r="C305" i="13"/>
  <c r="I280" i="13"/>
  <c r="J276" i="13"/>
  <c r="I279" i="13"/>
  <c r="J281" i="11"/>
  <c r="C291" i="11"/>
  <c r="J181" i="11" s="1"/>
  <c r="J274" i="10"/>
  <c r="I139" i="14" l="1"/>
  <c r="D46" i="30"/>
  <c r="D46" i="28"/>
  <c r="E46" i="28" s="1"/>
  <c r="I97" i="14"/>
  <c r="J97" i="14" s="1"/>
  <c r="M201" i="13"/>
  <c r="E51" i="26"/>
  <c r="C289" i="13"/>
  <c r="J179" i="13" s="1"/>
  <c r="J279" i="13"/>
  <c r="J280" i="13"/>
  <c r="E46" i="30" l="1"/>
  <c r="F46" i="30" s="1"/>
  <c r="C18" i="30" s="1"/>
  <c r="C19" i="30" s="1"/>
  <c r="C20" i="30" s="1"/>
  <c r="C34" i="30" s="1"/>
  <c r="E48" i="26"/>
  <c r="D48" i="26"/>
  <c r="I98" i="14"/>
  <c r="J98" i="14" l="1"/>
  <c r="C153" i="14" s="1"/>
  <c r="C35" i="30"/>
  <c r="D33" i="30" s="1"/>
  <c r="C49" i="30"/>
  <c r="C50" i="30"/>
  <c r="I143" i="14"/>
  <c r="E52" i="26"/>
  <c r="D154" i="14"/>
  <c r="D155" i="14"/>
  <c r="D35" i="30" l="1"/>
  <c r="E33" i="30"/>
  <c r="D49" i="30"/>
  <c r="D50" i="30"/>
  <c r="C51" i="30"/>
  <c r="F46" i="28"/>
  <c r="C18" i="28" s="1"/>
  <c r="F48" i="26"/>
  <c r="C18" i="26" s="1"/>
  <c r="F166" i="14"/>
  <c r="G174" i="14"/>
  <c r="G166" i="14"/>
  <c r="I178" i="14"/>
  <c r="E178" i="14"/>
  <c r="F178" i="14"/>
  <c r="E168" i="14"/>
  <c r="I166" i="14"/>
  <c r="H175" i="14"/>
  <c r="F174" i="14"/>
  <c r="E167" i="14"/>
  <c r="H176" i="14"/>
  <c r="H168" i="14"/>
  <c r="E176" i="14"/>
  <c r="G178" i="14"/>
  <c r="I174" i="14"/>
  <c r="H178" i="14"/>
  <c r="E166" i="14"/>
  <c r="E174" i="14"/>
  <c r="H167" i="14"/>
  <c r="E175" i="14"/>
  <c r="D51" i="30" l="1"/>
  <c r="E35" i="30"/>
  <c r="E49" i="30"/>
  <c r="F49" i="30" s="1"/>
  <c r="E50" i="30"/>
  <c r="D18" i="26"/>
  <c r="C19" i="26"/>
  <c r="C19" i="28"/>
  <c r="C20" i="28" s="1"/>
  <c r="C34" i="28" s="1"/>
  <c r="D18" i="28"/>
  <c r="D19" i="28" s="1"/>
  <c r="D20" i="28" s="1"/>
  <c r="D34" i="28" s="1"/>
  <c r="E53" i="26"/>
  <c r="E51" i="30" l="1"/>
  <c r="F50" i="30"/>
  <c r="F51" i="30" s="1"/>
  <c r="F53" i="30" s="1"/>
  <c r="D19" i="26"/>
  <c r="D20" i="26" s="1"/>
  <c r="D36" i="26" s="1"/>
  <c r="C16" i="26"/>
  <c r="D51" i="26" l="1"/>
  <c r="D52" i="26"/>
  <c r="C17" i="26"/>
  <c r="C20" i="26" s="1"/>
  <c r="C50" i="28" l="1"/>
  <c r="C35" i="28"/>
  <c r="C49" i="28"/>
  <c r="C36" i="26"/>
  <c r="C37" i="26" s="1"/>
  <c r="E298" i="11" s="1"/>
  <c r="E300" i="11" l="1"/>
  <c r="E299" i="11"/>
  <c r="C51" i="28"/>
  <c r="D35" i="28"/>
  <c r="D49" i="28"/>
  <c r="D50" i="28"/>
  <c r="C52" i="26"/>
  <c r="C51" i="26"/>
  <c r="D37" i="26"/>
  <c r="E296" i="13" s="1"/>
  <c r="F307" i="11" l="1"/>
  <c r="G300" i="11"/>
  <c r="G307" i="11"/>
  <c r="F306" i="11"/>
  <c r="G299" i="11"/>
  <c r="G306" i="11"/>
  <c r="E297" i="13"/>
  <c r="E298" i="13"/>
  <c r="D51" i="28"/>
  <c r="E35" i="28"/>
  <c r="E49" i="28"/>
  <c r="F49" i="28" s="1"/>
  <c r="E50" i="28"/>
  <c r="F50" i="28" s="1"/>
  <c r="C53" i="26"/>
  <c r="F51" i="26"/>
  <c r="D53" i="26"/>
  <c r="F52" i="26"/>
  <c r="F304" i="13" l="1"/>
  <c r="G297" i="13"/>
  <c r="G304" i="13"/>
  <c r="F305" i="13"/>
  <c r="G298" i="13"/>
  <c r="G299" i="13" s="1"/>
  <c r="G305" i="13"/>
  <c r="G301" i="11"/>
  <c r="F51" i="28"/>
  <c r="F53" i="28" s="1"/>
  <c r="E51" i="28"/>
  <c r="F53" i="26"/>
  <c r="F55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2021update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440A6D2F-AFA9-4D8E-B548-8344B8436F5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Jan 2020 Updt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  <author>Peng, Yongmei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  <comment ref="D173" authorId="2" shapeId="0" xr:uid="{BA28745B-A176-471E-A87D-01F200A0087F}">
      <text>
        <r>
          <rPr>
            <b/>
            <sz val="11"/>
            <color indexed="81"/>
            <rFont val="Tahoma"/>
            <family val="2"/>
          </rPr>
          <t>Peng, Yongmei:</t>
        </r>
        <r>
          <rPr>
            <sz val="11"/>
            <color indexed="81"/>
            <rFont val="Tahoma"/>
            <family val="2"/>
          </rPr>
          <t xml:space="preserve">
This will be updated on 6-22 with PJM BRA 2023-2024</t>
        </r>
      </text>
    </comment>
  </commentList>
</comments>
</file>

<file path=xl/sharedStrings.xml><?xml version="1.0" encoding="utf-8"?>
<sst xmlns="http://schemas.openxmlformats.org/spreadsheetml/2006/main" count="1790" uniqueCount="410">
  <si>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</si>
  <si>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</si>
  <si>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</si>
  <si>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</si>
  <si>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</si>
  <si>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</si>
  <si>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</si>
  <si>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</si>
  <si>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</si>
  <si>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</si>
  <si>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</si>
  <si>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</si>
  <si>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</si>
  <si>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</si>
  <si>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</si>
  <si>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</si>
  <si>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</si>
  <si>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</si>
  <si>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</si>
  <si>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</si>
  <si>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</si>
  <si>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</si>
  <si>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</si>
  <si>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</si>
  <si>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</si>
  <si>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</si>
  <si>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</si>
  <si>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</si>
  <si>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</si>
  <si>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</si>
  <si>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</si>
  <si>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</si>
  <si>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</si>
  <si>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</si>
  <si>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</si>
  <si>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</si>
  <si>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</si>
  <si>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</si>
  <si>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</si>
  <si>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</si>
  <si>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</si>
  <si>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</si>
  <si>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</si>
  <si>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</si>
  <si>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</si>
  <si>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</si>
  <si>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</si>
  <si>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</si>
  <si>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</si>
  <si>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</si>
  <si>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</si>
  <si>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</si>
  <si>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</si>
  <si>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</si>
  <si>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</si>
  <si>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</si>
  <si>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</si>
  <si>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</si>
  <si>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</si>
  <si>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</si>
  <si>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</si>
  <si>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</si>
  <si>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</si>
  <si>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</si>
  <si>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</si>
  <si>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</si>
  <si>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</si>
  <si>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</si>
  <si>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</si>
  <si>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</si>
  <si>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</si>
  <si>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</si>
  <si>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</si>
  <si>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</si>
  <si>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</si>
  <si>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</si>
  <si>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</si>
  <si>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</si>
  <si>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</si>
  <si>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</si>
  <si>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</si>
  <si>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</si>
  <si>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</si>
  <si>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</si>
  <si>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</si>
  <si>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</si>
  <si>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</si>
  <si>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</si>
  <si>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</si>
  <si>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</si>
  <si>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</si>
  <si>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</si>
  <si>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</si>
  <si>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</si>
  <si>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</si>
  <si>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</si>
  <si>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</si>
  <si>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</si>
  <si>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</si>
  <si>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</si>
  <si>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</si>
  <si>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</si>
  <si>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</si>
  <si>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</si>
  <si>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</si>
  <si>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</si>
  <si>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</si>
  <si>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</si>
  <si>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</si>
  <si>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</si>
  <si>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</si>
  <si>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</si>
  <si>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</si>
  <si>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</si>
  <si>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</si>
  <si>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</si>
  <si>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</si>
  <si>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</si>
  <si>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</si>
  <si>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</si>
  <si>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</si>
  <si>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</si>
  <si>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</si>
  <si>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</si>
  <si>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</si>
  <si>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</si>
  <si>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</si>
  <si>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</si>
  <si>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</si>
  <si>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</si>
  <si>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</si>
  <si>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</si>
  <si>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</si>
  <si>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</si>
  <si>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</si>
  <si>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</si>
  <si>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</si>
  <si>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</si>
  <si>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</si>
  <si>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</si>
  <si>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</si>
  <si>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</si>
  <si>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</si>
  <si>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</si>
  <si>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</si>
  <si>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</si>
  <si>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</si>
  <si>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</si>
  <si>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</si>
  <si>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</si>
  <si>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</si>
  <si>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</si>
  <si>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</si>
  <si>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</si>
  <si>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</si>
  <si>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</si>
  <si>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</si>
  <si>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</si>
  <si>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</si>
  <si>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</si>
  <si>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</si>
  <si>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</si>
  <si>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</si>
  <si>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</si>
  <si>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</si>
  <si>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</si>
  <si>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</si>
  <si>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</si>
  <si>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</si>
  <si>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</si>
  <si>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</si>
  <si>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</si>
  <si>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</si>
  <si>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</si>
  <si>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</si>
  <si>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</si>
  <si>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</si>
  <si>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</si>
  <si>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</si>
  <si>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</si>
  <si>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</si>
  <si>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</si>
  <si>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</si>
  <si>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</si>
  <si>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</si>
  <si>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</si>
  <si>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</si>
  <si>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</si>
  <si>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</si>
  <si>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</si>
  <si>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</si>
  <si>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</si>
  <si>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</si>
  <si>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</si>
  <si>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</si>
  <si>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</si>
  <si>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</si>
  <si>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</si>
  <si>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</si>
  <si>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</si>
  <si>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</si>
  <si>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</si>
  <si>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</si>
  <si>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</si>
  <si>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</si>
  <si>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</si>
  <si>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</si>
  <si>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</si>
  <si>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</si>
  <si>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</si>
  <si>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</si>
  <si>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</si>
  <si>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</si>
  <si>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</si>
  <si>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</si>
  <si>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</si>
  <si>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</si>
  <si>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</si>
  <si>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</si>
  <si>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</si>
  <si>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</si>
  <si>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</si>
  <si>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</si>
  <si>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</si>
  <si>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</si>
  <si>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</si>
  <si>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</si>
  <si>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</si>
  <si>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</si>
  <si>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</si>
  <si>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</si>
  <si>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</si>
  <si>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</si>
  <si>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</si>
  <si>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</si>
  <si>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</si>
  <si>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</si>
  <si>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</si>
  <si>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</si>
  <si>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</si>
  <si>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</si>
  <si>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</si>
  <si>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</si>
  <si>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</si>
  <si>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</si>
  <si>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</si>
  <si>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</si>
  <si>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</si>
  <si>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</si>
  <si>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</si>
  <si>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</si>
  <si>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</si>
  <si>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</si>
  <si>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</si>
  <si>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</si>
  <si>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</si>
  <si>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</si>
  <si>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</si>
  <si>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</si>
  <si>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</si>
  <si>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</si>
  <si>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</si>
  <si>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</si>
  <si>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</si>
  <si>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</si>
  <si>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per MWh @ transmission nodes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</si>
  <si>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</si>
  <si>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</si>
  <si>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</si>
  <si>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</si>
  <si>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</si>
  <si>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</si>
  <si>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transmission nodes MWhs):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</si>
  <si>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</si>
  <si>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</si>
  <si>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</si>
  <si>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</si>
  <si>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</si>
  <si>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</si>
  <si>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</si>
  <si>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</si>
  <si>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</si>
  <si>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</si>
  <si>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t>Total GS (incl WH)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</si>
  <si>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</si>
  <si>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</si>
  <si>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</si>
  <si>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>Jersey Central Power and Light</t>
  </si>
  <si>
    <t>1 Year Term Remaining</t>
  </si>
  <si>
    <t>2 Year Term Remaining</t>
  </si>
  <si>
    <t>3 Year Term</t>
  </si>
  <si>
    <t>Final Auction Price - in $/MWh</t>
  </si>
  <si>
    <t>Size of Tranches</t>
  </si>
  <si>
    <t>Total # of Tranches</t>
  </si>
  <si>
    <t>Seasonal Factors</t>
  </si>
  <si>
    <t>Applicable Customer Usage
@ transmission node</t>
  </si>
  <si>
    <t>Summer MWh</t>
  </si>
  <si>
    <t>Winter MWh</t>
  </si>
  <si>
    <t>Composite Bid Price</t>
  </si>
  <si>
    <t>Change of kWh</t>
  </si>
  <si>
    <t xml:space="preserve">Change of kW </t>
  </si>
  <si>
    <t xml:space="preserve">  </t>
  </si>
  <si>
    <t>BGS-RSCP</t>
  </si>
  <si>
    <t>Calculation of Composite BGS-RSCP Price</t>
  </si>
  <si>
    <t>Total
BGS-RSCP
Cost</t>
  </si>
  <si>
    <t>All-in BGS-RSCP Cost</t>
  </si>
  <si>
    <t>BGS-RSCP Composite Cost Allocation</t>
  </si>
  <si>
    <t>Ratio to All-In Cost (If Winter is greater than Summer)</t>
  </si>
  <si>
    <t>Total Forecasted Ancillary Services &amp; Renewable Power Costs</t>
  </si>
  <si>
    <t>Forecasted Ancillary Services Cost</t>
  </si>
  <si>
    <t>Ancillary Services and Renewable Power Cost =</t>
  </si>
  <si>
    <t>Fixed Unit Cost Adjustment</t>
  </si>
  <si>
    <t>Renewable Portfolio Standard Cost</t>
  </si>
  <si>
    <t>NJ Sales and Use Tax (SUT) =</t>
  </si>
  <si>
    <t>SUT excluded from all costs</t>
  </si>
  <si>
    <t>= Q112-S112</t>
  </si>
  <si>
    <t>RT (w/o RGT)</t>
  </si>
  <si>
    <t>NJ Sales and Use Tax (SUT) excluded</t>
  </si>
  <si>
    <t>Notes:</t>
  </si>
  <si>
    <t>Total BGS-RSCP Gen Obl - MW</t>
  </si>
  <si>
    <t>Days in BGS Delivery Year</t>
  </si>
  <si>
    <t>= line 3 * line 4 * line 5</t>
  </si>
  <si>
    <t>Eligible Tranches</t>
  </si>
  <si>
    <t>Total Tranches</t>
  </si>
  <si>
    <t>= line 7/ line 8</t>
  </si>
  <si>
    <t>= line 6 * line 9</t>
  </si>
  <si>
    <t>= line 9 * line 11</t>
  </si>
  <si>
    <t>= line 10 / line 12 (rounded to 2 decimal places)</t>
  </si>
  <si>
    <t>L/(H+I), Rounded to 2 decimals</t>
  </si>
  <si>
    <t>Capacity Proxy Price ($/MW-day)</t>
  </si>
  <si>
    <t>Capacity Proxy Price True-Up - $/MW-day</t>
  </si>
  <si>
    <t>Capacity Proxy Price True-Up - $/MWh</t>
  </si>
  <si>
    <t xml:space="preserve"> Line 1 - Line2</t>
  </si>
  <si>
    <r>
      <t xml:space="preserve">BGS Post Transition
Year </t>
    </r>
    <r>
      <rPr>
        <b/>
        <sz val="10"/>
        <color indexed="12"/>
        <rFont val="Arial"/>
        <family val="2"/>
      </rPr>
      <t>19</t>
    </r>
  </si>
  <si>
    <r>
      <t xml:space="preserve">BGS Post Transition
Year </t>
    </r>
    <r>
      <rPr>
        <b/>
        <sz val="10"/>
        <color indexed="12"/>
        <rFont val="Arial"/>
        <family val="2"/>
      </rPr>
      <t>20</t>
    </r>
  </si>
  <si>
    <t xml:space="preserve">Capacity Proxy Price True-Up Annual Cost </t>
  </si>
  <si>
    <t>% of tranches eligible for Payment</t>
  </si>
  <si>
    <t>Capacity Proxy Price True-Up Cost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</si>
  <si>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</si>
  <si>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</si>
  <si>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2021/2022 BGS Supply Period Estimated Supplier Payments Allocated by Rate Class</t>
  </si>
  <si>
    <t>2021 Auction</t>
  </si>
  <si>
    <t>2022 Auction</t>
  </si>
  <si>
    <r>
      <t xml:space="preserve">BGS Post Transition
Year </t>
    </r>
    <r>
      <rPr>
        <b/>
        <sz val="10"/>
        <color indexed="12"/>
        <rFont val="Arial"/>
        <family val="2"/>
      </rPr>
      <t>21</t>
    </r>
  </si>
  <si>
    <t>2023 Auction</t>
  </si>
  <si>
    <t>Development of Capacity Proxy Price True-Up $/MWh 
and Calculation of Composite BGS-RSCP Price</t>
  </si>
  <si>
    <t>Table A - 2023/2024 Delivery Year - Illustrative Only</t>
  </si>
  <si>
    <t>GS RSCP</t>
  </si>
  <si>
    <t>GST RSCP</t>
  </si>
  <si>
    <t>Zero, as Transmission product will be excluded from BGS product starting June 1, 2021.</t>
  </si>
  <si>
    <t>includes Energy, Generation obligations, and Ancillary Services - adjusted to billing time periods</t>
  </si>
  <si>
    <t>includes Energy, Generation Obligations, and Ancillary Services - adjusted to billing time periods</t>
  </si>
  <si>
    <t>Attachment 3 - Page 1 of 3</t>
  </si>
  <si>
    <t>Attachment 3 - Page 2 of 3</t>
  </si>
  <si>
    <t>Attachment 3 - Page 3 of 3</t>
  </si>
  <si>
    <t>June 1, 2023 through May 31, 2024 - Illustrative Only</t>
  </si>
  <si>
    <t>Post Transition Year 19 Costs w/o Transmission</t>
  </si>
  <si>
    <t>Composite (Tranche Weighted) Costs w/o Transmission</t>
  </si>
  <si>
    <t>includes Energy and Ancillary Services, Generation Obligations charged separately - adjusted to billing time periods</t>
  </si>
  <si>
    <t>Zonal Capacity Price ($/MW-day) - JCPL Zone</t>
  </si>
  <si>
    <t>Post Transition Year 20 Costs w/o Transmission</t>
  </si>
  <si>
    <t>Table A - 2024/2025 Delivery Year - Illustrative Only</t>
  </si>
  <si>
    <r>
      <t xml:space="preserve">BGS Post Transition
Year </t>
    </r>
    <r>
      <rPr>
        <b/>
        <sz val="10"/>
        <color indexed="12"/>
        <rFont val="Arial"/>
        <family val="2"/>
      </rPr>
      <t>22</t>
    </r>
  </si>
  <si>
    <t>2024 Auction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</si>
  <si>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19</t>
    </r>
    <r>
      <rPr>
        <sz val="10"/>
        <rFont val="Arial"/>
        <family val="2"/>
      </rPr>
      <t xml:space="preserve"> and adjusted to match the total cost at the actual supplier bid price.</t>
    </r>
  </si>
  <si>
    <t>Illustrative Only</t>
  </si>
  <si>
    <t>2023/2024
Delivery Year for Winning Suppliers from 2021 BGS-RSCP Auction</t>
  </si>
  <si>
    <t>2023/2024
Delivery Year for Winning Suppliers from 2022 BGS-RSCP Auction</t>
  </si>
  <si>
    <t>June 1, 2024 through May 31, 2025 - Illustrative Only</t>
  </si>
  <si>
    <t>Note to revised $8 mil target</t>
  </si>
  <si>
    <t>BGS Order Docket No. ER20030190 dated Nov. 18, 2020 and Docket No. ER21030631dated Nov. 17, 2021</t>
  </si>
  <si>
    <t>Forecast 2022 Delivery MWh</t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</si>
  <si>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2022</t>
    </r>
  </si>
  <si>
    <t>mWh*</t>
  </si>
  <si>
    <t>2022 *</t>
  </si>
  <si>
    <r>
      <t xml:space="preserve">obligations - annual average forecasted for </t>
    </r>
    <r>
      <rPr>
        <i/>
        <sz val="10"/>
        <color indexed="12"/>
        <rFont val="Arial"/>
        <family val="2"/>
      </rPr>
      <t>2022</t>
    </r>
    <r>
      <rPr>
        <i/>
        <sz val="10"/>
        <rFont val="Arial"/>
        <family val="2"/>
      </rPr>
      <t>; costs are market estimates</t>
    </r>
  </si>
  <si>
    <r>
      <t xml:space="preserve">Forecasted </t>
    </r>
    <r>
      <rPr>
        <i/>
        <sz val="10"/>
        <color indexed="12"/>
        <rFont val="Arial"/>
        <family val="2"/>
      </rPr>
      <t>2022</t>
    </r>
    <r>
      <rPr>
        <i/>
        <sz val="10"/>
        <rFont val="Arial"/>
        <family val="2"/>
      </rPr>
      <t xml:space="preserve"> kWh</t>
    </r>
  </si>
  <si>
    <t>2023/202024 BGS Supply Period Estimated Supplier Payments Allocated by Rate Class</t>
  </si>
  <si>
    <t>2023 BGS Auction Cost and Bid Factor Tables</t>
  </si>
  <si>
    <t>Table A - 2025/2026 Delivery Year - Illustrative Only</t>
  </si>
  <si>
    <t>BGS Order Docket No. ER22030127 dated Nov. xx, 2022</t>
  </si>
  <si>
    <r>
      <t xml:space="preserve">BGS Post Transition
Year </t>
    </r>
    <r>
      <rPr>
        <b/>
        <sz val="10"/>
        <color indexed="12"/>
        <rFont val="Arial"/>
        <family val="2"/>
      </rPr>
      <t>23</t>
    </r>
  </si>
  <si>
    <t>2025 Auction</t>
  </si>
  <si>
    <t>June 1, 2025 through May 31, 2026 - Illustrative Only</t>
  </si>
  <si>
    <t>2024/2025
Delivery Year for Winning Suppliers from 2022 BGS-RSCP Auction</t>
  </si>
  <si>
    <t>*: If PJM holds an auction under the Reliability Pricing Model (“RPM”) or its successor or otherwise at least 5 business days prior to the BGS-RSCP Auction, then capacity proxy price for delivery year 2024/2025 is void.</t>
  </si>
  <si>
    <t>2024/2025
Delivery Year for Winning Suppliers from 2023 BGS-RSCP Auction*</t>
  </si>
  <si>
    <r>
      <t xml:space="preserve">Based on an average of </t>
    </r>
    <r>
      <rPr>
        <i/>
        <sz val="10"/>
        <color indexed="12"/>
        <rFont val="Arial"/>
        <family val="2"/>
      </rPr>
      <t>2019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2021</t>
    </r>
    <r>
      <rPr>
        <i/>
        <sz val="10"/>
        <rFont val="Arial"/>
        <family val="2"/>
      </rPr>
      <t xml:space="preserve"> Load Profile Information</t>
    </r>
  </si>
  <si>
    <t>mWh</t>
  </si>
  <si>
    <t xml:space="preserve"> kWh</t>
  </si>
  <si>
    <r>
      <t xml:space="preserve">2022 </t>
    </r>
    <r>
      <rPr>
        <i/>
        <sz val="10"/>
        <rFont val="Arial"/>
        <family val="2"/>
      </rPr>
      <t>Forecasted Calendar Month Sales</t>
    </r>
  </si>
  <si>
    <t>Not Applicable to 2023/2024 BGS Supply Period</t>
  </si>
  <si>
    <r>
      <t xml:space="preserve"> based on </t>
    </r>
    <r>
      <rPr>
        <sz val="10"/>
        <color indexed="12"/>
        <rFont val="Arial"/>
        <family val="2"/>
      </rPr>
      <t xml:space="preserve">6/23 to 5/24 </t>
    </r>
    <r>
      <rPr>
        <sz val="10"/>
        <rFont val="Arial"/>
        <family val="2"/>
      </rPr>
      <t>Forwards @ PJM West corrected for hub-zone basis differential</t>
    </r>
  </si>
  <si>
    <r>
      <t xml:space="preserve"> forecasted </t>
    </r>
    <r>
      <rPr>
        <sz val="10"/>
        <color indexed="12"/>
        <rFont val="Arial"/>
        <family val="2"/>
      </rPr>
      <t xml:space="preserve">2022 </t>
    </r>
    <r>
      <rPr>
        <sz val="10"/>
        <rFont val="Arial"/>
        <family val="2"/>
      </rPr>
      <t xml:space="preserve">energy use by class based upon PJM on/off % from </t>
    </r>
    <r>
      <rPr>
        <sz val="10"/>
        <color indexed="12"/>
        <rFont val="Arial"/>
        <family val="2"/>
      </rPr>
      <t>2019 through 2021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</si>
  <si>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2022</t>
    </r>
    <r>
      <rPr>
        <sz val="10"/>
        <rFont val="Arial"/>
        <family val="2"/>
      </rPr>
      <t xml:space="preserve"> forecasted billing determinants</t>
    </r>
  </si>
  <si>
    <r>
      <t xml:space="preserve"> class totals for </t>
    </r>
    <r>
      <rPr>
        <sz val="10"/>
        <color indexed="12"/>
        <rFont val="Arial"/>
        <family val="2"/>
      </rPr>
      <t>2022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2023</t>
    </r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</si>
  <si>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20 </t>
    </r>
    <r>
      <rPr>
        <sz val="10"/>
        <rFont val="Arial"/>
        <family val="2"/>
      </rPr>
      <t>and adjusted to match the total cost at the actual supplier bid price.</t>
    </r>
  </si>
  <si>
    <t>2022/2023 BGS Supply Period Estimated Supplier Payments Allocated by Rate Class</t>
  </si>
  <si>
    <t xml:space="preserve">Table #10 of the 2023 BGS Auction Cost and Bid Factor Tables </t>
  </si>
  <si>
    <r>
      <t xml:space="preserve">Table #14 * Table #6 from </t>
    </r>
    <r>
      <rPr>
        <sz val="10"/>
        <color rgb="FF0000FF"/>
        <rFont val="Arial"/>
        <family val="2"/>
      </rPr>
      <t>2023</t>
    </r>
    <r>
      <rPr>
        <sz val="10"/>
        <rFont val="Arial"/>
        <family val="2"/>
      </rPr>
      <t xml:space="preserve"> BGS Auction Cost and Bid Factor Tables - Illustrative Only</t>
    </r>
  </si>
  <si>
    <t>2025/2026
Delivery Year</t>
  </si>
  <si>
    <t>includes energy, Generation , and Ancillary Services - adjusted to billing time periods</t>
  </si>
  <si>
    <t>includes energy, Generation obligations, and Ancillary Services - adjusted to billing time periods</t>
  </si>
  <si>
    <t>Post Transition Year 19 Bid price plus Capacity Proxy True-up</t>
  </si>
  <si>
    <t>Post Transition Year 20 Bid price plus Capacity Proxy True-Up</t>
  </si>
  <si>
    <t>Capacity Proxy Price True Up in $/MWH</t>
  </si>
  <si>
    <t>BRA @ June 2022 illustratively, will be updated with Final PJM RPM Zonal 
Net Price for 2023/2024 Delivery Year in March, 2023</t>
  </si>
  <si>
    <t>BGS Order Docket No. ER21030631 dated Nov. 17, 2021 and ER22030127 dated Nov. xx, 2022</t>
  </si>
  <si>
    <r>
      <t xml:space="preserve">Table #14 * Table #6 from </t>
    </r>
    <r>
      <rPr>
        <sz val="10"/>
        <color rgb="FF0000FF"/>
        <rFont val="Arial"/>
        <family val="2"/>
      </rPr>
      <t>2023</t>
    </r>
    <r>
      <rPr>
        <sz val="10"/>
        <rFont val="Arial"/>
        <family val="2"/>
      </rPr>
      <t xml:space="preserve"> BGS Auction Cost and Bid Factor Tables 
- Illustrative Only</t>
    </r>
  </si>
  <si>
    <t>Post Transition Year 21 Costs w/o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</si>
</sst>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_(* #,##0.000000_);_(* \(#,##0.000000\);_(* &quot;-&quot;??_);_(@_)"/>
    <numFmt numFmtId="181" formatCode="0.000000%"/>
    <numFmt numFmtId="182" formatCode="mm/dd/yy;@"/>
    <numFmt numFmtId="183" formatCode="_(&quot;$&quot;* #,##0.000000_);_(&quot;$&quot;* \(#,##0.000000\);_(&quot;$&quot;* &quot;-&quot;??_);_(@_)"/>
    <numFmt numFmtId="184" formatCode="&quot;$&quot;#,##0"/>
    <numFmt numFmtId="185" formatCode="&quot;$&quot;#,##0.00"/>
    <numFmt numFmtId="186" formatCode="_(* #,##0.0_);_(* \(#,##0.0\);_(* &quot;-&quot;??_);_(@_)"/>
    <numFmt numFmtId="187" formatCode="&quot;$&quot;#,##0.000"/>
    <numFmt numFmtId="188" formatCode="0.00000%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Times New Roman"/>
      <family val="1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4" fontId="5" fillId="0" borderId="0" xfId="3" applyNumberFormat="1" applyFont="1" applyFill="1"/>
    <xf numFmtId="174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79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2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2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7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3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6" fontId="4" fillId="0" borderId="0" xfId="1" quotePrefix="1" applyNumberFormat="1" applyFont="1" applyFill="1" applyBorder="1"/>
    <xf numFmtId="176" fontId="3" fillId="0" borderId="0" xfId="1" quotePrefix="1" applyNumberFormat="1" applyFont="1" applyFill="1" applyBorder="1"/>
    <xf numFmtId="176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4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2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2" fontId="2" fillId="0" borderId="0" xfId="2" quotePrefix="1" applyNumberFormat="1" applyFont="1" applyFill="1"/>
    <xf numFmtId="3" fontId="2" fillId="0" borderId="0" xfId="2" quotePrefix="1" applyNumberFormat="1" applyFont="1" applyFill="1"/>
    <xf numFmtId="175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7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9" fontId="12" fillId="0" borderId="0" xfId="0" applyNumberFormat="1" applyFont="1" applyFill="1"/>
    <xf numFmtId="0" fontId="4" fillId="0" borderId="0" xfId="0" applyFont="1" applyFill="1" applyBorder="1"/>
    <xf numFmtId="17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7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178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174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10" fontId="12" fillId="0" borderId="0" xfId="3" applyNumberFormat="1" applyFont="1" applyFill="1" applyBorder="1"/>
    <xf numFmtId="174" fontId="5" fillId="0" borderId="15" xfId="3" applyNumberFormat="1" applyFont="1" applyFill="1" applyBorder="1"/>
    <xf numFmtId="174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79" fontId="5" fillId="0" borderId="15" xfId="0" applyNumberFormat="1" applyFont="1" applyFill="1" applyBorder="1"/>
    <xf numFmtId="179" fontId="12" fillId="0" borderId="15" xfId="0" applyNumberFormat="1" applyFont="1" applyFill="1" applyBorder="1"/>
    <xf numFmtId="179" fontId="12" fillId="0" borderId="10" xfId="0" applyNumberFormat="1" applyFont="1" applyFill="1" applyBorder="1"/>
    <xf numFmtId="179" fontId="5" fillId="0" borderId="0" xfId="0" applyNumberFormat="1" applyFont="1" applyFill="1" applyBorder="1"/>
    <xf numFmtId="179" fontId="12" fillId="0" borderId="0" xfId="0" applyNumberFormat="1" applyFont="1" applyFill="1" applyBorder="1"/>
    <xf numFmtId="179" fontId="12" fillId="0" borderId="13" xfId="0" applyNumberFormat="1" applyFont="1" applyFill="1" applyBorder="1"/>
    <xf numFmtId="179" fontId="5" fillId="0" borderId="16" xfId="0" applyNumberFormat="1" applyFont="1" applyFill="1" applyBorder="1"/>
    <xf numFmtId="179" fontId="12" fillId="0" borderId="16" xfId="0" applyNumberFormat="1" applyFont="1" applyFill="1" applyBorder="1"/>
    <xf numFmtId="179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7" fontId="4" fillId="3" borderId="0" xfId="1" applyNumberFormat="1" applyFont="1" applyFill="1"/>
    <xf numFmtId="166" fontId="0" fillId="3" borderId="0" xfId="0" applyNumberFormat="1" applyFill="1"/>
    <xf numFmtId="0" fontId="4" fillId="3" borderId="0" xfId="0" applyFont="1" applyFill="1"/>
    <xf numFmtId="169" fontId="0" fillId="3" borderId="0" xfId="3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7" fontId="4" fillId="0" borderId="0" xfId="1" applyNumberFormat="1" applyFont="1" applyFill="1"/>
    <xf numFmtId="9" fontId="2" fillId="0" borderId="0" xfId="3" quotePrefix="1" applyFont="1" applyFill="1"/>
    <xf numFmtId="181" fontId="0" fillId="0" borderId="0" xfId="3" applyNumberFormat="1" applyFont="1" applyFill="1"/>
    <xf numFmtId="0" fontId="6" fillId="3" borderId="0" xfId="0" applyFont="1" applyFill="1"/>
    <xf numFmtId="17" fontId="0" fillId="3" borderId="0" xfId="0" applyNumberFormat="1" applyFill="1"/>
    <xf numFmtId="43" fontId="4" fillId="3" borderId="0" xfId="1" quotePrefix="1" applyFont="1" applyFill="1" applyBorder="1"/>
    <xf numFmtId="176" fontId="4" fillId="3" borderId="0" xfId="1" quotePrefix="1" applyNumberFormat="1" applyFont="1" applyFill="1" applyBorder="1"/>
    <xf numFmtId="17" fontId="0" fillId="3" borderId="0" xfId="0" applyNumberFormat="1" applyFill="1" applyAlignment="1">
      <alignment horizontal="right"/>
    </xf>
    <xf numFmtId="43" fontId="3" fillId="3" borderId="0" xfId="1" quotePrefix="1" applyFont="1" applyFill="1" applyBorder="1"/>
    <xf numFmtId="176" fontId="3" fillId="3" borderId="0" xfId="1" quotePrefix="1" applyNumberFormat="1" applyFont="1" applyFill="1" applyBorder="1"/>
    <xf numFmtId="43" fontId="3" fillId="3" borderId="0" xfId="1" quotePrefix="1" applyFont="1" applyFill="1"/>
    <xf numFmtId="176" fontId="3" fillId="3" borderId="0" xfId="1" quotePrefix="1" applyNumberFormat="1" applyFont="1" applyFill="1"/>
    <xf numFmtId="176" fontId="4" fillId="3" borderId="0" xfId="1" quotePrefix="1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2" fontId="5" fillId="0" borderId="0" xfId="0" applyNumberFormat="1" applyFont="1" applyFill="1"/>
    <xf numFmtId="182" fontId="0" fillId="0" borderId="0" xfId="0" applyNumberFormat="1" applyFill="1"/>
    <xf numFmtId="2" fontId="0" fillId="0" borderId="0" xfId="0" applyNumberFormat="1" applyFill="1"/>
    <xf numFmtId="175" fontId="3" fillId="0" borderId="0" xfId="1" applyNumberFormat="1" applyFont="1" applyFill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5" fontId="10" fillId="0" borderId="0" xfId="1" applyNumberFormat="1" applyFont="1" applyFill="1"/>
    <xf numFmtId="174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0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3" fontId="3" fillId="5" borderId="0" xfId="0" applyNumberFormat="1" applyFont="1" applyFill="1"/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3" fontId="43" fillId="0" borderId="0" xfId="0" applyNumberFormat="1" applyFont="1" applyFill="1"/>
    <xf numFmtId="175" fontId="43" fillId="0" borderId="0" xfId="1" applyNumberFormat="1" applyFont="1" applyFill="1"/>
    <xf numFmtId="44" fontId="12" fillId="0" borderId="13" xfId="2" applyFont="1" applyFill="1" applyBorder="1"/>
    <xf numFmtId="10" fontId="12" fillId="0" borderId="13" xfId="3" applyNumberFormat="1" applyFont="1" applyBorder="1"/>
    <xf numFmtId="10" fontId="12" fillId="0" borderId="18" xfId="3" applyNumberFormat="1" applyFont="1" applyBorder="1"/>
    <xf numFmtId="0" fontId="0" fillId="0" borderId="0" xfId="0" applyBorder="1"/>
    <xf numFmtId="9" fontId="2" fillId="0" borderId="0" xfId="3" applyFont="1" applyAlignment="1">
      <alignment horizontal="left"/>
    </xf>
    <xf numFmtId="9" fontId="10" fillId="0" borderId="0" xfId="3" applyFont="1" applyAlignment="1">
      <alignment horizontal="left"/>
    </xf>
    <xf numFmtId="184" fontId="2" fillId="0" borderId="18" xfId="2" applyNumberFormat="1" applyBorder="1"/>
    <xf numFmtId="184" fontId="14" fillId="0" borderId="18" xfId="2" applyNumberFormat="1" applyFont="1" applyBorder="1"/>
    <xf numFmtId="0" fontId="2" fillId="0" borderId="0" xfId="0" applyFont="1" applyFill="1"/>
    <xf numFmtId="3" fontId="2" fillId="0" borderId="0" xfId="0" applyNumberFormat="1" applyFont="1" applyFill="1"/>
    <xf numFmtId="171" fontId="2" fillId="0" borderId="0" xfId="2" quotePrefix="1" applyNumberFormat="1" applyFont="1" applyFill="1"/>
    <xf numFmtId="44" fontId="2" fillId="0" borderId="0" xfId="2" applyNumberFormat="1" applyFont="1" applyFill="1"/>
    <xf numFmtId="0" fontId="2" fillId="0" borderId="0" xfId="4"/>
    <xf numFmtId="22" fontId="2" fillId="0" borderId="0" xfId="4" applyNumberFormat="1" applyAlignment="1">
      <alignment horizontal="center"/>
    </xf>
    <xf numFmtId="22" fontId="2" fillId="0" borderId="0" xfId="4" applyNumberFormat="1"/>
    <xf numFmtId="22" fontId="4" fillId="0" borderId="0" xfId="4" applyNumberFormat="1" applyFont="1" applyAlignment="1">
      <alignment horizontal="center"/>
    </xf>
    <xf numFmtId="0" fontId="2" fillId="0" borderId="0" xfId="4" quotePrefix="1" applyFill="1"/>
    <xf numFmtId="22" fontId="4" fillId="0" borderId="20" xfId="4" applyNumberFormat="1" applyFont="1" applyBorder="1" applyAlignment="1">
      <alignment horizontal="center" wrapText="1"/>
    </xf>
    <xf numFmtId="0" fontId="4" fillId="0" borderId="0" xfId="4" applyFont="1"/>
    <xf numFmtId="0" fontId="2" fillId="0" borderId="20" xfId="4" applyFont="1" applyBorder="1" applyAlignment="1">
      <alignment horizontal="center" wrapText="1"/>
    </xf>
    <xf numFmtId="0" fontId="2" fillId="0" borderId="21" xfId="4" applyFont="1" applyBorder="1" applyAlignment="1">
      <alignment horizontal="center" wrapText="1"/>
    </xf>
    <xf numFmtId="0" fontId="2" fillId="0" borderId="17" xfId="4" quotePrefix="1" applyBorder="1" applyAlignment="1">
      <alignment horizontal="center"/>
    </xf>
    <xf numFmtId="0" fontId="2" fillId="0" borderId="0" xfId="4" applyFont="1" applyAlignment="1">
      <alignment horizontal="left"/>
    </xf>
    <xf numFmtId="7" fontId="2" fillId="0" borderId="18" xfId="2" applyNumberFormat="1" applyFont="1" applyFill="1" applyBorder="1"/>
    <xf numFmtId="0" fontId="2" fillId="0" borderId="0" xfId="4" applyFill="1"/>
    <xf numFmtId="44" fontId="2" fillId="0" borderId="0" xfId="4" applyNumberFormat="1" applyFill="1"/>
    <xf numFmtId="0" fontId="10" fillId="0" borderId="0" xfId="4" applyFont="1" applyAlignment="1">
      <alignment horizontal="left"/>
    </xf>
    <xf numFmtId="0" fontId="2" fillId="0" borderId="0" xfId="4" applyAlignment="1">
      <alignment horizontal="left"/>
    </xf>
    <xf numFmtId="1" fontId="2" fillId="0" borderId="18" xfId="3" applyNumberFormat="1" applyFont="1" applyFill="1" applyBorder="1"/>
    <xf numFmtId="10" fontId="12" fillId="0" borderId="13" xfId="4" applyNumberFormat="1" applyFont="1" applyBorder="1"/>
    <xf numFmtId="0" fontId="12" fillId="0" borderId="18" xfId="4" applyFont="1" applyBorder="1"/>
    <xf numFmtId="0" fontId="12" fillId="0" borderId="13" xfId="4" applyFont="1" applyBorder="1"/>
    <xf numFmtId="167" fontId="2" fillId="0" borderId="18" xfId="4" applyNumberFormat="1" applyFont="1" applyBorder="1"/>
    <xf numFmtId="167" fontId="12" fillId="0" borderId="13" xfId="4" applyNumberFormat="1" applyFont="1" applyBorder="1"/>
    <xf numFmtId="167" fontId="12" fillId="0" borderId="18" xfId="4" applyNumberFormat="1" applyFont="1" applyBorder="1"/>
    <xf numFmtId="0" fontId="2" fillId="0" borderId="18" xfId="4" applyBorder="1"/>
    <xf numFmtId="0" fontId="2" fillId="0" borderId="13" xfId="4" applyBorder="1"/>
    <xf numFmtId="0" fontId="10" fillId="0" borderId="0" xfId="4" applyFont="1" applyBorder="1" applyAlignment="1">
      <alignment horizontal="left" wrapText="1"/>
    </xf>
    <xf numFmtId="0" fontId="2" fillId="0" borderId="0" xfId="4" applyBorder="1" applyAlignment="1">
      <alignment horizontal="left"/>
    </xf>
    <xf numFmtId="3" fontId="2" fillId="0" borderId="18" xfId="4" applyNumberFormat="1" applyFont="1" applyFill="1" applyBorder="1"/>
    <xf numFmtId="3" fontId="2" fillId="0" borderId="18" xfId="4" applyNumberFormat="1" applyBorder="1"/>
    <xf numFmtId="0" fontId="6" fillId="0" borderId="0" xfId="4" applyFont="1" applyAlignment="1">
      <alignment horizontal="left"/>
    </xf>
    <xf numFmtId="184" fontId="2" fillId="0" borderId="19" xfId="4" applyNumberFormat="1" applyBorder="1"/>
    <xf numFmtId="184" fontId="2" fillId="0" borderId="14" xfId="4" applyNumberFormat="1" applyBorder="1"/>
    <xf numFmtId="183" fontId="2" fillId="0" borderId="0" xfId="4" applyNumberFormat="1" applyFill="1" applyBorder="1"/>
    <xf numFmtId="184" fontId="2" fillId="0" borderId="0" xfId="4" applyNumberFormat="1"/>
    <xf numFmtId="185" fontId="2" fillId="0" borderId="0" xfId="4" applyNumberFormat="1"/>
    <xf numFmtId="0" fontId="2" fillId="0" borderId="0" xfId="0" applyFont="1" applyFill="1" applyAlignment="1">
      <alignment horizontal="right"/>
    </xf>
    <xf numFmtId="184" fontId="0" fillId="0" borderId="0" xfId="0" applyNumberFormat="1" applyFill="1"/>
    <xf numFmtId="0" fontId="2" fillId="0" borderId="0" xfId="4" applyAlignment="1">
      <alignment horizontal="right"/>
    </xf>
    <xf numFmtId="184" fontId="0" fillId="0" borderId="0" xfId="0" applyNumberFormat="1" applyFill="1" applyAlignment="1">
      <alignment horizontal="center"/>
    </xf>
    <xf numFmtId="9" fontId="0" fillId="0" borderId="0" xfId="3" applyFont="1" applyFill="1"/>
    <xf numFmtId="0" fontId="2" fillId="0" borderId="0" xfId="0" applyFont="1" applyFill="1" applyBorder="1"/>
    <xf numFmtId="167" fontId="0" fillId="0" borderId="0" xfId="0" applyNumberFormat="1" applyFill="1" applyBorder="1" applyAlignment="1">
      <alignment horizontal="right"/>
    </xf>
    <xf numFmtId="167" fontId="3" fillId="0" borderId="0" xfId="2" quotePrefix="1" applyNumberFormat="1" applyFont="1" applyFill="1" applyBorder="1"/>
    <xf numFmtId="44" fontId="3" fillId="0" borderId="0" xfId="2" quotePrefix="1" applyNumberFormat="1" applyFont="1" applyFill="1" applyBorder="1"/>
    <xf numFmtId="167" fontId="2" fillId="0" borderId="0" xfId="0" applyNumberFormat="1" applyFont="1" applyFill="1" applyBorder="1"/>
    <xf numFmtId="186" fontId="0" fillId="0" borderId="0" xfId="1" applyNumberFormat="1" applyFont="1" applyFill="1"/>
    <xf numFmtId="175" fontId="0" fillId="0" borderId="0" xfId="1" applyNumberFormat="1" applyFont="1" applyFill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quotePrefix="1" applyFon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50" fillId="0" borderId="0" xfId="3" quotePrefix="1" applyNumberFormat="1" applyFont="1" applyFill="1"/>
    <xf numFmtId="44" fontId="50" fillId="0" borderId="0" xfId="2" quotePrefix="1" applyFont="1" applyFill="1"/>
    <xf numFmtId="0" fontId="50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13" xfId="4" quotePrefix="1" applyBorder="1" applyAlignment="1">
      <alignment horizontal="center"/>
    </xf>
    <xf numFmtId="167" fontId="4" fillId="0" borderId="0" xfId="0" applyNumberFormat="1" applyFont="1"/>
    <xf numFmtId="0" fontId="2" fillId="0" borderId="0" xfId="4" applyAlignment="1">
      <alignment vertical="top"/>
    </xf>
    <xf numFmtId="0" fontId="4" fillId="0" borderId="0" xfId="4" applyFont="1" applyFill="1" applyAlignment="1">
      <alignment vertical="top" wrapText="1"/>
    </xf>
    <xf numFmtId="185" fontId="2" fillId="0" borderId="0" xfId="4" applyNumberFormat="1" applyAlignment="1">
      <alignment vertical="top" wrapText="1"/>
    </xf>
    <xf numFmtId="0" fontId="2" fillId="0" borderId="0" xfId="4" quotePrefix="1" applyFont="1" applyAlignment="1">
      <alignment horizontal="left" vertical="top"/>
    </xf>
    <xf numFmtId="44" fontId="46" fillId="0" borderId="0" xfId="2" quotePrefix="1" applyFont="1" applyFill="1"/>
    <xf numFmtId="8" fontId="2" fillId="0" borderId="0" xfId="2" applyNumberFormat="1" applyFont="1" applyFill="1"/>
    <xf numFmtId="8" fontId="46" fillId="0" borderId="0" xfId="0" applyNumberFormat="1" applyFont="1" applyFill="1"/>
    <xf numFmtId="185" fontId="52" fillId="0" borderId="0" xfId="0" applyNumberFormat="1" applyFont="1" applyFill="1"/>
    <xf numFmtId="164" fontId="0" fillId="0" borderId="0" xfId="0" applyNumberFormat="1" applyFill="1" applyBorder="1"/>
    <xf numFmtId="175" fontId="46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175" fontId="0" fillId="0" borderId="0" xfId="0" applyNumberFormat="1" applyFill="1" applyBorder="1"/>
    <xf numFmtId="174" fontId="0" fillId="0" borderId="0" xfId="3" applyNumberFormat="1" applyFont="1" applyFill="1" applyBorder="1"/>
    <xf numFmtId="184" fontId="46" fillId="0" borderId="0" xfId="0" applyNumberFormat="1" applyFont="1" applyFill="1" applyBorder="1"/>
    <xf numFmtId="184" fontId="0" fillId="0" borderId="0" xfId="0" applyNumberFormat="1" applyFill="1" applyBorder="1"/>
    <xf numFmtId="9" fontId="0" fillId="0" borderId="0" xfId="3" applyNumberFormat="1" applyFont="1" applyFill="1" applyBorder="1"/>
    <xf numFmtId="9" fontId="0" fillId="0" borderId="0" xfId="3" applyFont="1" applyFill="1" applyBorder="1"/>
    <xf numFmtId="0" fontId="48" fillId="0" borderId="0" xfId="0" applyFont="1" applyFill="1" applyBorder="1"/>
    <xf numFmtId="2" fontId="48" fillId="0" borderId="0" xfId="0" applyNumberFormat="1" applyFont="1" applyFill="1" applyBorder="1"/>
    <xf numFmtId="185" fontId="46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4" fontId="0" fillId="0" borderId="0" xfId="0" applyNumberFormat="1" applyFill="1" applyBorder="1"/>
    <xf numFmtId="174" fontId="46" fillId="0" borderId="0" xfId="3" applyNumberFormat="1" applyFont="1" applyFill="1" applyBorder="1"/>
    <xf numFmtId="2" fontId="0" fillId="0" borderId="0" xfId="0" applyNumberFormat="1" applyFill="1" applyBorder="1"/>
    <xf numFmtId="0" fontId="51" fillId="0" borderId="0" xfId="0" applyFont="1" applyFill="1" applyBorder="1"/>
    <xf numFmtId="174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174" fontId="4" fillId="0" borderId="0" xfId="3" applyNumberFormat="1" applyFont="1" applyFill="1" applyBorder="1"/>
    <xf numFmtId="0" fontId="46" fillId="0" borderId="0" xfId="0" quotePrefix="1" applyFont="1" applyFill="1" applyAlignment="1">
      <alignment wrapText="1"/>
    </xf>
    <xf numFmtId="0" fontId="2" fillId="0" borderId="0" xfId="4" applyAlignment="1">
      <alignment horizontal="left" wrapText="1"/>
    </xf>
    <xf numFmtId="185" fontId="4" fillId="0" borderId="0" xfId="2" applyNumberFormat="1" applyFont="1" applyFill="1"/>
    <xf numFmtId="0" fontId="4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7" fontId="5" fillId="0" borderId="0" xfId="0" applyNumberFormat="1" applyFont="1" applyFill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7" fontId="12" fillId="0" borderId="0" xfId="0" applyNumberFormat="1" applyFont="1" applyFill="1"/>
    <xf numFmtId="8" fontId="46" fillId="0" borderId="0" xfId="0" applyNumberFormat="1" applyFont="1" applyFill="1" applyAlignment="1">
      <alignment horizontal="right"/>
    </xf>
    <xf numFmtId="185" fontId="52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166" fontId="0" fillId="0" borderId="0" xfId="0" applyNumberFormat="1" applyFill="1" applyBorder="1"/>
    <xf numFmtId="17" fontId="43" fillId="0" borderId="9" xfId="0" applyNumberFormat="1" applyFont="1" applyFill="1" applyBorder="1"/>
    <xf numFmtId="3" fontId="18" fillId="4" borderId="15" xfId="0" applyNumberFormat="1" applyFont="1" applyFill="1" applyBorder="1"/>
    <xf numFmtId="3" fontId="23" fillId="4" borderId="15" xfId="0" applyNumberFormat="1" applyFont="1" applyFill="1" applyBorder="1"/>
    <xf numFmtId="3" fontId="0" fillId="0" borderId="15" xfId="0" applyNumberFormat="1" applyFill="1" applyBorder="1"/>
    <xf numFmtId="3" fontId="24" fillId="5" borderId="15" xfId="0" applyNumberFormat="1" applyFont="1" applyFill="1" applyBorder="1"/>
    <xf numFmtId="0" fontId="0" fillId="0" borderId="15" xfId="0" applyFill="1" applyBorder="1"/>
    <xf numFmtId="3" fontId="3" fillId="5" borderId="15" xfId="0" applyNumberFormat="1" applyFont="1" applyFill="1" applyBorder="1"/>
    <xf numFmtId="0" fontId="5" fillId="0" borderId="15" xfId="0" applyFont="1" applyFill="1" applyBorder="1"/>
    <xf numFmtId="3" fontId="5" fillId="0" borderId="10" xfId="0" applyNumberFormat="1" applyFont="1" applyFill="1" applyBorder="1"/>
    <xf numFmtId="17" fontId="43" fillId="0" borderId="11" xfId="0" applyNumberFormat="1" applyFont="1" applyFill="1" applyBorder="1"/>
    <xf numFmtId="3" fontId="18" fillId="4" borderId="0" xfId="0" applyNumberFormat="1" applyFont="1" applyFill="1" applyBorder="1"/>
    <xf numFmtId="3" fontId="23" fillId="4" borderId="0" xfId="0" applyNumberFormat="1" applyFont="1" applyFill="1" applyBorder="1"/>
    <xf numFmtId="3" fontId="24" fillId="5" borderId="0" xfId="0" applyNumberFormat="1" applyFont="1" applyFill="1" applyBorder="1"/>
    <xf numFmtId="3" fontId="3" fillId="5" borderId="0" xfId="0" applyNumberFormat="1" applyFont="1" applyFill="1" applyBorder="1"/>
    <xf numFmtId="0" fontId="5" fillId="0" borderId="0" xfId="0" applyFont="1" applyFill="1" applyBorder="1"/>
    <xf numFmtId="3" fontId="5" fillId="0" borderId="13" xfId="0" applyNumberFormat="1" applyFont="1" applyFill="1" applyBorder="1"/>
    <xf numFmtId="0" fontId="3" fillId="0" borderId="0" xfId="0" applyFont="1" applyFill="1" applyBorder="1"/>
    <xf numFmtId="17" fontId="43" fillId="0" borderId="12" xfId="0" applyNumberFormat="1" applyFont="1" applyFill="1" applyBorder="1"/>
    <xf numFmtId="3" fontId="18" fillId="4" borderId="16" xfId="0" applyNumberFormat="1" applyFont="1" applyFill="1" applyBorder="1"/>
    <xf numFmtId="3" fontId="23" fillId="4" borderId="16" xfId="0" applyNumberFormat="1" applyFont="1" applyFill="1" applyBorder="1"/>
    <xf numFmtId="3" fontId="0" fillId="0" borderId="16" xfId="0" applyNumberFormat="1" applyFill="1" applyBorder="1"/>
    <xf numFmtId="3" fontId="24" fillId="5" borderId="16" xfId="0" applyNumberFormat="1" applyFont="1" applyFill="1" applyBorder="1"/>
    <xf numFmtId="0" fontId="5" fillId="0" borderId="16" xfId="0" quotePrefix="1" applyFont="1" applyFill="1" applyBorder="1"/>
    <xf numFmtId="3" fontId="3" fillId="5" borderId="16" xfId="0" applyNumberFormat="1" applyFont="1" applyFill="1" applyBorder="1"/>
    <xf numFmtId="0" fontId="0" fillId="0" borderId="16" xfId="0" applyFill="1" applyBorder="1"/>
    <xf numFmtId="0" fontId="5" fillId="0" borderId="16" xfId="0" applyFont="1" applyFill="1" applyBorder="1"/>
    <xf numFmtId="3" fontId="5" fillId="0" borderId="14" xfId="0" applyNumberFormat="1" applyFont="1" applyFill="1" applyBorder="1"/>
    <xf numFmtId="0" fontId="4" fillId="0" borderId="0" xfId="4" applyFont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47" fillId="0" borderId="0" xfId="4" applyFont="1" applyAlignment="1">
      <alignment horizontal="center" wrapText="1"/>
    </xf>
    <xf numFmtId="0" fontId="4" fillId="0" borderId="0" xfId="4" applyFont="1" applyFill="1" applyAlignment="1">
      <alignment wrapText="1"/>
    </xf>
    <xf numFmtId="0" fontId="4" fillId="0" borderId="0" xfId="4" applyFont="1" applyFill="1" applyAlignment="1">
      <alignment vertical="top"/>
    </xf>
    <xf numFmtId="0" fontId="2" fillId="0" borderId="0" xfId="4" applyAlignment="1">
      <alignment horizontal="left" vertical="top"/>
    </xf>
    <xf numFmtId="0" fontId="2" fillId="0" borderId="0" xfId="4" quotePrefix="1" applyAlignment="1">
      <alignment horizontal="left" vertical="top"/>
    </xf>
    <xf numFmtId="0" fontId="2" fillId="0" borderId="0" xfId="4" applyAlignment="1">
      <alignment vertical="center"/>
    </xf>
    <xf numFmtId="0" fontId="4" fillId="0" borderId="0" xfId="4" applyFont="1" applyFill="1" applyAlignment="1">
      <alignment vertical="center" wrapText="1"/>
    </xf>
    <xf numFmtId="0" fontId="2" fillId="0" borderId="0" xfId="4" applyAlignment="1"/>
    <xf numFmtId="7" fontId="10" fillId="0" borderId="18" xfId="2" applyNumberFormat="1" applyFont="1" applyFill="1" applyBorder="1"/>
    <xf numFmtId="9" fontId="0" fillId="0" borderId="0" xfId="3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8" fontId="2" fillId="0" borderId="0" xfId="4" applyNumberFormat="1"/>
    <xf numFmtId="22" fontId="6" fillId="0" borderId="20" xfId="4" applyNumberFormat="1" applyFont="1" applyBorder="1" applyAlignment="1">
      <alignment horizontal="center" wrapText="1"/>
    </xf>
    <xf numFmtId="22" fontId="6" fillId="0" borderId="21" xfId="4" applyNumberFormat="1" applyFont="1" applyBorder="1" applyAlignment="1">
      <alignment horizontal="center" wrapText="1"/>
    </xf>
    <xf numFmtId="7" fontId="10" fillId="9" borderId="18" xfId="2" applyNumberFormat="1" applyFont="1" applyFill="1" applyBorder="1"/>
    <xf numFmtId="0" fontId="7" fillId="0" borderId="0" xfId="0" applyFont="1" applyFill="1" applyAlignment="1">
      <alignment horizontal="center"/>
    </xf>
    <xf numFmtId="185" fontId="52" fillId="9" borderId="18" xfId="4" applyNumberFormat="1" applyFont="1" applyFill="1" applyBorder="1"/>
    <xf numFmtId="0" fontId="2" fillId="0" borderId="0" xfId="4" quotePrefix="1" applyAlignment="1"/>
    <xf numFmtId="10" fontId="46" fillId="0" borderId="0" xfId="3" quotePrefix="1" applyNumberFormat="1" applyFont="1" applyFill="1" applyAlignment="1">
      <alignment horizontal="right"/>
    </xf>
    <xf numFmtId="10" fontId="46" fillId="0" borderId="0" xfId="3" applyNumberFormat="1" applyFont="1" applyFill="1"/>
    <xf numFmtId="10" fontId="46" fillId="0" borderId="15" xfId="3" quotePrefix="1" applyNumberFormat="1" applyFont="1" applyFill="1" applyBorder="1" applyAlignment="1">
      <alignment horizontal="right"/>
    </xf>
    <xf numFmtId="9" fontId="12" fillId="0" borderId="15" xfId="3" quotePrefix="1" applyFont="1" applyFill="1" applyBorder="1" applyAlignment="1">
      <alignment horizontal="center"/>
    </xf>
    <xf numFmtId="10" fontId="46" fillId="0" borderId="15" xfId="3" applyNumberFormat="1" applyFont="1" applyFill="1" applyBorder="1"/>
    <xf numFmtId="10" fontId="46" fillId="0" borderId="0" xfId="3" quotePrefix="1" applyNumberFormat="1" applyFont="1" applyFill="1" applyBorder="1" applyAlignment="1">
      <alignment horizontal="right"/>
    </xf>
    <xf numFmtId="9" fontId="12" fillId="0" borderId="0" xfId="3" quotePrefix="1" applyFont="1" applyFill="1" applyBorder="1" applyAlignment="1">
      <alignment horizontal="center"/>
    </xf>
    <xf numFmtId="10" fontId="46" fillId="0" borderId="0" xfId="3" applyNumberFormat="1" applyFont="1" applyFill="1" applyBorder="1"/>
    <xf numFmtId="10" fontId="46" fillId="0" borderId="16" xfId="3" quotePrefix="1" applyNumberFormat="1" applyFont="1" applyFill="1" applyBorder="1" applyAlignment="1">
      <alignment horizontal="right"/>
    </xf>
    <xf numFmtId="9" fontId="12" fillId="0" borderId="16" xfId="3" quotePrefix="1" applyFont="1" applyFill="1" applyBorder="1" applyAlignment="1">
      <alignment horizontal="center"/>
    </xf>
    <xf numFmtId="10" fontId="46" fillId="0" borderId="16" xfId="3" applyNumberFormat="1" applyFont="1" applyFill="1" applyBorder="1"/>
    <xf numFmtId="3" fontId="46" fillId="5" borderId="0" xfId="0" applyNumberFormat="1" applyFont="1" applyFill="1"/>
    <xf numFmtId="3" fontId="46" fillId="5" borderId="15" xfId="0" applyNumberFormat="1" applyFont="1" applyFill="1" applyBorder="1"/>
    <xf numFmtId="3" fontId="46" fillId="5" borderId="0" xfId="0" applyNumberFormat="1" applyFont="1" applyFill="1" applyBorder="1"/>
    <xf numFmtId="3" fontId="46" fillId="5" borderId="16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 applyAlignment="1">
      <alignment horizontal="left"/>
    </xf>
    <xf numFmtId="167" fontId="0" fillId="0" borderId="0" xfId="0" applyNumberFormat="1" applyFill="1"/>
    <xf numFmtId="0" fontId="4" fillId="0" borderId="0" xfId="4" applyFont="1" applyFill="1" applyAlignment="1">
      <alignment vertical="center"/>
    </xf>
    <xf numFmtId="0" fontId="13" fillId="0" borderId="0" xfId="4" applyFont="1" applyFill="1" applyAlignment="1">
      <alignment vertical="center" wrapText="1"/>
    </xf>
    <xf numFmtId="165" fontId="48" fillId="0" borderId="0" xfId="0" applyNumberFormat="1" applyFont="1" applyFill="1" applyBorder="1"/>
    <xf numFmtId="179" fontId="46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" fontId="46" fillId="0" borderId="18" xfId="3" applyNumberFormat="1" applyFont="1" applyFill="1" applyBorder="1"/>
    <xf numFmtId="167" fontId="5" fillId="0" borderId="0" xfId="0" applyNumberFormat="1" applyFont="1" applyFill="1"/>
    <xf numFmtId="179" fontId="3" fillId="0" borderId="0" xfId="0" applyNumberFormat="1" applyFont="1" applyFill="1"/>
    <xf numFmtId="4" fontId="5" fillId="0" borderId="9" xfId="0" applyNumberFormat="1" applyFont="1" applyFill="1" applyBorder="1"/>
    <xf numFmtId="167" fontId="5" fillId="0" borderId="15" xfId="0" applyNumberFormat="1" applyFont="1" applyFill="1" applyBorder="1"/>
    <xf numFmtId="179" fontId="3" fillId="0" borderId="10" xfId="0" applyNumberFormat="1" applyFont="1" applyFill="1" applyBorder="1"/>
    <xf numFmtId="4" fontId="5" fillId="0" borderId="11" xfId="0" applyNumberFormat="1" applyFont="1" applyFill="1" applyBorder="1"/>
    <xf numFmtId="179" fontId="3" fillId="0" borderId="13" xfId="0" applyNumberFormat="1" applyFont="1" applyFill="1" applyBorder="1"/>
    <xf numFmtId="9" fontId="12" fillId="0" borderId="13" xfId="3" applyNumberFormat="1" applyFont="1" applyFill="1" applyBorder="1"/>
    <xf numFmtId="4" fontId="5" fillId="0" borderId="12" xfId="0" applyNumberFormat="1" applyFont="1" applyFill="1" applyBorder="1"/>
    <xf numFmtId="167" fontId="0" fillId="0" borderId="16" xfId="0" applyNumberFormat="1" applyFill="1" applyBorder="1"/>
    <xf numFmtId="179" fontId="3" fillId="0" borderId="14" xfId="0" applyNumberFormat="1" applyFont="1" applyFill="1" applyBorder="1"/>
    <xf numFmtId="9" fontId="12" fillId="0" borderId="14" xfId="3" applyNumberFormat="1" applyFont="1" applyFill="1" applyBorder="1"/>
    <xf numFmtId="171" fontId="2" fillId="0" borderId="0" xfId="0" applyNumberFormat="1" applyFont="1" applyFill="1"/>
    <xf numFmtId="2" fontId="2" fillId="0" borderId="0" xfId="4" applyNumberFormat="1" applyAlignment="1">
      <alignment horizontal="right"/>
    </xf>
    <xf numFmtId="185" fontId="46" fillId="0" borderId="0" xfId="4" applyNumberFormat="1" applyFont="1" applyAlignment="1">
      <alignment horizontal="center" vertical="top"/>
    </xf>
    <xf numFmtId="0" fontId="2" fillId="0" borderId="0" xfId="0" quotePrefix="1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horizontal="left" vertical="top"/>
    </xf>
    <xf numFmtId="185" fontId="52" fillId="0" borderId="0" xfId="4" applyNumberFormat="1" applyFont="1" applyBorder="1" applyAlignment="1">
      <alignment horizontal="center" vertical="top"/>
    </xf>
    <xf numFmtId="185" fontId="2" fillId="0" borderId="0" xfId="4" applyNumberFormat="1" applyFont="1" applyBorder="1" applyAlignment="1">
      <alignment horizontal="center" vertical="top"/>
    </xf>
    <xf numFmtId="170" fontId="2" fillId="0" borderId="0" xfId="4" applyNumberFormat="1" applyFont="1" applyFill="1" applyAlignment="1">
      <alignment horizontal="center" vertical="top"/>
    </xf>
    <xf numFmtId="3" fontId="46" fillId="0" borderId="0" xfId="4" applyNumberFormat="1" applyFont="1" applyBorder="1" applyAlignment="1">
      <alignment horizontal="center" vertical="top"/>
    </xf>
    <xf numFmtId="184" fontId="2" fillId="0" borderId="0" xfId="4" applyNumberFormat="1" applyFont="1" applyAlignment="1">
      <alignment horizontal="center" vertical="top"/>
    </xf>
    <xf numFmtId="1" fontId="2" fillId="0" borderId="0" xfId="4" applyNumberFormat="1" applyFont="1" applyAlignment="1">
      <alignment horizontal="center" vertical="top"/>
    </xf>
    <xf numFmtId="3" fontId="2" fillId="0" borderId="0" xfId="4" applyNumberFormat="1" applyFont="1" applyAlignment="1">
      <alignment horizontal="center" vertical="top"/>
    </xf>
    <xf numFmtId="174" fontId="2" fillId="0" borderId="0" xfId="3" applyNumberFormat="1" applyAlignment="1">
      <alignment horizontal="center" vertical="top"/>
    </xf>
    <xf numFmtId="184" fontId="2" fillId="0" borderId="0" xfId="4" applyNumberFormat="1" applyAlignment="1">
      <alignment horizontal="center" vertical="top"/>
    </xf>
    <xf numFmtId="3" fontId="2" fillId="0" borderId="0" xfId="4" applyNumberFormat="1" applyFill="1" applyAlignment="1">
      <alignment horizontal="center" vertical="top"/>
    </xf>
    <xf numFmtId="37" fontId="2" fillId="0" borderId="0" xfId="1" applyNumberFormat="1" applyAlignment="1">
      <alignment horizontal="center" vertical="top"/>
    </xf>
    <xf numFmtId="185" fontId="2" fillId="0" borderId="0" xfId="4" applyNumberFormat="1" applyAlignment="1">
      <alignment horizontal="center" vertical="top" wrapText="1"/>
    </xf>
    <xf numFmtId="185" fontId="52" fillId="0" borderId="0" xfId="4" applyNumberFormat="1" applyFont="1" applyAlignment="1">
      <alignment horizontal="center" vertical="top"/>
    </xf>
    <xf numFmtId="0" fontId="2" fillId="0" borderId="0" xfId="4" quotePrefix="1" applyFont="1" applyAlignment="1">
      <alignment vertical="top" wrapText="1"/>
    </xf>
    <xf numFmtId="0" fontId="13" fillId="0" borderId="0" xfId="4" applyFont="1" applyFill="1" applyAlignment="1">
      <alignment vertical="top" wrapText="1"/>
    </xf>
    <xf numFmtId="0" fontId="2" fillId="6" borderId="0" xfId="4" applyFill="1"/>
    <xf numFmtId="8" fontId="2" fillId="6" borderId="0" xfId="4" applyNumberFormat="1" applyFill="1"/>
    <xf numFmtId="0" fontId="2" fillId="0" borderId="0" xfId="4" applyFill="1" applyAlignment="1">
      <alignment wrapText="1"/>
    </xf>
    <xf numFmtId="185" fontId="52" fillId="0" borderId="0" xfId="4" applyNumberFormat="1" applyFont="1" applyFill="1" applyAlignment="1">
      <alignment horizontal="center" vertical="top"/>
    </xf>
    <xf numFmtId="43" fontId="0" fillId="0" borderId="0" xfId="0" applyNumberFormat="1" applyFill="1"/>
    <xf numFmtId="9" fontId="54" fillId="0" borderId="0" xfId="3" applyFont="1" applyFill="1" applyBorder="1"/>
    <xf numFmtId="0" fontId="54" fillId="0" borderId="0" xfId="0" applyFont="1" applyFill="1" applyBorder="1"/>
    <xf numFmtId="0" fontId="7" fillId="0" borderId="0" xfId="0" applyFont="1" applyFill="1" applyAlignment="1">
      <alignment horizontal="center"/>
    </xf>
    <xf numFmtId="185" fontId="52" fillId="6" borderId="0" xfId="4" applyNumberFormat="1" applyFont="1" applyFill="1" applyBorder="1" applyAlignment="1">
      <alignment horizontal="center" vertical="top"/>
    </xf>
    <xf numFmtId="185" fontId="46" fillId="6" borderId="0" xfId="4" applyNumberFormat="1" applyFont="1" applyFill="1" applyAlignment="1">
      <alignment horizontal="center" vertical="top"/>
    </xf>
    <xf numFmtId="169" fontId="0" fillId="0" borderId="0" xfId="0" applyNumberFormat="1" applyFill="1" applyBorder="1"/>
    <xf numFmtId="44" fontId="2" fillId="0" borderId="0" xfId="2" applyFont="1" applyFill="1" applyBorder="1"/>
    <xf numFmtId="169" fontId="21" fillId="4" borderId="0" xfId="0" applyNumberFormat="1" applyFont="1" applyFill="1" applyBorder="1"/>
    <xf numFmtId="44" fontId="3" fillId="0" borderId="0" xfId="2" applyFont="1" applyFill="1" applyBorder="1"/>
    <xf numFmtId="169" fontId="4" fillId="4" borderId="0" xfId="0" applyNumberFormat="1" applyFont="1" applyFill="1" applyBorder="1"/>
    <xf numFmtId="44" fontId="3" fillId="0" borderId="0" xfId="2" quotePrefix="1" applyFont="1" applyFill="1" applyBorder="1"/>
    <xf numFmtId="171" fontId="3" fillId="0" borderId="0" xfId="2" quotePrefix="1" applyNumberFormat="1" applyFont="1" applyFill="1" applyBorder="1"/>
    <xf numFmtId="0" fontId="0" fillId="0" borderId="0" xfId="0" applyFill="1" applyBorder="1" applyAlignment="1">
      <alignment horizontal="left"/>
    </xf>
    <xf numFmtId="169" fontId="0" fillId="0" borderId="0" xfId="3" applyNumberFormat="1" applyFont="1" applyFill="1" applyBorder="1"/>
    <xf numFmtId="10" fontId="46" fillId="8" borderId="0" xfId="0" applyNumberFormat="1" applyFont="1" applyFill="1" applyBorder="1"/>
    <xf numFmtId="169" fontId="46" fillId="8" borderId="0" xfId="0" applyNumberFormat="1" applyFont="1" applyFill="1" applyBorder="1"/>
    <xf numFmtId="169" fontId="46" fillId="0" borderId="0" xfId="0" applyNumberFormat="1" applyFont="1" applyFill="1" applyBorder="1"/>
    <xf numFmtId="169" fontId="46" fillId="0" borderId="0" xfId="3" applyNumberFormat="1" applyFont="1" applyFill="1" applyBorder="1"/>
    <xf numFmtId="188" fontId="0" fillId="0" borderId="0" xfId="3" applyNumberFormat="1" applyFont="1" applyFill="1" applyBorder="1"/>
    <xf numFmtId="169" fontId="56" fillId="4" borderId="0" xfId="8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171" fontId="2" fillId="0" borderId="0" xfId="2" quotePrefix="1" applyNumberFormat="1" applyFont="1" applyFill="1" applyBorder="1"/>
    <xf numFmtId="184" fontId="0" fillId="0" borderId="0" xfId="0" applyNumberFormat="1" applyFill="1" applyBorder="1" applyAlignment="1">
      <alignment horizontal="center"/>
    </xf>
    <xf numFmtId="0" fontId="46" fillId="0" borderId="0" xfId="0" applyFont="1" applyFill="1" applyBorder="1"/>
    <xf numFmtId="0" fontId="48" fillId="0" borderId="0" xfId="0" applyFont="1" applyFill="1" applyBorder="1" applyAlignment="1">
      <alignment horizontal="right"/>
    </xf>
    <xf numFmtId="3" fontId="48" fillId="0" borderId="0" xfId="0" applyNumberFormat="1" applyFont="1" applyFill="1" applyBorder="1"/>
    <xf numFmtId="166" fontId="48" fillId="7" borderId="0" xfId="0" applyNumberFormat="1" applyFont="1" applyFill="1" applyBorder="1"/>
    <xf numFmtId="185" fontId="0" fillId="0" borderId="0" xfId="0" applyNumberFormat="1" applyFill="1" applyBorder="1"/>
    <xf numFmtId="7" fontId="0" fillId="0" borderId="0" xfId="0" applyNumberFormat="1" applyFill="1" applyBorder="1"/>
    <xf numFmtId="0" fontId="49" fillId="0" borderId="0" xfId="0" applyFont="1" applyFill="1" applyBorder="1"/>
    <xf numFmtId="184" fontId="49" fillId="0" borderId="0" xfId="0" applyNumberFormat="1" applyFont="1" applyFill="1" applyBorder="1"/>
    <xf numFmtId="10" fontId="4" fillId="0" borderId="0" xfId="3" applyNumberFormat="1" applyFont="1" applyFill="1" applyBorder="1" applyAlignment="1">
      <alignment horizontal="right"/>
    </xf>
    <xf numFmtId="188" fontId="51" fillId="0" borderId="0" xfId="3" applyNumberFormat="1" applyFont="1" applyFill="1" applyBorder="1"/>
    <xf numFmtId="0" fontId="51" fillId="0" borderId="0" xfId="0" quotePrefix="1" applyFont="1" applyFill="1" applyBorder="1"/>
    <xf numFmtId="184" fontId="4" fillId="0" borderId="0" xfId="0" applyNumberFormat="1" applyFont="1" applyFill="1" applyBorder="1"/>
    <xf numFmtId="9" fontId="0" fillId="0" borderId="0" xfId="2" applyNumberFormat="1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6" fontId="3" fillId="0" borderId="0" xfId="1" quotePrefix="1" applyNumberFormat="1" applyFont="1" applyFill="1"/>
    <xf numFmtId="176" fontId="4" fillId="0" borderId="0" xfId="1" quotePrefix="1" applyNumberFormat="1" applyFont="1" applyFill="1"/>
    <xf numFmtId="44" fontId="0" fillId="0" borderId="0" xfId="2" quotePrefix="1" applyFont="1" applyFill="1" applyBorder="1"/>
    <xf numFmtId="7" fontId="46" fillId="0" borderId="18" xfId="4" applyNumberFormat="1" applyFont="1" applyFill="1" applyBorder="1"/>
    <xf numFmtId="7" fontId="46" fillId="0" borderId="18" xfId="2" applyNumberFormat="1" applyFont="1" applyFill="1" applyBorder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2" fillId="0" borderId="11" xfId="4" applyFont="1" applyFill="1" applyBorder="1" applyAlignment="1">
      <alignment horizontal="left" wrapText="1"/>
    </xf>
    <xf numFmtId="22" fontId="7" fillId="0" borderId="0" xfId="4" applyNumberFormat="1" applyFont="1" applyAlignment="1">
      <alignment horizontal="center"/>
    </xf>
    <xf numFmtId="22" fontId="29" fillId="0" borderId="0" xfId="4" applyNumberFormat="1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55" fillId="0" borderId="0" xfId="4" applyFont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2" fillId="0" borderId="0" xfId="4" applyFont="1" applyFill="1" applyAlignment="1">
      <alignment horizontal="left" vertical="top" wrapText="1"/>
    </xf>
    <xf numFmtId="0" fontId="2" fillId="0" borderId="0" xfId="4" applyAlignment="1">
      <alignment horizontal="left" vertical="top" wrapText="1"/>
    </xf>
    <xf numFmtId="0" fontId="2" fillId="0" borderId="0" xfId="4" quotePrefix="1" applyFont="1" applyAlignment="1">
      <alignment horizontal="left" vertical="top" wrapText="1"/>
    </xf>
  </cellXfs>
  <cellStyles count="9">
    <cellStyle name="Comma" xfId="1" builtinId="3"/>
    <cellStyle name="Comma 2" xfId="7" xr:uid="{E69C12F5-BA1A-4988-994F-6DED097B836C}"/>
    <cellStyle name="Currency" xfId="2" builtinId="4"/>
    <cellStyle name="Normal" xfId="0" builtinId="0"/>
    <cellStyle name="Normal 2" xfId="4" xr:uid="{00000000-0005-0000-0000-000003000000}"/>
    <cellStyle name="Normal 2 4" xfId="8" xr:uid="{10C07421-F444-4C3C-9780-C2FC7B4CF7ED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00FF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47"/>
  <sheetViews>
    <sheetView tabSelected="1" view="pageBreakPreview" zoomScale="80" zoomScaleNormal="60" zoomScaleSheetLayoutView="80" workbookViewId="0"/>
  </sheetViews>
  <sheetFormatPr defaultColWidth="9.08984375" defaultRowHeight="13" x14ac:dyDescent="0.6"/>
  <cols>
    <col min="1" max="1" width="16.08984375" style="12" customWidth="1"/>
    <col min="2" max="2" width="27.90625" style="13" customWidth="1"/>
    <col min="3" max="3" width="14.54296875" style="13" customWidth="1"/>
    <col min="4" max="4" width="12.54296875" style="13" customWidth="1"/>
    <col min="5" max="5" width="16.54296875" style="13" customWidth="1"/>
    <col min="6" max="6" width="16" style="13" customWidth="1"/>
    <col min="7" max="7" width="16.54296875" style="13" customWidth="1"/>
    <col min="8" max="8" width="15.453125" style="13" customWidth="1"/>
    <col min="9" max="9" width="14.08984375" style="13" customWidth="1"/>
    <col min="10" max="10" width="16.453125" style="13" customWidth="1"/>
    <col min="11" max="11" width="12.54296875" style="13" customWidth="1"/>
    <col min="12" max="12" width="16.54296875" style="13" customWidth="1"/>
    <col min="13" max="13" width="21.81640625" style="13" hidden="1" customWidth="1"/>
    <col min="14" max="14" width="15.08984375" style="13" hidden="1" customWidth="1"/>
    <col min="15" max="16" width="12.453125" style="13" hidden="1" customWidth="1"/>
    <col min="17" max="17" width="13.54296875" style="13" hidden="1" customWidth="1"/>
    <col min="18" max="18" width="14.453125" style="13" hidden="1" customWidth="1"/>
    <col min="19" max="19" width="14.90625" style="13" hidden="1" customWidth="1"/>
    <col min="20" max="20" width="15.08984375" style="13" hidden="1" customWidth="1"/>
    <col min="21" max="21" width="14.08984375" style="13" hidden="1" customWidth="1"/>
    <col min="22" max="22" width="12.453125" style="13" hidden="1" customWidth="1"/>
    <col min="23" max="23" width="13.453125" style="13" hidden="1" customWidth="1"/>
    <col min="24" max="24" width="15.453125" style="13" hidden="1" customWidth="1"/>
    <col min="25" max="25" width="10.54296875" style="13" hidden="1" customWidth="1"/>
    <col min="26" max="26" width="11.54296875" style="13" hidden="1" customWidth="1"/>
    <col min="27" max="27" width="12.54296875" style="13" hidden="1" customWidth="1"/>
    <col min="28" max="28" width="13.453125" style="13" hidden="1" customWidth="1"/>
    <col min="29" max="29" width="11" style="13" hidden="1" customWidth="1"/>
    <col min="30" max="30" width="14.08984375" style="13" hidden="1" customWidth="1"/>
    <col min="31" max="31" width="9.90625" style="13" hidden="1" customWidth="1"/>
    <col min="32" max="32" width="9.08984375" style="13" hidden="1" customWidth="1"/>
    <col min="33" max="33" width="12" style="13" hidden="1" customWidth="1"/>
    <col min="34" max="36" width="9.08984375" style="13" hidden="1" customWidth="1"/>
    <col min="37" max="37" width="9.08984375" style="13" customWidth="1"/>
    <col min="38" max="38" width="9.453125" style="13" customWidth="1"/>
    <col min="39" max="46" width="9.08984375" style="13" customWidth="1"/>
    <col min="47" max="48" width="10.90625" style="13" customWidth="1"/>
    <col min="49" max="49" width="12.453125" style="13" customWidth="1"/>
    <col min="50" max="50" width="10.90625" style="13" customWidth="1"/>
    <col min="51" max="51" width="11.453125" style="13" customWidth="1"/>
    <col min="52" max="16384" width="9.08984375" style="13"/>
  </cols>
  <sheetData>
    <row r="1" spans="1:26" ht="15.5" x14ac:dyDescent="0.7">
      <c r="B1" s="578" t="s">
        <v>69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1:26" ht="15.5" x14ac:dyDescent="0.7">
      <c r="B2" s="578" t="s">
        <v>187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26" ht="15.5" x14ac:dyDescent="0.7">
      <c r="B3" s="578" t="str">
        <f>'BGS PTY21 Cost Alloc'!$B$3</f>
        <v>2023 BGS Auction Cost and Bid Factor Tables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</row>
    <row r="4" spans="1:26" ht="15.5" x14ac:dyDescent="0.7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5" x14ac:dyDescent="0.7">
      <c r="B5" s="579" t="s">
        <v>340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</row>
    <row r="6" spans="1:26" x14ac:dyDescent="0.6">
      <c r="L6" s="120" t="s">
        <v>251</v>
      </c>
    </row>
    <row r="8" spans="1:26" ht="15.5" x14ac:dyDescent="0.7">
      <c r="B8" s="14" t="s">
        <v>50</v>
      </c>
    </row>
    <row r="9" spans="1:26" x14ac:dyDescent="0.6">
      <c r="A9" s="15"/>
      <c r="B9" s="16" t="s">
        <v>45</v>
      </c>
    </row>
    <row r="10" spans="1:26" x14ac:dyDescent="0.6">
      <c r="E10" s="17" t="str">
        <f>'BGS PTY21 Cost Alloc'!$E$10</f>
        <v>Based on an average of 2019 through 2021 Load Profile Information</v>
      </c>
    </row>
    <row r="11" spans="1:26" x14ac:dyDescent="0.6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" x14ac:dyDescent="0.6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6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6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6">
      <c r="A15" s="22"/>
      <c r="B15" s="28" t="s">
        <v>1</v>
      </c>
      <c r="C15" s="29"/>
      <c r="D15" s="29"/>
      <c r="E15" s="153">
        <f>'BGS PTY21 Cost Alloc'!E15</f>
        <v>0.47970000000000002</v>
      </c>
      <c r="F15" s="153">
        <f>'BGS PTY21 Cost Alloc'!F15</f>
        <v>0.501</v>
      </c>
      <c r="G15" s="153">
        <f>'BGS PTY21 Cost Alloc'!G15</f>
        <v>0.56310000000000004</v>
      </c>
      <c r="H15" s="153">
        <f>'BGS PTY21 Cost Alloc'!H15</f>
        <v>0.53949999999999998</v>
      </c>
      <c r="I15" s="153">
        <f>'BGS PTY21 Cost Alloc'!I15</f>
        <v>0.3347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0.52029999999999998</v>
      </c>
      <c r="R15" s="32">
        <f t="shared" si="0"/>
        <v>0.499</v>
      </c>
      <c r="S15" s="32">
        <f t="shared" si="0"/>
        <v>0.43689999999999996</v>
      </c>
      <c r="T15" s="32">
        <f t="shared" si="0"/>
        <v>0.46050000000000002</v>
      </c>
      <c r="U15" s="32">
        <f t="shared" si="0"/>
        <v>0.6653</v>
      </c>
      <c r="V15" s="32"/>
      <c r="W15" s="32"/>
      <c r="X15" s="32"/>
      <c r="Y15" s="32"/>
      <c r="Z15" s="32"/>
    </row>
    <row r="16" spans="1:26" x14ac:dyDescent="0.6">
      <c r="A16" s="22"/>
      <c r="B16" s="28" t="s">
        <v>2</v>
      </c>
      <c r="C16" s="29"/>
      <c r="D16" s="29"/>
      <c r="E16" s="153">
        <f>'BGS PTY21 Cost Alloc'!E16</f>
        <v>0.47260000000000002</v>
      </c>
      <c r="F16" s="153">
        <f>'BGS PTY21 Cost Alloc'!F16</f>
        <v>0.49969999999999998</v>
      </c>
      <c r="G16" s="153">
        <f>'BGS PTY21 Cost Alloc'!G16</f>
        <v>0.5635</v>
      </c>
      <c r="H16" s="153">
        <f>'BGS PTY21 Cost Alloc'!H16</f>
        <v>0.54</v>
      </c>
      <c r="I16" s="153">
        <f>'BGS PTY21 Cost Alloc'!I16</f>
        <v>0.30930000000000002</v>
      </c>
      <c r="J16" s="29"/>
      <c r="K16" s="30"/>
      <c r="L16" s="30"/>
      <c r="M16" s="30"/>
      <c r="N16" s="31"/>
      <c r="O16" s="32"/>
      <c r="P16" s="32"/>
      <c r="Q16" s="32">
        <f t="shared" si="0"/>
        <v>0.52739999999999998</v>
      </c>
      <c r="R16" s="32">
        <f t="shared" si="0"/>
        <v>0.50029999999999997</v>
      </c>
      <c r="S16" s="32">
        <f t="shared" si="0"/>
        <v>0.4365</v>
      </c>
      <c r="T16" s="32">
        <f t="shared" si="0"/>
        <v>0.45999999999999996</v>
      </c>
      <c r="U16" s="32">
        <f t="shared" si="0"/>
        <v>0.69069999999999998</v>
      </c>
      <c r="V16" s="32"/>
      <c r="W16" s="32"/>
      <c r="X16" s="32"/>
      <c r="Y16" s="32"/>
      <c r="Z16" s="32"/>
    </row>
    <row r="17" spans="1:26" x14ac:dyDescent="0.6">
      <c r="A17" s="22"/>
      <c r="B17" s="28" t="s">
        <v>3</v>
      </c>
      <c r="C17" s="29"/>
      <c r="D17" s="29"/>
      <c r="E17" s="153">
        <f>'BGS PTY21 Cost Alloc'!E17</f>
        <v>0.48060000000000003</v>
      </c>
      <c r="F17" s="153">
        <f>'BGS PTY21 Cost Alloc'!F17</f>
        <v>0.50870000000000004</v>
      </c>
      <c r="G17" s="153">
        <f>'BGS PTY21 Cost Alloc'!G17</f>
        <v>0.58779999999999999</v>
      </c>
      <c r="H17" s="153">
        <f>'BGS PTY21 Cost Alloc'!H17</f>
        <v>0.54120000000000001</v>
      </c>
      <c r="I17" s="153">
        <f>'BGS PTY21 Cost Alloc'!I17</f>
        <v>0.30869999999999997</v>
      </c>
      <c r="J17" s="29"/>
      <c r="K17" s="30"/>
      <c r="L17" s="30"/>
      <c r="M17" s="30"/>
      <c r="N17" s="31"/>
      <c r="O17" s="32"/>
      <c r="P17" s="32"/>
      <c r="Q17" s="32">
        <f t="shared" si="0"/>
        <v>0.51939999999999997</v>
      </c>
      <c r="R17" s="32">
        <f t="shared" si="0"/>
        <v>0.49129999999999996</v>
      </c>
      <c r="S17" s="32">
        <f t="shared" si="0"/>
        <v>0.41220000000000001</v>
      </c>
      <c r="T17" s="32">
        <f t="shared" si="0"/>
        <v>0.45879999999999999</v>
      </c>
      <c r="U17" s="32">
        <f t="shared" si="0"/>
        <v>0.69130000000000003</v>
      </c>
      <c r="V17" s="32"/>
      <c r="W17" s="32"/>
      <c r="X17" s="32"/>
      <c r="Y17" s="32"/>
      <c r="Z17" s="32"/>
    </row>
    <row r="18" spans="1:26" x14ac:dyDescent="0.6">
      <c r="A18" s="22"/>
      <c r="B18" s="28" t="s">
        <v>4</v>
      </c>
      <c r="C18" s="29"/>
      <c r="D18" s="29"/>
      <c r="E18" s="153">
        <f>'BGS PTY21 Cost Alloc'!E18</f>
        <v>0.5101</v>
      </c>
      <c r="F18" s="153">
        <f>'BGS PTY21 Cost Alloc'!F18</f>
        <v>0.53190000000000004</v>
      </c>
      <c r="G18" s="153">
        <f>'BGS PTY21 Cost Alloc'!G18</f>
        <v>0.60499999999999998</v>
      </c>
      <c r="H18" s="153">
        <f>'BGS PTY21 Cost Alloc'!H18</f>
        <v>0.55989999999999995</v>
      </c>
      <c r="I18" s="153">
        <f>'BGS PTY21 Cost Alloc'!I18</f>
        <v>0.32129999999999997</v>
      </c>
      <c r="J18" s="29"/>
      <c r="K18" s="30"/>
      <c r="L18" s="30"/>
      <c r="M18" s="30"/>
      <c r="N18" s="31"/>
      <c r="O18" s="32"/>
      <c r="P18" s="32"/>
      <c r="Q18" s="32">
        <f t="shared" si="0"/>
        <v>0.4899</v>
      </c>
      <c r="R18" s="32">
        <f t="shared" si="0"/>
        <v>0.46809999999999996</v>
      </c>
      <c r="S18" s="32">
        <f t="shared" si="0"/>
        <v>0.39500000000000002</v>
      </c>
      <c r="T18" s="32">
        <f t="shared" si="0"/>
        <v>0.44010000000000005</v>
      </c>
      <c r="U18" s="32">
        <f t="shared" si="0"/>
        <v>0.67870000000000008</v>
      </c>
      <c r="V18" s="32"/>
      <c r="W18" s="32"/>
      <c r="X18" s="32"/>
      <c r="Y18" s="32"/>
      <c r="Z18" s="32"/>
    </row>
    <row r="19" spans="1:26" x14ac:dyDescent="0.6">
      <c r="A19" s="22"/>
      <c r="B19" s="28" t="s">
        <v>5</v>
      </c>
      <c r="C19" s="29"/>
      <c r="D19" s="29"/>
      <c r="E19" s="153">
        <f>'BGS PTY21 Cost Alloc'!E19</f>
        <v>0.45390000000000003</v>
      </c>
      <c r="F19" s="153">
        <f>'BGS PTY21 Cost Alloc'!F19</f>
        <v>0.4703</v>
      </c>
      <c r="G19" s="153">
        <f>'BGS PTY21 Cost Alloc'!G19</f>
        <v>0.56489999999999996</v>
      </c>
      <c r="H19" s="153">
        <f>'BGS PTY21 Cost Alloc'!H19</f>
        <v>0.53159999999999996</v>
      </c>
      <c r="I19" s="153">
        <f>'BGS PTY21 Cost Alloc'!I19</f>
        <v>0.28849999999999998</v>
      </c>
      <c r="J19" s="29"/>
      <c r="K19" s="30"/>
      <c r="L19" s="30"/>
      <c r="M19" s="30"/>
      <c r="N19" s="31"/>
      <c r="O19" s="32"/>
      <c r="P19" s="32"/>
      <c r="Q19" s="32">
        <f t="shared" si="0"/>
        <v>0.54610000000000003</v>
      </c>
      <c r="R19" s="32">
        <f t="shared" si="0"/>
        <v>0.52970000000000006</v>
      </c>
      <c r="S19" s="32">
        <f t="shared" si="0"/>
        <v>0.43510000000000004</v>
      </c>
      <c r="T19" s="32">
        <f t="shared" si="0"/>
        <v>0.46840000000000004</v>
      </c>
      <c r="U19" s="32">
        <f t="shared" si="0"/>
        <v>0.71150000000000002</v>
      </c>
      <c r="V19" s="32"/>
      <c r="W19" s="32"/>
      <c r="X19" s="32"/>
      <c r="Y19" s="32"/>
      <c r="Z19" s="32"/>
    </row>
    <row r="20" spans="1:26" x14ac:dyDescent="0.6">
      <c r="A20" s="22"/>
      <c r="B20" s="179" t="s">
        <v>6</v>
      </c>
      <c r="C20" s="200"/>
      <c r="D20" s="200"/>
      <c r="E20" s="204">
        <f>'BGS PTY21 Cost Alloc'!E20</f>
        <v>0.52869999999999995</v>
      </c>
      <c r="F20" s="204">
        <f>'BGS PTY21 Cost Alloc'!F20</f>
        <v>0.53539999999999999</v>
      </c>
      <c r="G20" s="204">
        <f>'BGS PTY21 Cost Alloc'!G20</f>
        <v>0.58169999999999999</v>
      </c>
      <c r="H20" s="204">
        <f>'BGS PTY21 Cost Alloc'!H20</f>
        <v>0.56359999999999999</v>
      </c>
      <c r="I20" s="221">
        <f>'BGS PTY21 Cost Alloc'!I20</f>
        <v>0.29959999999999998</v>
      </c>
      <c r="J20" s="29"/>
      <c r="K20" s="30"/>
      <c r="L20" s="30"/>
      <c r="M20" s="30"/>
      <c r="N20" s="31"/>
      <c r="O20" s="32"/>
      <c r="P20" s="32"/>
      <c r="Q20" s="32">
        <f t="shared" si="0"/>
        <v>0.47130000000000005</v>
      </c>
      <c r="R20" s="32">
        <f t="shared" si="0"/>
        <v>0.46460000000000001</v>
      </c>
      <c r="S20" s="32">
        <f t="shared" si="0"/>
        <v>0.41830000000000001</v>
      </c>
      <c r="T20" s="32">
        <f t="shared" si="0"/>
        <v>0.43640000000000001</v>
      </c>
      <c r="U20" s="32">
        <f t="shared" si="0"/>
        <v>0.70040000000000002</v>
      </c>
      <c r="V20" s="32"/>
      <c r="W20" s="32"/>
      <c r="X20" s="32"/>
      <c r="Y20" s="32"/>
      <c r="Z20" s="32"/>
    </row>
    <row r="21" spans="1:26" x14ac:dyDescent="0.6">
      <c r="A21" s="22"/>
      <c r="B21" s="183" t="s">
        <v>7</v>
      </c>
      <c r="C21" s="177"/>
      <c r="D21" s="177"/>
      <c r="E21" s="199">
        <f>'BGS PTY21 Cost Alloc'!E21</f>
        <v>0.53010000000000002</v>
      </c>
      <c r="F21" s="199">
        <f>'BGS PTY21 Cost Alloc'!F21</f>
        <v>0.52810000000000001</v>
      </c>
      <c r="G21" s="199">
        <f>'BGS PTY21 Cost Alloc'!G21</f>
        <v>0.58140000000000003</v>
      </c>
      <c r="H21" s="199">
        <f>'BGS PTY21 Cost Alloc'!H21</f>
        <v>0.5575</v>
      </c>
      <c r="I21" s="222">
        <f>'BGS PTY21 Cost Alloc'!I21</f>
        <v>0.29630000000000001</v>
      </c>
      <c r="J21" s="29"/>
      <c r="K21" s="30"/>
      <c r="L21" s="30"/>
      <c r="M21" s="30"/>
      <c r="N21" s="31"/>
      <c r="O21" s="32"/>
      <c r="P21" s="32"/>
      <c r="Q21" s="32">
        <f t="shared" si="0"/>
        <v>0.46989999999999998</v>
      </c>
      <c r="R21" s="32">
        <f t="shared" si="0"/>
        <v>0.47189999999999999</v>
      </c>
      <c r="S21" s="32">
        <f t="shared" si="0"/>
        <v>0.41859999999999997</v>
      </c>
      <c r="T21" s="32">
        <f t="shared" si="0"/>
        <v>0.4425</v>
      </c>
      <c r="U21" s="32">
        <f t="shared" si="0"/>
        <v>0.70369999999999999</v>
      </c>
      <c r="V21" s="32"/>
      <c r="W21" s="32"/>
      <c r="X21" s="32"/>
      <c r="Y21" s="32"/>
      <c r="Z21" s="32"/>
    </row>
    <row r="22" spans="1:26" x14ac:dyDescent="0.6">
      <c r="A22" s="22"/>
      <c r="B22" s="183" t="s">
        <v>8</v>
      </c>
      <c r="C22" s="177"/>
      <c r="D22" s="177"/>
      <c r="E22" s="199">
        <f>'BGS PTY21 Cost Alloc'!E22</f>
        <v>0.53069999999999995</v>
      </c>
      <c r="F22" s="199">
        <f>'BGS PTY21 Cost Alloc'!F22</f>
        <v>0.53090000000000004</v>
      </c>
      <c r="G22" s="199">
        <f>'BGS PTY21 Cost Alloc'!G22</f>
        <v>0.57820000000000005</v>
      </c>
      <c r="H22" s="199">
        <f>'BGS PTY21 Cost Alloc'!H22</f>
        <v>0.55389999999999995</v>
      </c>
      <c r="I22" s="222">
        <f>'BGS PTY21 Cost Alloc'!I22</f>
        <v>0.30009999999999998</v>
      </c>
      <c r="J22" s="29"/>
      <c r="K22" s="30"/>
      <c r="L22" s="30"/>
      <c r="M22" s="30"/>
      <c r="N22" s="31"/>
      <c r="O22" s="32"/>
      <c r="P22" s="32"/>
      <c r="Q22" s="32">
        <f t="shared" si="0"/>
        <v>0.46930000000000005</v>
      </c>
      <c r="R22" s="32">
        <f t="shared" si="0"/>
        <v>0.46909999999999996</v>
      </c>
      <c r="S22" s="32">
        <f t="shared" si="0"/>
        <v>0.42179999999999995</v>
      </c>
      <c r="T22" s="32">
        <f t="shared" si="0"/>
        <v>0.44610000000000005</v>
      </c>
      <c r="U22" s="32">
        <f t="shared" si="0"/>
        <v>0.69989999999999997</v>
      </c>
      <c r="V22" s="32"/>
      <c r="W22" s="32"/>
      <c r="X22" s="32"/>
      <c r="Y22" s="32"/>
      <c r="Z22" s="32"/>
    </row>
    <row r="23" spans="1:26" x14ac:dyDescent="0.6">
      <c r="A23" s="22"/>
      <c r="B23" s="186" t="s">
        <v>9</v>
      </c>
      <c r="C23" s="201"/>
      <c r="D23" s="201"/>
      <c r="E23" s="209">
        <f>'BGS PTY21 Cost Alloc'!E23</f>
        <v>0.4824</v>
      </c>
      <c r="F23" s="209">
        <f>'BGS PTY21 Cost Alloc'!F23</f>
        <v>0.49249999999999999</v>
      </c>
      <c r="G23" s="209">
        <f>'BGS PTY21 Cost Alloc'!G23</f>
        <v>0.58209999999999995</v>
      </c>
      <c r="H23" s="209">
        <f>'BGS PTY21 Cost Alloc'!H23</f>
        <v>0.55189999999999995</v>
      </c>
      <c r="I23" s="223">
        <f>'BGS PTY21 Cost Alloc'!I23</f>
        <v>0.31309999999999999</v>
      </c>
      <c r="J23" s="29"/>
      <c r="K23" s="30"/>
      <c r="L23" s="30"/>
      <c r="M23" s="30"/>
      <c r="N23" s="31"/>
      <c r="O23" s="32"/>
      <c r="P23" s="32"/>
      <c r="Q23" s="32">
        <f t="shared" si="0"/>
        <v>0.51760000000000006</v>
      </c>
      <c r="R23" s="32">
        <f t="shared" si="0"/>
        <v>0.50750000000000006</v>
      </c>
      <c r="S23" s="32">
        <f t="shared" si="0"/>
        <v>0.41790000000000005</v>
      </c>
      <c r="T23" s="32">
        <f t="shared" si="0"/>
        <v>0.44810000000000005</v>
      </c>
      <c r="U23" s="32">
        <f t="shared" si="0"/>
        <v>0.68690000000000007</v>
      </c>
      <c r="V23" s="32"/>
      <c r="W23" s="32"/>
      <c r="X23" s="32"/>
      <c r="Y23" s="32"/>
      <c r="Z23" s="32"/>
    </row>
    <row r="24" spans="1:26" x14ac:dyDescent="0.6">
      <c r="A24" s="22"/>
      <c r="B24" s="28" t="s">
        <v>10</v>
      </c>
      <c r="C24" s="29"/>
      <c r="D24" s="29"/>
      <c r="E24" s="153">
        <f>'BGS PTY21 Cost Alloc'!E24</f>
        <v>0.48709999999999998</v>
      </c>
      <c r="F24" s="153">
        <f>'BGS PTY21 Cost Alloc'!F24</f>
        <v>0.51280000000000003</v>
      </c>
      <c r="G24" s="153">
        <f>'BGS PTY21 Cost Alloc'!G24</f>
        <v>0.58860000000000001</v>
      </c>
      <c r="H24" s="153">
        <f>'BGS PTY21 Cost Alloc'!H24</f>
        <v>0.56169999999999998</v>
      </c>
      <c r="I24" s="153">
        <f>'BGS PTY21 Cost Alloc'!I24</f>
        <v>0.33639999999999998</v>
      </c>
      <c r="J24" s="29"/>
      <c r="K24" s="30"/>
      <c r="L24" s="30"/>
      <c r="M24" s="30"/>
      <c r="N24" s="31"/>
      <c r="O24" s="32"/>
      <c r="P24" s="32"/>
      <c r="Q24" s="32">
        <f t="shared" si="0"/>
        <v>0.51290000000000002</v>
      </c>
      <c r="R24" s="32">
        <f t="shared" si="0"/>
        <v>0.48719999999999997</v>
      </c>
      <c r="S24" s="32">
        <f t="shared" si="0"/>
        <v>0.41139999999999999</v>
      </c>
      <c r="T24" s="32">
        <f t="shared" si="0"/>
        <v>0.43830000000000002</v>
      </c>
      <c r="U24" s="32">
        <f t="shared" si="0"/>
        <v>0.66359999999999997</v>
      </c>
      <c r="V24" s="32"/>
      <c r="W24" s="32"/>
      <c r="X24" s="32"/>
      <c r="Y24" s="32"/>
      <c r="Z24" s="32"/>
    </row>
    <row r="25" spans="1:26" x14ac:dyDescent="0.6">
      <c r="A25" s="22"/>
      <c r="B25" s="28" t="s">
        <v>11</v>
      </c>
      <c r="C25" s="29"/>
      <c r="D25" s="29"/>
      <c r="E25" s="153">
        <f>'BGS PTY21 Cost Alloc'!E25</f>
        <v>0.45250000000000001</v>
      </c>
      <c r="F25" s="153">
        <f>'BGS PTY21 Cost Alloc'!F25</f>
        <v>0.48230000000000001</v>
      </c>
      <c r="G25" s="153">
        <f>'BGS PTY21 Cost Alloc'!G25</f>
        <v>0.56159999999999999</v>
      </c>
      <c r="H25" s="153">
        <f>'BGS PTY21 Cost Alloc'!H25</f>
        <v>0.52959999999999996</v>
      </c>
      <c r="I25" s="153">
        <f>'BGS PTY21 Cost Alloc'!I25</f>
        <v>0.32190000000000002</v>
      </c>
      <c r="J25" s="29"/>
      <c r="K25" s="30"/>
      <c r="L25" s="30"/>
      <c r="M25" s="30"/>
      <c r="N25" s="31"/>
      <c r="O25" s="32"/>
      <c r="P25" s="32"/>
      <c r="Q25" s="32">
        <f t="shared" si="0"/>
        <v>0.54749999999999999</v>
      </c>
      <c r="R25" s="32">
        <f t="shared" si="0"/>
        <v>0.51770000000000005</v>
      </c>
      <c r="S25" s="32">
        <f t="shared" si="0"/>
        <v>0.43840000000000001</v>
      </c>
      <c r="T25" s="32">
        <f t="shared" si="0"/>
        <v>0.47040000000000004</v>
      </c>
      <c r="U25" s="32">
        <f t="shared" si="0"/>
        <v>0.67809999999999993</v>
      </c>
      <c r="V25" s="32"/>
      <c r="W25" s="32"/>
      <c r="X25" s="32"/>
      <c r="Y25" s="32"/>
      <c r="Z25" s="32"/>
    </row>
    <row r="26" spans="1:26" x14ac:dyDescent="0.6">
      <c r="A26" s="22"/>
      <c r="B26" s="28" t="s">
        <v>12</v>
      </c>
      <c r="C26" s="29"/>
      <c r="D26" s="29"/>
      <c r="E26" s="153">
        <f>'BGS PTY21 Cost Alloc'!E26</f>
        <v>0.4834</v>
      </c>
      <c r="F26" s="153">
        <f>'BGS PTY21 Cost Alloc'!F26</f>
        <v>0.50560000000000005</v>
      </c>
      <c r="G26" s="153">
        <f>'BGS PTY21 Cost Alloc'!G26</f>
        <v>0.57509999999999994</v>
      </c>
      <c r="H26" s="153">
        <f>'BGS PTY21 Cost Alloc'!H26</f>
        <v>0.54320000000000002</v>
      </c>
      <c r="I26" s="153">
        <f>'BGS PTY21 Cost Alloc'!I26</f>
        <v>0.34179999999999999</v>
      </c>
      <c r="J26" s="29"/>
      <c r="K26" s="30"/>
      <c r="L26" s="30"/>
      <c r="M26" s="30"/>
      <c r="N26" s="31"/>
      <c r="O26" s="32"/>
      <c r="P26" s="32"/>
      <c r="Q26" s="32">
        <f t="shared" si="0"/>
        <v>0.51659999999999995</v>
      </c>
      <c r="R26" s="32">
        <f t="shared" si="0"/>
        <v>0.49439999999999995</v>
      </c>
      <c r="S26" s="32">
        <f t="shared" si="0"/>
        <v>0.42490000000000006</v>
      </c>
      <c r="T26" s="32">
        <f t="shared" si="0"/>
        <v>0.45679999999999998</v>
      </c>
      <c r="U26" s="32">
        <f t="shared" si="0"/>
        <v>0.65820000000000001</v>
      </c>
      <c r="V26" s="32"/>
      <c r="W26" s="32"/>
      <c r="X26" s="32"/>
      <c r="Y26" s="32"/>
      <c r="Z26" s="32"/>
    </row>
    <row r="27" spans="1:26" x14ac:dyDescent="0.6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6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6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6">
      <c r="A30" s="22"/>
      <c r="C30" s="23"/>
      <c r="D30" s="23"/>
      <c r="E30" s="23" t="str">
        <f>'BGS PTY21 Cost Alloc'!$E$30</f>
        <v>2022 Forecasted Calendar Month Sales</v>
      </c>
      <c r="F30" s="23" t="s">
        <v>39</v>
      </c>
      <c r="G30" s="23" t="s">
        <v>39</v>
      </c>
      <c r="H30" s="23" t="str">
        <f>'BGS PTY21 Cost Alloc'!$E$30</f>
        <v>2022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PTY21 Cost Alloc'!Q30</f>
        <v>2022 Forecasted Calendar Month Sales</v>
      </c>
      <c r="R30" s="23" t="s">
        <v>39</v>
      </c>
      <c r="S30" s="23" t="s">
        <v>39</v>
      </c>
      <c r="T30" s="23" t="str">
        <f>'BGS PTY21 Cost Alloc'!T30</f>
        <v>2022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6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6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6">
      <c r="A33" s="22"/>
      <c r="B33" s="28" t="s">
        <v>1</v>
      </c>
      <c r="C33" s="35"/>
      <c r="D33" s="135"/>
      <c r="E33" s="153">
        <f>'BGS PTY21 Cost Alloc'!E33</f>
        <v>0.3579</v>
      </c>
      <c r="F33" s="156" t="s">
        <v>40</v>
      </c>
      <c r="G33" s="156" t="s">
        <v>40</v>
      </c>
      <c r="H33" s="153">
        <f>'BGS PTY21 Cost Alloc'!H33</f>
        <v>0.41599999999999998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0.6421</v>
      </c>
      <c r="R33" s="32"/>
      <c r="S33" s="32"/>
      <c r="T33" s="32">
        <f t="shared" ref="T33:T44" si="2">1-H33</f>
        <v>0.58400000000000007</v>
      </c>
      <c r="U33" s="32"/>
      <c r="V33" s="32"/>
      <c r="W33" s="32"/>
      <c r="X33" s="32"/>
      <c r="Y33" s="32"/>
      <c r="Z33" s="32"/>
    </row>
    <row r="34" spans="1:26" x14ac:dyDescent="0.6">
      <c r="A34" s="22"/>
      <c r="B34" s="28" t="s">
        <v>2</v>
      </c>
      <c r="C34" s="35"/>
      <c r="D34" s="135"/>
      <c r="E34" s="153">
        <f>'BGS PTY21 Cost Alloc'!E34</f>
        <v>0.3508</v>
      </c>
      <c r="F34" s="156" t="s">
        <v>40</v>
      </c>
      <c r="G34" s="156" t="s">
        <v>40</v>
      </c>
      <c r="H34" s="153">
        <f>'BGS PTY21 Cost Alloc'!H34</f>
        <v>0.42020000000000002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0.6492</v>
      </c>
      <c r="R34" s="32"/>
      <c r="S34" s="32"/>
      <c r="T34" s="32">
        <f t="shared" si="2"/>
        <v>0.57979999999999998</v>
      </c>
      <c r="U34" s="32"/>
      <c r="V34" s="32"/>
      <c r="W34" s="32"/>
      <c r="X34" s="32"/>
      <c r="Y34" s="32"/>
      <c r="Z34" s="32"/>
    </row>
    <row r="35" spans="1:26" x14ac:dyDescent="0.6">
      <c r="A35" s="22"/>
      <c r="B35" s="28" t="s">
        <v>3</v>
      </c>
      <c r="C35" s="35"/>
      <c r="D35" s="135"/>
      <c r="E35" s="153">
        <f>'BGS PTY21 Cost Alloc'!E35</f>
        <v>0.35049999999999998</v>
      </c>
      <c r="F35" s="156" t="s">
        <v>40</v>
      </c>
      <c r="G35" s="156" t="s">
        <v>40</v>
      </c>
      <c r="H35" s="153">
        <f>'BGS PTY21 Cost Alloc'!H35</f>
        <v>0.42030000000000001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0.64949999999999997</v>
      </c>
      <c r="R35" s="32"/>
      <c r="S35" s="32"/>
      <c r="T35" s="32">
        <f t="shared" si="2"/>
        <v>0.57969999999999999</v>
      </c>
      <c r="U35" s="32"/>
      <c r="V35" s="32"/>
      <c r="W35" s="32"/>
      <c r="X35" s="32"/>
      <c r="Y35" s="32"/>
      <c r="Z35" s="32"/>
    </row>
    <row r="36" spans="1:26" x14ac:dyDescent="0.6">
      <c r="A36" s="22"/>
      <c r="B36" s="28" t="s">
        <v>4</v>
      </c>
      <c r="C36" s="35"/>
      <c r="D36" s="135"/>
      <c r="E36" s="153">
        <f>'BGS PTY21 Cost Alloc'!E36</f>
        <v>0.35899999999999999</v>
      </c>
      <c r="F36" s="156" t="s">
        <v>40</v>
      </c>
      <c r="G36" s="156" t="s">
        <v>40</v>
      </c>
      <c r="H36" s="153">
        <f>'BGS PTY21 Cost Alloc'!H36</f>
        <v>0.42099999999999999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0.64100000000000001</v>
      </c>
      <c r="R36" s="32"/>
      <c r="S36" s="32"/>
      <c r="T36" s="32">
        <f t="shared" si="2"/>
        <v>0.57899999999999996</v>
      </c>
      <c r="U36" s="32"/>
      <c r="V36" s="32"/>
      <c r="W36" s="32"/>
      <c r="X36" s="32"/>
      <c r="Y36" s="32"/>
      <c r="Z36" s="32"/>
    </row>
    <row r="37" spans="1:26" x14ac:dyDescent="0.6">
      <c r="A37" s="22"/>
      <c r="B37" s="28" t="s">
        <v>5</v>
      </c>
      <c r="C37" s="35"/>
      <c r="D37" s="135"/>
      <c r="E37" s="153">
        <f>'BGS PTY21 Cost Alloc'!E37</f>
        <v>0.3785</v>
      </c>
      <c r="F37" s="156" t="s">
        <v>40</v>
      </c>
      <c r="G37" s="156" t="s">
        <v>40</v>
      </c>
      <c r="H37" s="153">
        <f>'BGS PTY21 Cost Alloc'!H37</f>
        <v>0.43340000000000001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0.62149999999999994</v>
      </c>
      <c r="R37" s="32"/>
      <c r="S37" s="32"/>
      <c r="T37" s="32">
        <f t="shared" si="2"/>
        <v>0.56659999999999999</v>
      </c>
      <c r="U37" s="32"/>
      <c r="V37" s="32"/>
      <c r="W37" s="32"/>
      <c r="X37" s="32"/>
      <c r="Y37" s="32"/>
      <c r="Z37" s="32"/>
    </row>
    <row r="38" spans="1:26" x14ac:dyDescent="0.6">
      <c r="A38" s="22"/>
      <c r="B38" s="28" t="s">
        <v>6</v>
      </c>
      <c r="C38" s="35"/>
      <c r="D38" s="135"/>
      <c r="E38" s="153">
        <f>'BGS PTY21 Cost Alloc'!E38</f>
        <v>0.40579999999999999</v>
      </c>
      <c r="F38" s="156" t="s">
        <v>40</v>
      </c>
      <c r="G38" s="156" t="s">
        <v>40</v>
      </c>
      <c r="H38" s="153">
        <f>'BGS PTY21 Cost Alloc'!H38</f>
        <v>0.44700000000000001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0.59420000000000006</v>
      </c>
      <c r="R38" s="32"/>
      <c r="S38" s="32"/>
      <c r="T38" s="32">
        <f t="shared" si="2"/>
        <v>0.55299999999999994</v>
      </c>
      <c r="U38" s="32"/>
      <c r="V38" s="32"/>
      <c r="W38" s="32"/>
      <c r="X38" s="32"/>
      <c r="Y38" s="32"/>
      <c r="Z38" s="32"/>
    </row>
    <row r="39" spans="1:26" x14ac:dyDescent="0.6">
      <c r="A39" s="22"/>
      <c r="B39" s="28" t="s">
        <v>7</v>
      </c>
      <c r="C39" s="35"/>
      <c r="D39" s="135"/>
      <c r="E39" s="153">
        <f>'BGS PTY21 Cost Alloc'!E39</f>
        <v>0.42009999999999997</v>
      </c>
      <c r="F39" s="156" t="s">
        <v>40</v>
      </c>
      <c r="G39" s="156" t="s">
        <v>40</v>
      </c>
      <c r="H39" s="153">
        <f>'BGS PTY21 Cost Alloc'!H39</f>
        <v>0.45219999999999999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0.57990000000000008</v>
      </c>
      <c r="R39" s="32"/>
      <c r="S39" s="32"/>
      <c r="T39" s="32">
        <f t="shared" si="2"/>
        <v>0.54780000000000006</v>
      </c>
      <c r="U39" s="32"/>
      <c r="V39" s="32"/>
      <c r="W39" s="32"/>
      <c r="X39" s="32"/>
      <c r="Y39" s="32"/>
      <c r="Z39" s="32"/>
    </row>
    <row r="40" spans="1:26" x14ac:dyDescent="0.6">
      <c r="A40" s="22"/>
      <c r="B40" s="28" t="s">
        <v>8</v>
      </c>
      <c r="C40" s="35"/>
      <c r="D40" s="135"/>
      <c r="E40" s="153">
        <f>'BGS PTY21 Cost Alloc'!E40</f>
        <v>0.4249</v>
      </c>
      <c r="F40" s="156" t="s">
        <v>40</v>
      </c>
      <c r="G40" s="156" t="s">
        <v>40</v>
      </c>
      <c r="H40" s="153">
        <f>'BGS PTY21 Cost Alloc'!H40</f>
        <v>0.44819999999999999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0.57509999999999994</v>
      </c>
      <c r="R40" s="32"/>
      <c r="S40" s="32"/>
      <c r="T40" s="32">
        <f t="shared" si="2"/>
        <v>0.55180000000000007</v>
      </c>
      <c r="U40" s="32"/>
      <c r="V40" s="32"/>
      <c r="W40" s="32"/>
      <c r="X40" s="32"/>
      <c r="Y40" s="32"/>
      <c r="Z40" s="32"/>
    </row>
    <row r="41" spans="1:26" x14ac:dyDescent="0.6">
      <c r="A41" s="22"/>
      <c r="B41" s="28" t="s">
        <v>9</v>
      </c>
      <c r="C41" s="35"/>
      <c r="D41" s="135"/>
      <c r="E41" s="153">
        <f>'BGS PTY21 Cost Alloc'!E41</f>
        <v>0.41699999999999998</v>
      </c>
      <c r="F41" s="156" t="s">
        <v>40</v>
      </c>
      <c r="G41" s="156" t="s">
        <v>40</v>
      </c>
      <c r="H41" s="153">
        <f>'BGS PTY21 Cost Alloc'!H41</f>
        <v>0.45329999999999998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0.58299999999999996</v>
      </c>
      <c r="R41" s="32"/>
      <c r="S41" s="32"/>
      <c r="T41" s="32">
        <f t="shared" si="2"/>
        <v>0.54669999999999996</v>
      </c>
      <c r="U41" s="32"/>
      <c r="V41" s="32"/>
      <c r="W41" s="32"/>
      <c r="X41" s="32"/>
      <c r="Y41" s="32"/>
      <c r="Z41" s="32"/>
    </row>
    <row r="42" spans="1:26" x14ac:dyDescent="0.6">
      <c r="A42" s="22"/>
      <c r="B42" s="28" t="s">
        <v>10</v>
      </c>
      <c r="C42" s="35"/>
      <c r="D42" s="135"/>
      <c r="E42" s="153">
        <f>'BGS PTY21 Cost Alloc'!E42</f>
        <v>0.38400000000000001</v>
      </c>
      <c r="F42" s="156" t="s">
        <v>40</v>
      </c>
      <c r="G42" s="156" t="s">
        <v>40</v>
      </c>
      <c r="H42" s="153">
        <f>'BGS PTY21 Cost Alloc'!H42</f>
        <v>0.44950000000000001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0.61599999999999999</v>
      </c>
      <c r="R42" s="32"/>
      <c r="S42" s="32"/>
      <c r="T42" s="32">
        <f t="shared" si="2"/>
        <v>0.55049999999999999</v>
      </c>
      <c r="U42" s="32"/>
      <c r="V42" s="32"/>
      <c r="W42" s="32"/>
      <c r="X42" s="32"/>
      <c r="Y42" s="32"/>
      <c r="Z42" s="32"/>
    </row>
    <row r="43" spans="1:26" x14ac:dyDescent="0.6">
      <c r="A43" s="22"/>
      <c r="B43" s="28" t="s">
        <v>11</v>
      </c>
      <c r="C43" s="35"/>
      <c r="D43" s="135"/>
      <c r="E43" s="153">
        <f>'BGS PTY21 Cost Alloc'!E43</f>
        <v>0.3599</v>
      </c>
      <c r="F43" s="156" t="s">
        <v>40</v>
      </c>
      <c r="G43" s="156" t="s">
        <v>40</v>
      </c>
      <c r="H43" s="153">
        <f>'BGS PTY21 Cost Alloc'!H43</f>
        <v>0.44040000000000001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0.6401</v>
      </c>
      <c r="R43" s="32"/>
      <c r="S43" s="32"/>
      <c r="T43" s="32">
        <f t="shared" si="2"/>
        <v>0.55959999999999999</v>
      </c>
      <c r="U43" s="32"/>
      <c r="V43" s="32"/>
      <c r="W43" s="32"/>
      <c r="X43" s="32"/>
      <c r="Y43" s="32"/>
      <c r="Z43" s="32"/>
    </row>
    <row r="44" spans="1:26" x14ac:dyDescent="0.6">
      <c r="A44" s="22"/>
      <c r="B44" s="28" t="s">
        <v>12</v>
      </c>
      <c r="C44" s="35"/>
      <c r="D44" s="135"/>
      <c r="E44" s="153">
        <f>'BGS PTY21 Cost Alloc'!E44</f>
        <v>0.35920000000000002</v>
      </c>
      <c r="F44" s="156" t="s">
        <v>40</v>
      </c>
      <c r="G44" s="156" t="s">
        <v>40</v>
      </c>
      <c r="H44" s="153">
        <f>'BGS PTY21 Cost Alloc'!H44</f>
        <v>0.42199999999999999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0.64080000000000004</v>
      </c>
      <c r="R44" s="32"/>
      <c r="S44" s="32"/>
      <c r="T44" s="32">
        <f t="shared" si="2"/>
        <v>0.57800000000000007</v>
      </c>
      <c r="U44" s="32"/>
      <c r="V44" s="32"/>
      <c r="W44" s="32"/>
      <c r="X44" s="32"/>
      <c r="Y44" s="32"/>
      <c r="Z44" s="32"/>
    </row>
    <row r="45" spans="1:26" x14ac:dyDescent="0.6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6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6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6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6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6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6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5" x14ac:dyDescent="0.7">
      <c r="A52" s="22"/>
      <c r="B52" s="578" t="str">
        <f>$B$1</f>
        <v xml:space="preserve">Jersey Central Power &amp; Light </v>
      </c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5" x14ac:dyDescent="0.7">
      <c r="A53" s="22"/>
      <c r="B53" s="578" t="str">
        <f>$B$2</f>
        <v>Attachment 2</v>
      </c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6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6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PTY21 Cost Alloc'!Y55</f>
        <v>Forecast 2022 Delivery MWh</v>
      </c>
      <c r="X55" s="171"/>
      <c r="Y55" s="171"/>
      <c r="Z55" s="31"/>
    </row>
    <row r="56" spans="1:33" x14ac:dyDescent="0.6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247</v>
      </c>
    </row>
    <row r="57" spans="1:33" x14ac:dyDescent="0.6">
      <c r="A57" s="22"/>
      <c r="B57" s="39" t="str">
        <f>'BGS PTY21 Cost Alloc'!$B$57</f>
        <v>calendar month sales forecasted for 2022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6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6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6">
      <c r="A60" s="22"/>
      <c r="B60" s="28" t="s">
        <v>1</v>
      </c>
      <c r="C60" s="49"/>
      <c r="D60" s="49"/>
      <c r="E60" s="50">
        <f>'BGS PTY21 Cost Alloc'!E60</f>
        <v>21535</v>
      </c>
      <c r="F60" s="50">
        <f>'BGS PTY21 Cost Alloc'!F60</f>
        <v>822622</v>
      </c>
      <c r="G60" s="50">
        <f>'BGS PTY21 Cost Alloc'!G60</f>
        <v>451304</v>
      </c>
      <c r="H60" s="50">
        <f>'BGS PTY21 Cost Alloc'!H60</f>
        <v>12259</v>
      </c>
      <c r="I60" s="50">
        <f>'BGS PTY21 Cost Alloc'!I60</f>
        <v>9750</v>
      </c>
      <c r="J60" s="50">
        <f t="shared" ref="J60:J72" si="3">SUM(E60:I60)</f>
        <v>1317470</v>
      </c>
      <c r="K60" s="49"/>
      <c r="L60" s="49"/>
      <c r="M60" s="50">
        <f t="shared" ref="M60:M71" si="4">E60-ROUND(SUM($W60/1000),0)</f>
        <v>20760</v>
      </c>
      <c r="N60" s="51" t="s">
        <v>28</v>
      </c>
      <c r="O60" s="52"/>
      <c r="P60" s="53"/>
      <c r="Q60" s="53">
        <f>SUM(E60:E64,E69:E71)</f>
        <v>131112</v>
      </c>
      <c r="R60" s="53">
        <f>SUM(F60:F64,F69:F71)</f>
        <v>5535444</v>
      </c>
      <c r="S60" s="53">
        <f>SUM(G60:G64,G69:G71)</f>
        <v>3591474</v>
      </c>
      <c r="T60" s="53">
        <f>SUM(H60:H64,H69:H71)</f>
        <v>124046</v>
      </c>
      <c r="U60" s="54">
        <f>SUM(I60:I64,I69:I71)</f>
        <v>78007</v>
      </c>
      <c r="V60" s="169">
        <f>'BGS PTY21 Cost Alloc'!V60</f>
        <v>44562</v>
      </c>
      <c r="W60" s="50">
        <f>'BGS PTY21 Cost Alloc'!W60</f>
        <v>775186.66666659992</v>
      </c>
      <c r="X60" s="50">
        <f>'BGS PTY21 Cost Alloc'!X60</f>
        <v>16773</v>
      </c>
      <c r="Y60" s="55">
        <f t="shared" ref="Y60:Y71" si="5">W60-X60</f>
        <v>758413.66666659992</v>
      </c>
      <c r="Z60" s="50">
        <f>'BGS PTY21 Cost Alloc'!Z60</f>
        <v>1762078.1357579001</v>
      </c>
      <c r="AA60" s="50">
        <f>'BGS PTY21 Cost Alloc'!AA60</f>
        <v>20759.7248595452</v>
      </c>
      <c r="AB60" s="50">
        <f>'BGS PTY21 Cost Alloc'!AB60</f>
        <v>820860.4721483459</v>
      </c>
      <c r="AC60" s="50">
        <f>'BGS PTY21 Cost Alloc'!AC60</f>
        <v>451320.877222337</v>
      </c>
      <c r="AD60" s="50">
        <f>'BGS PTY21 Cost Alloc'!AD60</f>
        <v>501193.08722233702</v>
      </c>
      <c r="AG60" s="50">
        <f>'BGS PTY21 Cost Alloc'!AG60</f>
        <v>12259.399494299299</v>
      </c>
    </row>
    <row r="61" spans="1:33" x14ac:dyDescent="0.6">
      <c r="A61" s="22"/>
      <c r="B61" s="28" t="s">
        <v>2</v>
      </c>
      <c r="C61" s="49"/>
      <c r="D61" s="49"/>
      <c r="E61" s="50">
        <f>'BGS PTY21 Cost Alloc'!E61</f>
        <v>21597</v>
      </c>
      <c r="F61" s="50">
        <f>'BGS PTY21 Cost Alloc'!F61</f>
        <v>786500</v>
      </c>
      <c r="G61" s="50">
        <f>'BGS PTY21 Cost Alloc'!G61</f>
        <v>525381</v>
      </c>
      <c r="H61" s="50">
        <f>'BGS PTY21 Cost Alloc'!H61</f>
        <v>21743</v>
      </c>
      <c r="I61" s="50">
        <f>'BGS PTY21 Cost Alloc'!I61</f>
        <v>9750</v>
      </c>
      <c r="J61" s="50">
        <f t="shared" si="3"/>
        <v>1364971</v>
      </c>
      <c r="K61" s="49"/>
      <c r="L61" s="49"/>
      <c r="M61" s="50">
        <f t="shared" si="4"/>
        <v>20870</v>
      </c>
      <c r="N61" s="51"/>
      <c r="O61" s="52"/>
      <c r="P61" s="114" t="s">
        <v>193</v>
      </c>
      <c r="Q61" s="53">
        <f>SUMPRODUCT(E33:E37,M60:M64)+SUMPRODUCT(E42:E44,M69:M71)</f>
        <v>45336.398500000003</v>
      </c>
      <c r="R61" s="47"/>
      <c r="S61" s="131" t="s">
        <v>177</v>
      </c>
      <c r="T61" s="53">
        <f>SUMPRODUCT(H33:H37,H60:H64)+SUMPRODUCT(H42:H44,H69:H71)</f>
        <v>53031.6512</v>
      </c>
      <c r="U61" s="48">
        <f>T61/T60</f>
        <v>0.42751601180207344</v>
      </c>
      <c r="V61" s="169">
        <f>'BGS PTY21 Cost Alloc'!V61</f>
        <v>44593</v>
      </c>
      <c r="W61" s="50">
        <f>'BGS PTY21 Cost Alloc'!W61</f>
        <v>727049.66666670004</v>
      </c>
      <c r="X61" s="50">
        <f>'BGS PTY21 Cost Alloc'!X61</f>
        <v>16329</v>
      </c>
      <c r="Y61" s="55">
        <f t="shared" si="5"/>
        <v>710720.66666670004</v>
      </c>
      <c r="Z61" s="50">
        <f>'BGS PTY21 Cost Alloc'!Z61</f>
        <v>1792702.0650026</v>
      </c>
      <c r="AA61" s="50">
        <f>'BGS PTY21 Cost Alloc'!AA61</f>
        <v>20870.169318839497</v>
      </c>
      <c r="AB61" s="50">
        <f>'BGS PTY21 Cost Alloc'!AB61</f>
        <v>784707.39263217291</v>
      </c>
      <c r="AC61" s="50">
        <f>'BGS PTY21 Cost Alloc'!AC61</f>
        <v>525397.41713400697</v>
      </c>
      <c r="AD61" s="50">
        <f>'BGS PTY21 Cost Alloc'!AD61</f>
        <v>572592.79013400699</v>
      </c>
      <c r="AG61" s="50">
        <f>'BGS PTY21 Cost Alloc'!AG61</f>
        <v>21742.708699727504</v>
      </c>
    </row>
    <row r="62" spans="1:33" x14ac:dyDescent="0.6">
      <c r="A62" s="22"/>
      <c r="B62" s="28" t="s">
        <v>3</v>
      </c>
      <c r="C62" s="49"/>
      <c r="D62" s="49"/>
      <c r="E62" s="50">
        <f>'BGS PTY21 Cost Alloc'!E62</f>
        <v>20220</v>
      </c>
      <c r="F62" s="50">
        <f>'BGS PTY21 Cost Alloc'!F62</f>
        <v>746694</v>
      </c>
      <c r="G62" s="50">
        <f>'BGS PTY21 Cost Alloc'!G62</f>
        <v>440707</v>
      </c>
      <c r="H62" s="50">
        <f>'BGS PTY21 Cost Alloc'!H62</f>
        <v>15549</v>
      </c>
      <c r="I62" s="50">
        <f>'BGS PTY21 Cost Alloc'!I62</f>
        <v>9750</v>
      </c>
      <c r="J62" s="50">
        <f t="shared" si="3"/>
        <v>1232920</v>
      </c>
      <c r="K62" s="49"/>
      <c r="L62" s="49"/>
      <c r="M62" s="50">
        <f t="shared" si="4"/>
        <v>19502</v>
      </c>
      <c r="N62" s="51"/>
      <c r="O62" s="52"/>
      <c r="P62" s="114" t="s">
        <v>194</v>
      </c>
      <c r="Q62" s="53">
        <f>SUMPRODUCT(Q33:Q37,M60:M64)+SUMPRODUCT(Q42:Q44,M69:M71)</f>
        <v>80501.601500000004</v>
      </c>
      <c r="R62" s="47"/>
      <c r="S62" s="131" t="s">
        <v>178</v>
      </c>
      <c r="T62" s="53">
        <f>+T60-T61</f>
        <v>71014.348800000007</v>
      </c>
      <c r="U62" s="48"/>
      <c r="V62" s="169">
        <f>'BGS PTY21 Cost Alloc'!V62</f>
        <v>44621</v>
      </c>
      <c r="W62" s="50">
        <f>'BGS PTY21 Cost Alloc'!W62</f>
        <v>717810</v>
      </c>
      <c r="X62" s="50">
        <f>'BGS PTY21 Cost Alloc'!X62</f>
        <v>15567</v>
      </c>
      <c r="Y62" s="55">
        <f t="shared" si="5"/>
        <v>702243</v>
      </c>
      <c r="Z62" s="50">
        <f>'BGS PTY21 Cost Alloc'!Z62</f>
        <v>1600117.3942688</v>
      </c>
      <c r="AA62" s="50">
        <f>'BGS PTY21 Cost Alloc'!AA62</f>
        <v>19501.966830693098</v>
      </c>
      <c r="AB62" s="50">
        <f>'BGS PTY21 Cost Alloc'!AB62</f>
        <v>745093.53767150908</v>
      </c>
      <c r="AC62" s="50">
        <f>'BGS PTY21 Cost Alloc'!AC62</f>
        <v>440722.92893201899</v>
      </c>
      <c r="AD62" s="50">
        <f>'BGS PTY21 Cost Alloc'!AD62</f>
        <v>489326.818932019</v>
      </c>
      <c r="AG62" s="50">
        <f>'BGS PTY21 Cost Alloc'!AG62</f>
        <v>15548.511454737201</v>
      </c>
    </row>
    <row r="63" spans="1:33" x14ac:dyDescent="0.6">
      <c r="A63" s="22"/>
      <c r="B63" s="28" t="s">
        <v>4</v>
      </c>
      <c r="C63" s="49"/>
      <c r="D63" s="49"/>
      <c r="E63" s="50">
        <f>'BGS PTY21 Cost Alloc'!E63</f>
        <v>15915</v>
      </c>
      <c r="F63" s="50">
        <f>'BGS PTY21 Cost Alloc'!F63</f>
        <v>645619</v>
      </c>
      <c r="G63" s="50">
        <f>'BGS PTY21 Cost Alloc'!G63</f>
        <v>427408</v>
      </c>
      <c r="H63" s="50">
        <f>'BGS PTY21 Cost Alloc'!H63</f>
        <v>14458</v>
      </c>
      <c r="I63" s="50">
        <f>'BGS PTY21 Cost Alloc'!I63</f>
        <v>9750</v>
      </c>
      <c r="J63" s="50">
        <f t="shared" si="3"/>
        <v>1113150</v>
      </c>
      <c r="K63" s="49"/>
      <c r="L63" s="49"/>
      <c r="M63" s="50">
        <f t="shared" si="4"/>
        <v>15212</v>
      </c>
      <c r="N63" s="46"/>
      <c r="O63" s="47"/>
      <c r="P63" s="114" t="s">
        <v>195</v>
      </c>
      <c r="Q63" s="53">
        <f>SUM(W60:W64,W69:W71)/1000</f>
        <v>5274.0046993009</v>
      </c>
      <c r="R63" s="47"/>
      <c r="S63" s="47"/>
      <c r="T63" s="47"/>
      <c r="U63" s="48"/>
      <c r="V63" s="169">
        <f>'BGS PTY21 Cost Alloc'!V63</f>
        <v>44652</v>
      </c>
      <c r="W63" s="50">
        <f>'BGS PTY21 Cost Alloc'!W63</f>
        <v>703354.66666660004</v>
      </c>
      <c r="X63" s="50">
        <f>'BGS PTY21 Cost Alloc'!X63</f>
        <v>15410</v>
      </c>
      <c r="Y63" s="55">
        <f t="shared" si="5"/>
        <v>687944.66666660004</v>
      </c>
      <c r="Z63" s="50">
        <f>'BGS PTY21 Cost Alloc'!Z63</f>
        <v>1171733.3962609</v>
      </c>
      <c r="AA63" s="50">
        <f>'BGS PTY21 Cost Alloc'!AA63</f>
        <v>15212.441537856299</v>
      </c>
      <c r="AB63" s="50">
        <f>'BGS PTY21 Cost Alloc'!AB63</f>
        <v>644446.70502168802</v>
      </c>
      <c r="AC63" s="50">
        <f>'BGS PTY21 Cost Alloc'!AC63</f>
        <v>427423.14238746394</v>
      </c>
      <c r="AD63" s="50">
        <f>'BGS PTY21 Cost Alloc'!AD63</f>
        <v>476254.47638746398</v>
      </c>
      <c r="AG63" s="50">
        <f>'BGS PTY21 Cost Alloc'!AG63</f>
        <v>14457.7877380355</v>
      </c>
    </row>
    <row r="64" spans="1:33" x14ac:dyDescent="0.6">
      <c r="A64" s="22"/>
      <c r="B64" s="28" t="s">
        <v>5</v>
      </c>
      <c r="C64" s="49"/>
      <c r="D64" s="49"/>
      <c r="E64" s="50">
        <f>'BGS PTY21 Cost Alloc'!E64</f>
        <v>12967</v>
      </c>
      <c r="F64" s="50">
        <f>'BGS PTY21 Cost Alloc'!F64</f>
        <v>595134</v>
      </c>
      <c r="G64" s="50">
        <f>'BGS PTY21 Cost Alloc'!G64</f>
        <v>431350</v>
      </c>
      <c r="H64" s="50">
        <f>'BGS PTY21 Cost Alloc'!H64</f>
        <v>16197</v>
      </c>
      <c r="I64" s="50">
        <f>'BGS PTY21 Cost Alloc'!I64</f>
        <v>9751</v>
      </c>
      <c r="J64" s="50">
        <f t="shared" si="3"/>
        <v>1065399</v>
      </c>
      <c r="K64" s="49"/>
      <c r="L64" s="49"/>
      <c r="M64" s="50">
        <f t="shared" si="4"/>
        <v>12290</v>
      </c>
      <c r="N64" s="51" t="s">
        <v>29</v>
      </c>
      <c r="O64" s="52"/>
      <c r="P64" s="53"/>
      <c r="Q64" s="53">
        <f>+SUM(E65:E68)</f>
        <v>64785</v>
      </c>
      <c r="R64" s="53">
        <f>+SUM(F65:F68)</f>
        <v>3957413</v>
      </c>
      <c r="S64" s="53">
        <f>+SUM(G65:G68)</f>
        <v>2131270</v>
      </c>
      <c r="T64" s="53">
        <f>+SUM(H65:H68)</f>
        <v>64994</v>
      </c>
      <c r="U64" s="54">
        <f>+SUM(I65:I68)</f>
        <v>39005</v>
      </c>
      <c r="V64" s="169">
        <f>'BGS PTY21 Cost Alloc'!V64</f>
        <v>44682</v>
      </c>
      <c r="W64" s="50">
        <f>'BGS PTY21 Cost Alloc'!W64</f>
        <v>677439.37307890004</v>
      </c>
      <c r="X64" s="50">
        <f>'BGS PTY21 Cost Alloc'!X64</f>
        <v>16689.984105300002</v>
      </c>
      <c r="Y64" s="55">
        <f t="shared" si="5"/>
        <v>660749.3889736</v>
      </c>
      <c r="Z64" s="50">
        <f>'BGS PTY21 Cost Alloc'!Z64</f>
        <v>961462.81930630002</v>
      </c>
      <c r="AA64" s="50">
        <f>'BGS PTY21 Cost Alloc'!AA64</f>
        <v>12290.282962334</v>
      </c>
      <c r="AB64" s="50">
        <f>'BGS PTY21 Cost Alloc'!AB64</f>
        <v>594173.39430766797</v>
      </c>
      <c r="AC64" s="50">
        <f>'BGS PTY21 Cost Alloc'!AC64</f>
        <v>431366.77644333802</v>
      </c>
      <c r="AD64" s="50">
        <f>'BGS PTY21 Cost Alloc'!AD64</f>
        <v>482860.707443338</v>
      </c>
      <c r="AG64" s="50">
        <f>'BGS PTY21 Cost Alloc'!AG64</f>
        <v>16197.446033964201</v>
      </c>
    </row>
    <row r="65" spans="1:34" x14ac:dyDescent="0.6">
      <c r="A65" s="22"/>
      <c r="B65" s="28" t="s">
        <v>6</v>
      </c>
      <c r="C65" s="49"/>
      <c r="D65" s="49"/>
      <c r="E65" s="50">
        <f>'BGS PTY21 Cost Alloc'!E65</f>
        <v>13595</v>
      </c>
      <c r="F65" s="50">
        <f>'BGS PTY21 Cost Alloc'!F65</f>
        <v>727466</v>
      </c>
      <c r="G65" s="50">
        <f>'BGS PTY21 Cost Alloc'!G65</f>
        <v>485581</v>
      </c>
      <c r="H65" s="50">
        <f>'BGS PTY21 Cost Alloc'!H65</f>
        <v>13637</v>
      </c>
      <c r="I65" s="50">
        <f>'BGS PTY21 Cost Alloc'!I65</f>
        <v>9751</v>
      </c>
      <c r="J65" s="50">
        <f t="shared" si="3"/>
        <v>1250030</v>
      </c>
      <c r="K65" s="49"/>
      <c r="L65" s="50"/>
      <c r="M65" s="50">
        <f t="shared" si="4"/>
        <v>12961</v>
      </c>
      <c r="N65" s="51"/>
      <c r="O65" s="52"/>
      <c r="P65" s="157" t="s">
        <v>151</v>
      </c>
      <c r="Q65" s="158">
        <f>SUMPRODUCT(E38:E41,M65:M68)</f>
        <v>26159.752399999998</v>
      </c>
      <c r="R65" s="158">
        <f>'BGS PTY21 Cost Alloc'!R65</f>
        <v>2074592.7562634205</v>
      </c>
      <c r="S65" s="131" t="s">
        <v>177</v>
      </c>
      <c r="T65" s="53">
        <f>+SUMPRODUCT(H38:H41,H65:H68)</f>
        <v>29265.169300000001</v>
      </c>
      <c r="U65" s="56">
        <f>T65/T64</f>
        <v>0.45027493768655569</v>
      </c>
      <c r="V65" s="169">
        <f>'BGS PTY21 Cost Alloc'!V65</f>
        <v>44713</v>
      </c>
      <c r="W65" s="50">
        <f>'BGS PTY21 Cost Alloc'!W65</f>
        <v>633673.10451660003</v>
      </c>
      <c r="X65" s="50">
        <f>'BGS PTY21 Cost Alloc'!X65</f>
        <v>13661.020794700002</v>
      </c>
      <c r="Y65" s="55">
        <f t="shared" si="5"/>
        <v>620012.08372190001</v>
      </c>
      <c r="Z65" s="50">
        <f>'BGS PTY21 Cost Alloc'!Z65</f>
        <v>937407.31013750006</v>
      </c>
      <c r="AA65" s="50">
        <f>'BGS PTY21 Cost Alloc'!AA65</f>
        <v>12024.494212035601</v>
      </c>
      <c r="AB65" s="50">
        <f>'BGS PTY21 Cost Alloc'!AB65</f>
        <v>727466.06053327408</v>
      </c>
      <c r="AC65" s="50">
        <f>'BGS PTY21 Cost Alloc'!AC65</f>
        <v>485595.46658372297</v>
      </c>
      <c r="AD65" s="50">
        <f>'BGS PTY21 Cost Alloc'!AD65</f>
        <v>537139.00558372296</v>
      </c>
      <c r="AG65" s="50">
        <f>'BGS PTY21 Cost Alloc'!AG65</f>
        <v>13636.582292629801</v>
      </c>
    </row>
    <row r="66" spans="1:34" x14ac:dyDescent="0.6">
      <c r="A66" s="22"/>
      <c r="B66" s="28" t="s">
        <v>7</v>
      </c>
      <c r="C66" s="49"/>
      <c r="D66" s="49"/>
      <c r="E66" s="50">
        <f>'BGS PTY21 Cost Alloc'!E66</f>
        <v>17306</v>
      </c>
      <c r="F66" s="50">
        <f>'BGS PTY21 Cost Alloc'!F66</f>
        <v>1076379</v>
      </c>
      <c r="G66" s="50">
        <f>'BGS PTY21 Cost Alloc'!G66</f>
        <v>546742</v>
      </c>
      <c r="H66" s="50">
        <f>'BGS PTY21 Cost Alloc'!H66</f>
        <v>17458</v>
      </c>
      <c r="I66" s="50">
        <f>'BGS PTY21 Cost Alloc'!I66</f>
        <v>9751</v>
      </c>
      <c r="J66" s="50">
        <f t="shared" si="3"/>
        <v>1667636</v>
      </c>
      <c r="K66" s="49"/>
      <c r="L66" s="50"/>
      <c r="M66" s="50">
        <f t="shared" si="4"/>
        <v>16758</v>
      </c>
      <c r="N66" s="51"/>
      <c r="O66" s="52"/>
      <c r="P66" s="157" t="s">
        <v>152</v>
      </c>
      <c r="Q66" s="158">
        <f>SUMPRODUCT(Q38:Q41,M65:M68)</f>
        <v>36472.247600000002</v>
      </c>
      <c r="R66" s="158">
        <f>'BGS PTY21 Cost Alloc'!R66</f>
        <v>1882820.2437365798</v>
      </c>
      <c r="S66" s="131" t="s">
        <v>178</v>
      </c>
      <c r="T66" s="53">
        <f>+T64-T65</f>
        <v>35728.830699999999</v>
      </c>
      <c r="U66" s="48"/>
      <c r="V66" s="169">
        <f>'BGS PTY21 Cost Alloc'!V66</f>
        <v>44743</v>
      </c>
      <c r="W66" s="50">
        <f>'BGS PTY21 Cost Alloc'!W66</f>
        <v>547556.57998099993</v>
      </c>
      <c r="X66" s="50">
        <f>'BGS PTY21 Cost Alloc'!X66</f>
        <v>12231.271228000001</v>
      </c>
      <c r="Y66" s="55">
        <f t="shared" si="5"/>
        <v>535325.30875299987</v>
      </c>
      <c r="Z66" s="50">
        <f>'BGS PTY21 Cost Alloc'!Z66</f>
        <v>1185744.9074937</v>
      </c>
      <c r="AA66" s="50">
        <f>'BGS PTY21 Cost Alloc'!AA66</f>
        <v>15572.6355653378</v>
      </c>
      <c r="AB66" s="50">
        <f>'BGS PTY21 Cost Alloc'!AB66</f>
        <v>1076379.4022095399</v>
      </c>
      <c r="AC66" s="50">
        <f>'BGS PTY21 Cost Alloc'!AC66</f>
        <v>546754.19768368406</v>
      </c>
      <c r="AD66" s="50">
        <f>'BGS PTY21 Cost Alloc'!AD66</f>
        <v>605891.92268368404</v>
      </c>
      <c r="AG66" s="50">
        <f>'BGS PTY21 Cost Alloc'!AG66</f>
        <v>17457.719151044294</v>
      </c>
    </row>
    <row r="67" spans="1:34" x14ac:dyDescent="0.6">
      <c r="A67" s="22"/>
      <c r="B67" s="28" t="s">
        <v>8</v>
      </c>
      <c r="C67" s="49"/>
      <c r="D67" s="49"/>
      <c r="E67" s="50">
        <f>'BGS PTY21 Cost Alloc'!E67</f>
        <v>17627</v>
      </c>
      <c r="F67" s="50">
        <f>'BGS PTY21 Cost Alloc'!F67</f>
        <v>1129731</v>
      </c>
      <c r="G67" s="50">
        <f>'BGS PTY21 Cost Alloc'!G67</f>
        <v>571069</v>
      </c>
      <c r="H67" s="50">
        <f>'BGS PTY21 Cost Alloc'!H67</f>
        <v>17940</v>
      </c>
      <c r="I67" s="50">
        <f>'BGS PTY21 Cost Alloc'!I67</f>
        <v>9751</v>
      </c>
      <c r="J67" s="50">
        <f t="shared" si="3"/>
        <v>1746118</v>
      </c>
      <c r="K67" s="49"/>
      <c r="L67" s="49"/>
      <c r="M67" s="50">
        <f t="shared" si="4"/>
        <v>17142</v>
      </c>
      <c r="N67" s="57"/>
      <c r="O67" s="58"/>
      <c r="P67" s="114" t="s">
        <v>195</v>
      </c>
      <c r="Q67" s="53">
        <f>SUM(W65:W68)/1000</f>
        <v>2152.0655431923001</v>
      </c>
      <c r="R67" s="66"/>
      <c r="S67" s="58"/>
      <c r="T67" s="58"/>
      <c r="U67" s="59"/>
      <c r="V67" s="169">
        <f>'BGS PTY21 Cost Alloc'!V67</f>
        <v>44774</v>
      </c>
      <c r="W67" s="50">
        <f>'BGS PTY21 Cost Alloc'!W67</f>
        <v>485237.61095230002</v>
      </c>
      <c r="X67" s="50">
        <f>'BGS PTY21 Cost Alloc'!X67</f>
        <v>10069.392233</v>
      </c>
      <c r="Y67" s="55">
        <f t="shared" si="5"/>
        <v>475168.2187193</v>
      </c>
      <c r="Z67" s="50">
        <f>'BGS PTY21 Cost Alloc'!Z67</f>
        <v>1138133.0243519</v>
      </c>
      <c r="AA67" s="50">
        <f>'BGS PTY21 Cost Alloc'!AA67</f>
        <v>16003.5010895053</v>
      </c>
      <c r="AB67" s="50">
        <f>'BGS PTY21 Cost Alloc'!AB67</f>
        <v>1129730.54576704</v>
      </c>
      <c r="AC67" s="50">
        <f>'BGS PTY21 Cost Alloc'!AC67</f>
        <v>571078.65327639703</v>
      </c>
      <c r="AD67" s="50">
        <f>'BGS PTY21 Cost Alloc'!AD67</f>
        <v>631598.43527639704</v>
      </c>
      <c r="AG67" s="50">
        <f>'BGS PTY21 Cost Alloc'!AG67</f>
        <v>17939.859120135203</v>
      </c>
    </row>
    <row r="68" spans="1:34" x14ac:dyDescent="0.6">
      <c r="A68" s="22"/>
      <c r="B68" s="28" t="s">
        <v>9</v>
      </c>
      <c r="C68" s="49"/>
      <c r="D68" s="49"/>
      <c r="E68" s="50">
        <f>'BGS PTY21 Cost Alloc'!E68</f>
        <v>16257</v>
      </c>
      <c r="F68" s="50">
        <f>'BGS PTY21 Cost Alloc'!F68</f>
        <v>1023837</v>
      </c>
      <c r="G68" s="50">
        <f>'BGS PTY21 Cost Alloc'!G68</f>
        <v>527878</v>
      </c>
      <c r="H68" s="50">
        <f>'BGS PTY21 Cost Alloc'!H68</f>
        <v>15959</v>
      </c>
      <c r="I68" s="50">
        <f>'BGS PTY21 Cost Alloc'!I68</f>
        <v>9752</v>
      </c>
      <c r="J68" s="50">
        <f t="shared" si="3"/>
        <v>1593683</v>
      </c>
      <c r="K68" s="49"/>
      <c r="L68" s="49"/>
      <c r="M68" s="50">
        <f t="shared" si="4"/>
        <v>15771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PTY21 Cost Alloc'!V68</f>
        <v>44805</v>
      </c>
      <c r="W68" s="50">
        <f>'BGS PTY21 Cost Alloc'!W68</f>
        <v>485598.24774239998</v>
      </c>
      <c r="X68" s="50">
        <f>'BGS PTY21 Cost Alloc'!X68</f>
        <v>9940.5144476999994</v>
      </c>
      <c r="Y68" s="55">
        <f t="shared" si="5"/>
        <v>475657.73329469998</v>
      </c>
      <c r="Z68" s="50">
        <f>'BGS PTY21 Cost Alloc'!Z68</f>
        <v>1076675.5277853999</v>
      </c>
      <c r="AA68" s="50">
        <f>'BGS PTY21 Cost Alloc'!AA68</f>
        <v>14695.2480419529</v>
      </c>
      <c r="AB68" s="50">
        <f>'BGS PTY21 Cost Alloc'!AB68</f>
        <v>1023836.5653342101</v>
      </c>
      <c r="AC68" s="50">
        <f>'BGS PTY21 Cost Alloc'!AC68</f>
        <v>527887.66417638015</v>
      </c>
      <c r="AD68" s="50">
        <f>'BGS PTY21 Cost Alloc'!AD68</f>
        <v>588326.53317638009</v>
      </c>
      <c r="AG68" s="50">
        <f>'BGS PTY21 Cost Alloc'!AG68</f>
        <v>15959.183034768499</v>
      </c>
    </row>
    <row r="69" spans="1:34" x14ac:dyDescent="0.6">
      <c r="A69" s="22"/>
      <c r="B69" s="28" t="s">
        <v>10</v>
      </c>
      <c r="C69" s="49"/>
      <c r="D69" s="49"/>
      <c r="E69" s="50">
        <f>'BGS PTY21 Cost Alloc'!E69</f>
        <v>11201</v>
      </c>
      <c r="F69" s="50">
        <f>'BGS PTY21 Cost Alloc'!F69</f>
        <v>680164</v>
      </c>
      <c r="G69" s="50">
        <f>'BGS PTY21 Cost Alloc'!G69</f>
        <v>459634</v>
      </c>
      <c r="H69" s="50">
        <f>'BGS PTY21 Cost Alloc'!H69</f>
        <v>14499</v>
      </c>
      <c r="I69" s="50">
        <f>'BGS PTY21 Cost Alloc'!I69</f>
        <v>9752</v>
      </c>
      <c r="J69" s="50">
        <f t="shared" si="3"/>
        <v>1175250</v>
      </c>
      <c r="K69" s="49"/>
      <c r="L69" s="49"/>
      <c r="M69" s="50">
        <f t="shared" si="4"/>
        <v>10704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PTY21 Cost Alloc'!V69</f>
        <v>44835</v>
      </c>
      <c r="W69" s="50">
        <f>'BGS PTY21 Cost Alloc'!W69</f>
        <v>496544.46312099992</v>
      </c>
      <c r="X69" s="50">
        <f>'BGS PTY21 Cost Alloc'!X69</f>
        <v>13754.015775299998</v>
      </c>
      <c r="Y69" s="55">
        <f t="shared" si="5"/>
        <v>482790.44734569994</v>
      </c>
      <c r="Z69" s="50">
        <f>'BGS PTY21 Cost Alloc'!Z69</f>
        <v>843259.51747129997</v>
      </c>
      <c r="AA69" s="50">
        <f>'BGS PTY21 Cost Alloc'!AA69</f>
        <v>10703.6117188963</v>
      </c>
      <c r="AB69" s="50">
        <f>'BGS PTY21 Cost Alloc'!AB69</f>
        <v>679321.21747761301</v>
      </c>
      <c r="AC69" s="50">
        <f>'BGS PTY21 Cost Alloc'!AC69</f>
        <v>459648.06719561201</v>
      </c>
      <c r="AD69" s="50">
        <f>'BGS PTY21 Cost Alloc'!AD69</f>
        <v>514167.25719561201</v>
      </c>
      <c r="AG69" s="50">
        <f>'BGS PTY21 Cost Alloc'!AG69</f>
        <v>14498.941358434498</v>
      </c>
    </row>
    <row r="70" spans="1:34" x14ac:dyDescent="0.6">
      <c r="A70" s="22"/>
      <c r="B70" s="28" t="s">
        <v>11</v>
      </c>
      <c r="C70" s="49"/>
      <c r="D70" s="49"/>
      <c r="E70" s="50">
        <f>'BGS PTY21 Cost Alloc'!E70</f>
        <v>11606</v>
      </c>
      <c r="F70" s="50">
        <f>'BGS PTY21 Cost Alloc'!F70</f>
        <v>578223</v>
      </c>
      <c r="G70" s="50">
        <f>'BGS PTY21 Cost Alloc'!G70</f>
        <v>417652</v>
      </c>
      <c r="H70" s="50">
        <f>'BGS PTY21 Cost Alloc'!H70</f>
        <v>13829</v>
      </c>
      <c r="I70" s="50">
        <f>'BGS PTY21 Cost Alloc'!I70</f>
        <v>9752</v>
      </c>
      <c r="J70" s="50">
        <f t="shared" si="3"/>
        <v>1031062</v>
      </c>
      <c r="K70" s="49"/>
      <c r="L70" s="49"/>
      <c r="M70" s="50">
        <f t="shared" si="4"/>
        <v>11055</v>
      </c>
      <c r="N70" s="46"/>
      <c r="O70" s="47"/>
      <c r="P70" s="47"/>
      <c r="Q70" s="47"/>
      <c r="R70" s="47"/>
      <c r="S70" s="47"/>
      <c r="T70" s="47"/>
      <c r="U70" s="48"/>
      <c r="V70" s="169">
        <f>'BGS PTY21 Cost Alloc'!V70</f>
        <v>44866</v>
      </c>
      <c r="W70" s="50">
        <f>'BGS PTY21 Cost Alloc'!W70</f>
        <v>551029.81771500001</v>
      </c>
      <c r="X70" s="50">
        <f>'BGS PTY21 Cost Alloc'!X70</f>
        <v>12896.758878300001</v>
      </c>
      <c r="Y70" s="55">
        <f t="shared" si="5"/>
        <v>538133.05883670005</v>
      </c>
      <c r="Z70" s="50">
        <f>'BGS PTY21 Cost Alloc'!Z70</f>
        <v>971401.84155410004</v>
      </c>
      <c r="AA70" s="50">
        <f>'BGS PTY21 Cost Alloc'!AA70</f>
        <v>11054.7844559242</v>
      </c>
      <c r="AB70" s="50">
        <f>'BGS PTY21 Cost Alloc'!AB70</f>
        <v>577251.94740429602</v>
      </c>
      <c r="AC70" s="50">
        <f>'BGS PTY21 Cost Alloc'!AC70</f>
        <v>417665.25620759797</v>
      </c>
      <c r="AD70" s="50">
        <f>'BGS PTY21 Cost Alloc'!AD70</f>
        <v>466138.03320759797</v>
      </c>
      <c r="AE70" s="13">
        <f>'BGS PTY21 Cost Alloc'!AE70</f>
        <v>0</v>
      </c>
      <c r="AG70" s="50">
        <f>'BGS PTY21 Cost Alloc'!AG70</f>
        <v>13828.765692775205</v>
      </c>
      <c r="AH70" s="13">
        <f>'BGS PTY21 Cost Alloc'!AH70</f>
        <v>34421030.692775205</v>
      </c>
    </row>
    <row r="71" spans="1:34" x14ac:dyDescent="0.6">
      <c r="A71" s="22"/>
      <c r="B71" s="28" t="s">
        <v>12</v>
      </c>
      <c r="C71" s="49"/>
      <c r="D71" s="49"/>
      <c r="E71" s="50">
        <f>'BGS PTY21 Cost Alloc'!E71</f>
        <v>16071</v>
      </c>
      <c r="F71" s="50">
        <f>'BGS PTY21 Cost Alloc'!F71</f>
        <v>680488</v>
      </c>
      <c r="G71" s="50">
        <f>'BGS PTY21 Cost Alloc'!G71</f>
        <v>438038</v>
      </c>
      <c r="H71" s="50">
        <f>'BGS PTY21 Cost Alloc'!H71</f>
        <v>15512</v>
      </c>
      <c r="I71" s="50">
        <f>'BGS PTY21 Cost Alloc'!I71</f>
        <v>9752</v>
      </c>
      <c r="J71" s="50">
        <f t="shared" si="3"/>
        <v>1159861</v>
      </c>
      <c r="K71" s="49"/>
      <c r="L71" s="49"/>
      <c r="M71" s="50">
        <f t="shared" si="4"/>
        <v>15445</v>
      </c>
      <c r="N71" s="51"/>
      <c r="O71" s="52"/>
      <c r="P71" s="115" t="s">
        <v>148</v>
      </c>
      <c r="Q71" s="53">
        <f>SUM(E60:E64,E69:E71)</f>
        <v>131112</v>
      </c>
      <c r="R71" s="53"/>
      <c r="S71" s="115" t="s">
        <v>148</v>
      </c>
      <c r="T71" s="53">
        <f>SUM(H60:H64,H69:H71)</f>
        <v>124046</v>
      </c>
      <c r="U71" s="54"/>
      <c r="V71" s="169">
        <f>'BGS PTY21 Cost Alloc'!V71</f>
        <v>44896</v>
      </c>
      <c r="W71" s="50">
        <f>'BGS PTY21 Cost Alloc'!W71</f>
        <v>625590.04538609996</v>
      </c>
      <c r="X71" s="50">
        <f>'BGS PTY21 Cost Alloc'!X71</f>
        <v>13772.6687377</v>
      </c>
      <c r="Y71" s="55">
        <f t="shared" si="5"/>
        <v>611817.37664839998</v>
      </c>
      <c r="Z71" s="50">
        <f>'BGS PTY21 Cost Alloc'!Z71</f>
        <v>1357395.3621493001</v>
      </c>
      <c r="AA71" s="50">
        <f>'BGS PTY21 Cost Alloc'!AA71</f>
        <v>15444.604803661199</v>
      </c>
      <c r="AB71" s="50">
        <f>'BGS PTY21 Cost Alloc'!AB71</f>
        <v>679131.41428636201</v>
      </c>
      <c r="AC71" s="50">
        <f>'BGS PTY21 Cost Alloc'!AC71</f>
        <v>438052.08370553103</v>
      </c>
      <c r="AD71" s="50">
        <f>'BGS PTY21 Cost Alloc'!AD71</f>
        <v>488973.93170553102</v>
      </c>
      <c r="AE71" s="13">
        <f>'BGS PTY21 Cost Alloc'!AE71</f>
        <v>0</v>
      </c>
      <c r="AG71" s="50">
        <f>'BGS PTY21 Cost Alloc'!AG71</f>
        <v>15511.623791690796</v>
      </c>
      <c r="AH71" s="13">
        <f>'BGS PTY21 Cost Alloc'!AH71</f>
        <v>35535214.791690797</v>
      </c>
    </row>
    <row r="72" spans="1:34" x14ac:dyDescent="0.6">
      <c r="A72" s="22"/>
      <c r="B72" s="60" t="s">
        <v>13</v>
      </c>
      <c r="C72" s="55"/>
      <c r="D72" s="55"/>
      <c r="E72" s="55">
        <f>SUM(E60:E71)</f>
        <v>195897</v>
      </c>
      <c r="F72" s="55">
        <f>SUM(F60:F71)</f>
        <v>9492857</v>
      </c>
      <c r="G72" s="55">
        <f>SUM(G60:G71)</f>
        <v>5722744</v>
      </c>
      <c r="H72" s="55">
        <f>SUM(H60:H71)</f>
        <v>189040</v>
      </c>
      <c r="I72" s="55">
        <f>SUM(I60:I71)</f>
        <v>117012</v>
      </c>
      <c r="J72" s="55">
        <f t="shared" si="3"/>
        <v>15717550</v>
      </c>
      <c r="K72" s="55"/>
      <c r="L72" s="55"/>
      <c r="M72" s="55">
        <f>SUM(M60:M71)</f>
        <v>188470</v>
      </c>
      <c r="N72" s="51"/>
      <c r="O72" s="52"/>
      <c r="P72" s="114" t="s">
        <v>146</v>
      </c>
      <c r="Q72" s="53">
        <f>SUMPRODUCT(E15:E19,E60:E64)+SUMPRODUCT(E24:E26,E69:E71)</f>
        <v>62735.22</v>
      </c>
      <c r="R72" s="47">
        <f>Q72/Q71</f>
        <v>0.47848572213069746</v>
      </c>
      <c r="S72" s="114" t="s">
        <v>177</v>
      </c>
      <c r="T72" s="53">
        <f>SUMPRODUCT(H15:H19,H60:H64)+SUMPRODUCT(H24:H26,H69:H71)</f>
        <v>67369.473799999992</v>
      </c>
      <c r="U72" s="48">
        <f>T72/T71</f>
        <v>0.54310073521113134</v>
      </c>
      <c r="W72" s="55">
        <f t="shared" ref="W72:AD72" si="6">SUM(W60:W71)</f>
        <v>7426070.2424932001</v>
      </c>
      <c r="X72" s="55">
        <f t="shared" si="6"/>
        <v>167094.6262</v>
      </c>
      <c r="Y72" s="55">
        <f t="shared" si="6"/>
        <v>7258975.6162932003</v>
      </c>
      <c r="Z72" s="55">
        <f t="shared" si="6"/>
        <v>14798111.3015397</v>
      </c>
      <c r="AA72" s="55">
        <f t="shared" si="6"/>
        <v>184133.46539658142</v>
      </c>
      <c r="AB72" s="55">
        <f t="shared" si="6"/>
        <v>9482398.6547937188</v>
      </c>
      <c r="AC72" s="55">
        <f t="shared" si="6"/>
        <v>5722912.5309480904</v>
      </c>
      <c r="AD72" s="55">
        <f t="shared" si="6"/>
        <v>6354462.9989480907</v>
      </c>
      <c r="AE72" s="13">
        <f>'BGS PTY21 Cost Alloc'!AE72</f>
        <v>0</v>
      </c>
      <c r="AG72" s="55">
        <f>SUM(AG60:AG71)</f>
        <v>189038.52786224199</v>
      </c>
      <c r="AH72" s="13">
        <f>'BGS PTY21 Cost Alloc'!AH72</f>
        <v>464300964.86224198</v>
      </c>
    </row>
    <row r="73" spans="1:34" x14ac:dyDescent="0.6">
      <c r="A73" s="22"/>
      <c r="B73" s="28"/>
      <c r="J73" s="61"/>
      <c r="N73" s="51"/>
      <c r="O73" s="52"/>
      <c r="P73" s="114" t="s">
        <v>145</v>
      </c>
      <c r="Q73" s="53">
        <f>+Q71-Q72</f>
        <v>68376.78</v>
      </c>
      <c r="R73" s="47"/>
      <c r="S73" s="114" t="s">
        <v>178</v>
      </c>
      <c r="T73" s="53">
        <f>+T71-T72</f>
        <v>56676.526200000008</v>
      </c>
      <c r="U73" s="48"/>
    </row>
    <row r="74" spans="1:34" ht="15.5" x14ac:dyDescent="0.7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x14ac:dyDescent="0.6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64785</v>
      </c>
      <c r="R75" s="44"/>
      <c r="S75" s="116" t="s">
        <v>149</v>
      </c>
      <c r="T75" s="53">
        <f>+SUM(H65:H68)</f>
        <v>64994</v>
      </c>
      <c r="U75" s="45"/>
      <c r="V75" s="55">
        <f t="shared" ref="V75:V86" si="7">W60-W75</f>
        <v>299411.99999999988</v>
      </c>
      <c r="W75" s="55">
        <f t="shared" ref="W75:W86" si="8">SUM(X75:Z75)</f>
        <v>475774.66666660004</v>
      </c>
      <c r="X75" s="50">
        <f>'BGS PTY21 Cost Alloc'!X75</f>
        <v>13901.333333299999</v>
      </c>
      <c r="Y75" s="50">
        <f>'BGS PTY21 Cost Alloc'!Y75</f>
        <v>457026.33333330002</v>
      </c>
      <c r="Z75" s="50">
        <f>'BGS PTY21 Cost Alloc'!Z75</f>
        <v>4847</v>
      </c>
      <c r="AA75" s="55"/>
      <c r="AB75" s="13">
        <f t="shared" ref="AB75:AB86" si="9">(V75*$AA$94+W75*$AA$95)/1000</f>
        <v>170.98082951768555</v>
      </c>
      <c r="AC75" s="13">
        <f t="shared" ref="AC75:AC86" si="10">(W60/1000)-AB75</f>
        <v>604.20583714891427</v>
      </c>
    </row>
    <row r="76" spans="1:34" s="63" customFormat="1" x14ac:dyDescent="0.6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33558.612799999995</v>
      </c>
      <c r="R76" s="47">
        <f>Q76/Q75</f>
        <v>0.51799973450644432</v>
      </c>
      <c r="S76" s="131" t="s">
        <v>177</v>
      </c>
      <c r="T76" s="53">
        <f>+SUMPRODUCT(H20:H23,H65:H68)</f>
        <v>36163.386299999998</v>
      </c>
      <c r="U76" s="48">
        <f>T76/T75</f>
        <v>0.55641115026002397</v>
      </c>
      <c r="V76" s="55">
        <f t="shared" si="7"/>
        <v>281872.33333340002</v>
      </c>
      <c r="W76" s="55">
        <f t="shared" si="8"/>
        <v>445177.33333330002</v>
      </c>
      <c r="X76" s="50">
        <f>'BGS PTY21 Cost Alloc'!X76</f>
        <v>12583.333333299999</v>
      </c>
      <c r="Y76" s="50">
        <f>'BGS PTY21 Cost Alloc'!Y76</f>
        <v>428147.33333330002</v>
      </c>
      <c r="Z76" s="50">
        <f>'BGS PTY21 Cost Alloc'!Z76</f>
        <v>4446.6666667</v>
      </c>
      <c r="AA76" s="55"/>
      <c r="AB76" s="13">
        <f t="shared" si="9"/>
        <v>160.18920558607905</v>
      </c>
      <c r="AC76" s="13">
        <f t="shared" si="10"/>
        <v>566.86046108062101</v>
      </c>
      <c r="AD76" s="13"/>
    </row>
    <row r="77" spans="1:34" x14ac:dyDescent="0.6">
      <c r="A77" s="22"/>
      <c r="C77" s="26" t="s">
        <v>221</v>
      </c>
      <c r="D77" s="26" t="s">
        <v>218</v>
      </c>
      <c r="E77" s="26" t="s">
        <v>221</v>
      </c>
      <c r="F77" s="26" t="s">
        <v>218</v>
      </c>
      <c r="G77" s="26"/>
      <c r="N77" s="64"/>
      <c r="O77" s="65"/>
      <c r="P77" s="117" t="s">
        <v>145</v>
      </c>
      <c r="Q77" s="66">
        <f>Q75-Q76</f>
        <v>31226.387200000005</v>
      </c>
      <c r="R77" s="58"/>
      <c r="S77" s="132" t="s">
        <v>178</v>
      </c>
      <c r="T77" s="66">
        <f>T75-T76</f>
        <v>28830.613700000002</v>
      </c>
      <c r="U77" s="59"/>
      <c r="V77" s="55">
        <f t="shared" si="7"/>
        <v>276958.66666660004</v>
      </c>
      <c r="W77" s="55">
        <f t="shared" si="8"/>
        <v>440851.33333339996</v>
      </c>
      <c r="X77" s="50">
        <f>'BGS PTY21 Cost Alloc'!X77</f>
        <v>12335.666666700001</v>
      </c>
      <c r="Y77" s="50">
        <f>'BGS PTY21 Cost Alloc'!Y77</f>
        <v>423918</v>
      </c>
      <c r="Z77" s="50">
        <f>'BGS PTY21 Cost Alloc'!Z77</f>
        <v>4597.6666667</v>
      </c>
      <c r="AA77" s="55"/>
      <c r="AB77" s="13">
        <f t="shared" si="9"/>
        <v>158.37369238401592</v>
      </c>
      <c r="AC77" s="13">
        <f t="shared" si="10"/>
        <v>559.43630761598399</v>
      </c>
      <c r="AD77" s="55">
        <f>SUM(AB65:AB68)</f>
        <v>3957412.573844064</v>
      </c>
    </row>
    <row r="78" spans="1:34" x14ac:dyDescent="0.6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273712.66666660004</v>
      </c>
      <c r="W78" s="55">
        <f t="shared" si="8"/>
        <v>429642</v>
      </c>
      <c r="X78" s="50">
        <f>'BGS PTY21 Cost Alloc'!X78</f>
        <v>11813.666666700001</v>
      </c>
      <c r="Y78" s="50">
        <f>'BGS PTY21 Cost Alloc'!Y78</f>
        <v>413330.33333330002</v>
      </c>
      <c r="Z78" s="50">
        <f>'BGS PTY21 Cost Alloc'!Z78</f>
        <v>4498</v>
      </c>
      <c r="AA78" s="55"/>
      <c r="AB78" s="13">
        <f t="shared" si="9"/>
        <v>154.79871146214103</v>
      </c>
      <c r="AC78" s="13">
        <f t="shared" si="10"/>
        <v>548.555955204459</v>
      </c>
    </row>
    <row r="79" spans="1:34" x14ac:dyDescent="0.6">
      <c r="A79" s="22"/>
      <c r="B79" s="28" t="s">
        <v>1</v>
      </c>
      <c r="C79" s="69">
        <v>44.35</v>
      </c>
      <c r="D79" s="162">
        <f>ROUND(C79*$H$307,3)</f>
        <v>38.290999999999997</v>
      </c>
      <c r="E79" s="67">
        <v>35.018999999999998</v>
      </c>
      <c r="F79" s="162">
        <f>ROUND(E79*$H$307,3)</f>
        <v>30.234000000000002</v>
      </c>
      <c r="H79" s="33">
        <v>0.92</v>
      </c>
      <c r="I79" s="33">
        <v>0.97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274679.88255860005</v>
      </c>
      <c r="W79" s="55">
        <f t="shared" si="8"/>
        <v>402759.49052029999</v>
      </c>
      <c r="X79" s="50">
        <f>'BGS PTY21 Cost Alloc'!X79</f>
        <v>13513.913343300001</v>
      </c>
      <c r="Y79" s="50">
        <f>'BGS PTY21 Cost Alloc'!Y79</f>
        <v>385312.77243329998</v>
      </c>
      <c r="Z79" s="50">
        <f>'BGS PTY21 Cost Alloc'!Z79</f>
        <v>3932.8047437</v>
      </c>
      <c r="AA79" s="55"/>
      <c r="AB79" s="13">
        <f t="shared" si="9"/>
        <v>147.266988530665</v>
      </c>
      <c r="AC79" s="13">
        <f t="shared" si="10"/>
        <v>530.17238454823507</v>
      </c>
    </row>
    <row r="80" spans="1:34" x14ac:dyDescent="0.6">
      <c r="A80" s="22"/>
      <c r="B80" s="28" t="s">
        <v>2</v>
      </c>
      <c r="C80" s="69">
        <v>41.8</v>
      </c>
      <c r="D80" s="162">
        <f>ROUND(C80*$H$307,3)</f>
        <v>36.088999999999999</v>
      </c>
      <c r="E80" s="67">
        <v>33.005000000000003</v>
      </c>
      <c r="F80" s="162">
        <f>ROUND(E80*$H$307,3)</f>
        <v>28.495999999999999</v>
      </c>
      <c r="H80" s="176">
        <f>H79</f>
        <v>0.92</v>
      </c>
      <c r="I80" s="176">
        <f>I79</f>
        <v>0.97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257161.95086800004</v>
      </c>
      <c r="W80" s="55">
        <f t="shared" si="8"/>
        <v>376511.15364859998</v>
      </c>
      <c r="X80" s="50">
        <f>'BGS PTY21 Cost Alloc'!X80</f>
        <v>10980.895570000001</v>
      </c>
      <c r="Y80" s="50">
        <f>'BGS PTY21 Cost Alloc'!Y80</f>
        <v>361940.82693330001</v>
      </c>
      <c r="Z80" s="50">
        <f>'BGS PTY21 Cost Alloc'!Z80</f>
        <v>3589.4311453</v>
      </c>
      <c r="AA80" s="55"/>
      <c r="AB80" s="13">
        <f t="shared" si="9"/>
        <v>137.71504644224945</v>
      </c>
      <c r="AC80" s="13">
        <f t="shared" si="10"/>
        <v>495.95805807435056</v>
      </c>
    </row>
    <row r="81" spans="1:29" x14ac:dyDescent="0.6">
      <c r="A81" s="22"/>
      <c r="B81" s="28" t="s">
        <v>3</v>
      </c>
      <c r="C81" s="69">
        <v>33.9</v>
      </c>
      <c r="D81" s="162">
        <f>ROUND(C81*$H$307,3)</f>
        <v>29.268000000000001</v>
      </c>
      <c r="E81" s="67">
        <v>26.766999999999999</v>
      </c>
      <c r="F81" s="162">
        <f>ROUND(E81*$H$307,3)</f>
        <v>23.11</v>
      </c>
      <c r="H81" s="176">
        <f>H79</f>
        <v>0.92</v>
      </c>
      <c r="I81" s="176">
        <f>I79</f>
        <v>0.97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225226.12628599996</v>
      </c>
      <c r="W81" s="55">
        <f t="shared" si="8"/>
        <v>322330.45369499997</v>
      </c>
      <c r="X81" s="50">
        <f>'BGS PTY21 Cost Alloc'!X81</f>
        <v>9636.0560153000006</v>
      </c>
      <c r="Y81" s="50">
        <f>'BGS PTY21 Cost Alloc'!Y81</f>
        <v>309522.31126669998</v>
      </c>
      <c r="Z81" s="50">
        <f>'BGS PTY21 Cost Alloc'!Z81</f>
        <v>3172.086413</v>
      </c>
      <c r="AA81" s="55"/>
      <c r="AB81" s="13">
        <f t="shared" si="9"/>
        <v>118.50118461189501</v>
      </c>
      <c r="AC81" s="13">
        <f t="shared" si="10"/>
        <v>429.05539536910487</v>
      </c>
    </row>
    <row r="82" spans="1:29" x14ac:dyDescent="0.6">
      <c r="A82" s="22"/>
      <c r="B82" s="28" t="s">
        <v>4</v>
      </c>
      <c r="C82" s="69">
        <v>29.75</v>
      </c>
      <c r="D82" s="162">
        <f>ROUND(C82*$H$307,3)</f>
        <v>25.684999999999999</v>
      </c>
      <c r="E82" s="67">
        <v>23.491</v>
      </c>
      <c r="F82" s="162">
        <f>ROUND(E82*$H$307,3)</f>
        <v>20.280999999999999</v>
      </c>
      <c r="H82" s="176">
        <f>H79</f>
        <v>0.92</v>
      </c>
      <c r="I82" s="176">
        <f>I79</f>
        <v>0.97</v>
      </c>
      <c r="L82" s="139"/>
      <c r="N82" s="51"/>
      <c r="O82" s="52"/>
      <c r="P82" s="114" t="s">
        <v>147</v>
      </c>
      <c r="Q82" s="53">
        <f>Q72-Q61</f>
        <v>17398.821499999998</v>
      </c>
      <c r="R82" s="47"/>
      <c r="S82" s="114" t="s">
        <v>147</v>
      </c>
      <c r="T82" s="53">
        <f>T72-T61</f>
        <v>14337.822599999992</v>
      </c>
      <c r="U82" s="48"/>
      <c r="V82" s="55">
        <f t="shared" si="7"/>
        <v>199870.02928630006</v>
      </c>
      <c r="W82" s="55">
        <f t="shared" si="8"/>
        <v>285367.58166599995</v>
      </c>
      <c r="X82" s="50">
        <f>'BGS PTY21 Cost Alloc'!X82</f>
        <v>7676.6175767000004</v>
      </c>
      <c r="Y82" s="50">
        <f>'BGS PTY21 Cost Alloc'!Y82</f>
        <v>275257.51559999998</v>
      </c>
      <c r="Z82" s="50">
        <f>'BGS PTY21 Cost Alloc'!Z82</f>
        <v>2433.4484892999999</v>
      </c>
      <c r="AA82" s="55"/>
      <c r="AB82" s="13">
        <f t="shared" si="9"/>
        <v>104.96832313390131</v>
      </c>
      <c r="AC82" s="13">
        <f t="shared" si="10"/>
        <v>380.26928781839871</v>
      </c>
    </row>
    <row r="83" spans="1:29" x14ac:dyDescent="0.6">
      <c r="A83" s="22"/>
      <c r="B83" s="28" t="s">
        <v>5</v>
      </c>
      <c r="C83" s="69">
        <v>30.25</v>
      </c>
      <c r="D83" s="162">
        <f>ROUND(C83*$H$307,3)</f>
        <v>26.117000000000001</v>
      </c>
      <c r="E83" s="67">
        <v>23.885000000000002</v>
      </c>
      <c r="F83" s="162">
        <f>ROUND(E83*$H$307,3)</f>
        <v>20.622</v>
      </c>
      <c r="H83" s="176">
        <f>H79</f>
        <v>0.92</v>
      </c>
      <c r="I83" s="176">
        <f>I79</f>
        <v>0.97</v>
      </c>
      <c r="L83" s="139"/>
      <c r="N83" s="51"/>
      <c r="O83" s="52"/>
      <c r="P83" s="114" t="s">
        <v>150</v>
      </c>
      <c r="Q83" s="140">
        <f>Q82*(E117-E118)</f>
        <v>90785.760364801332</v>
      </c>
      <c r="R83" s="47"/>
      <c r="S83" s="114" t="s">
        <v>150</v>
      </c>
      <c r="T83" s="140">
        <f>T82*(H117-H118)</f>
        <v>72654.379368847847</v>
      </c>
      <c r="U83" s="48"/>
      <c r="V83" s="55">
        <f t="shared" si="7"/>
        <v>203316.42216039996</v>
      </c>
      <c r="W83" s="55">
        <f t="shared" si="8"/>
        <v>282281.82558200002</v>
      </c>
      <c r="X83" s="50">
        <f>'BGS PTY21 Cost Alloc'!X83</f>
        <v>7506.4973339999997</v>
      </c>
      <c r="Y83" s="50">
        <f>'BGS PTY21 Cost Alloc'!Y83</f>
        <v>272721.06</v>
      </c>
      <c r="Z83" s="50">
        <f>'BGS PTY21 Cost Alloc'!Z83</f>
        <v>2054.2682479999999</v>
      </c>
      <c r="AA83" s="55"/>
      <c r="AB83" s="13">
        <f t="shared" si="9"/>
        <v>104.50084885738164</v>
      </c>
      <c r="AC83" s="13">
        <f t="shared" si="10"/>
        <v>381.09739888501832</v>
      </c>
    </row>
    <row r="84" spans="1:29" x14ac:dyDescent="0.6">
      <c r="A84" s="22"/>
      <c r="B84" s="179" t="s">
        <v>6</v>
      </c>
      <c r="C84" s="407">
        <v>30.4</v>
      </c>
      <c r="D84" s="213">
        <f>ROUND(C84*$H$306,3)</f>
        <v>35.137</v>
      </c>
      <c r="E84" s="212">
        <v>20.359000000000002</v>
      </c>
      <c r="F84" s="214">
        <f>ROUND(E84*$H$306,3)</f>
        <v>23.530999999999999</v>
      </c>
      <c r="H84" s="128">
        <v>0.89</v>
      </c>
      <c r="I84" s="129">
        <v>0.89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205807.63204129995</v>
      </c>
      <c r="W84" s="55">
        <f t="shared" si="8"/>
        <v>290736.83107969997</v>
      </c>
      <c r="X84" s="50">
        <f>'BGS PTY21 Cost Alloc'!X84</f>
        <v>11362.484463999999</v>
      </c>
      <c r="Y84" s="50">
        <f>'BGS PTY21 Cost Alloc'!Y84</f>
        <v>276538.9648667</v>
      </c>
      <c r="Z84" s="50">
        <f>'BGS PTY21 Cost Alloc'!Z84</f>
        <v>2835.3817490000001</v>
      </c>
      <c r="AA84" s="55"/>
      <c r="AB84" s="13">
        <f t="shared" si="9"/>
        <v>107.20249113507398</v>
      </c>
      <c r="AC84" s="13">
        <f t="shared" si="10"/>
        <v>389.34197198592597</v>
      </c>
    </row>
    <row r="85" spans="1:29" x14ac:dyDescent="0.6">
      <c r="A85" s="22"/>
      <c r="B85" s="183" t="s">
        <v>7</v>
      </c>
      <c r="C85" s="408">
        <v>36.549999999999997</v>
      </c>
      <c r="D85" s="216">
        <f>ROUND(C85*$H$306,3)</f>
        <v>42.244999999999997</v>
      </c>
      <c r="E85" s="215">
        <v>24.478000000000002</v>
      </c>
      <c r="F85" s="217">
        <f>ROUND(E85*$H$306,3)</f>
        <v>28.292000000000002</v>
      </c>
      <c r="H85" s="174">
        <f>H84</f>
        <v>0.89</v>
      </c>
      <c r="I85" s="255">
        <f>I84</f>
        <v>0.89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225816.15350270004</v>
      </c>
      <c r="W85" s="55">
        <f t="shared" si="8"/>
        <v>325213.66421229998</v>
      </c>
      <c r="X85" s="50">
        <f>'BGS PTY21 Cost Alloc'!X85</f>
        <v>10349.2439123</v>
      </c>
      <c r="Y85" s="50">
        <f>'BGS PTY21 Cost Alloc'!Y85</f>
        <v>311608.48533330002</v>
      </c>
      <c r="Z85" s="50">
        <f>'BGS PTY21 Cost Alloc'!Z85</f>
        <v>3255.9349667000001</v>
      </c>
      <c r="AA85" s="55"/>
      <c r="AB85" s="13">
        <f t="shared" si="9"/>
        <v>119.39156996455741</v>
      </c>
      <c r="AC85" s="13">
        <f t="shared" si="10"/>
        <v>431.63824775044264</v>
      </c>
    </row>
    <row r="86" spans="1:29" x14ac:dyDescent="0.6">
      <c r="A86" s="22"/>
      <c r="B86" s="183" t="s">
        <v>8</v>
      </c>
      <c r="C86" s="408">
        <v>33.450000000000003</v>
      </c>
      <c r="D86" s="216">
        <f>ROUND(C86*$H$306,3)</f>
        <v>38.661999999999999</v>
      </c>
      <c r="E86" s="215">
        <v>22.401</v>
      </c>
      <c r="F86" s="217">
        <f>ROUND(E86*$H$306,3)</f>
        <v>25.890999999999998</v>
      </c>
      <c r="H86" s="174">
        <f>H84</f>
        <v>0.89</v>
      </c>
      <c r="I86" s="255">
        <f>I84</f>
        <v>0.89</v>
      </c>
      <c r="L86" s="139"/>
      <c r="N86" s="51"/>
      <c r="O86" s="52"/>
      <c r="P86" s="114" t="s">
        <v>147</v>
      </c>
      <c r="Q86" s="53">
        <f>Q76-Q65</f>
        <v>7398.8603999999978</v>
      </c>
      <c r="R86" s="47"/>
      <c r="S86" s="114" t="s">
        <v>147</v>
      </c>
      <c r="T86" s="53">
        <f>T76-T65</f>
        <v>6898.2169999999969</v>
      </c>
      <c r="U86" s="48"/>
      <c r="V86" s="55">
        <f t="shared" si="7"/>
        <v>250270.78271439997</v>
      </c>
      <c r="W86" s="55">
        <f t="shared" si="8"/>
        <v>375319.26267169998</v>
      </c>
      <c r="X86" s="50">
        <f>'BGS PTY21 Cost Alloc'!X86</f>
        <v>10297.922699999999</v>
      </c>
      <c r="Y86" s="50">
        <f>'BGS PTY21 Cost Alloc'!Y86</f>
        <v>360954.30176669999</v>
      </c>
      <c r="Z86" s="50">
        <f>'BGS PTY21 Cost Alloc'!Z86</f>
        <v>4067.0382049999998</v>
      </c>
      <c r="AA86" s="55"/>
      <c r="AB86" s="13">
        <f t="shared" si="9"/>
        <v>136.55562978046595</v>
      </c>
      <c r="AC86" s="13">
        <f t="shared" si="10"/>
        <v>489.03441560563402</v>
      </c>
    </row>
    <row r="87" spans="1:29" x14ac:dyDescent="0.6">
      <c r="A87" s="22"/>
      <c r="B87" s="186" t="s">
        <v>9</v>
      </c>
      <c r="C87" s="409">
        <v>31.7</v>
      </c>
      <c r="D87" s="219">
        <f>ROUND(C87*$H$306,3)</f>
        <v>36.639000000000003</v>
      </c>
      <c r="E87" s="218">
        <v>21.228999999999999</v>
      </c>
      <c r="F87" s="220">
        <f>ROUND(E87*$H$306,3)</f>
        <v>24.536999999999999</v>
      </c>
      <c r="H87" s="175">
        <f>H84</f>
        <v>0.89</v>
      </c>
      <c r="I87" s="256">
        <f>I84</f>
        <v>0.89</v>
      </c>
      <c r="L87" s="139"/>
      <c r="N87" s="64"/>
      <c r="O87" s="65"/>
      <c r="P87" s="117" t="s">
        <v>150</v>
      </c>
      <c r="Q87" s="141">
        <f>Q86*(E113-E114)</f>
        <v>93840.327763748719</v>
      </c>
      <c r="R87" s="58"/>
      <c r="S87" s="117" t="s">
        <v>150</v>
      </c>
      <c r="T87" s="141">
        <f>T86*(H113-H114)</f>
        <v>86986.242235171652</v>
      </c>
      <c r="U87" s="59"/>
      <c r="AA87" s="55"/>
    </row>
    <row r="88" spans="1:29" x14ac:dyDescent="0.6">
      <c r="A88" s="22"/>
      <c r="B88" s="28" t="s">
        <v>10</v>
      </c>
      <c r="C88" s="69">
        <v>30.15</v>
      </c>
      <c r="D88" s="162">
        <f>ROUND(C88*$H$307,3)</f>
        <v>26.030999999999999</v>
      </c>
      <c r="E88" s="67">
        <v>23.806000000000001</v>
      </c>
      <c r="F88" s="162">
        <f>ROUND(E88*$H$307,3)</f>
        <v>20.553000000000001</v>
      </c>
      <c r="H88" s="176">
        <f>H79</f>
        <v>0.92</v>
      </c>
      <c r="I88" s="176">
        <f>I79</f>
        <v>0.97</v>
      </c>
      <c r="L88" s="139"/>
    </row>
    <row r="89" spans="1:29" x14ac:dyDescent="0.6">
      <c r="A89" s="22"/>
      <c r="B89" s="28" t="s">
        <v>11</v>
      </c>
      <c r="C89" s="69">
        <v>30.45</v>
      </c>
      <c r="D89" s="162">
        <f>ROUND(C89*$H$307,3)</f>
        <v>26.29</v>
      </c>
      <c r="E89" s="67">
        <v>24.042999999999999</v>
      </c>
      <c r="F89" s="162">
        <f>ROUND(E89*$H$307,3)</f>
        <v>20.757999999999999</v>
      </c>
      <c r="H89" s="176">
        <f>H79</f>
        <v>0.92</v>
      </c>
      <c r="I89" s="176">
        <f>I79</f>
        <v>0.97</v>
      </c>
      <c r="L89" s="139"/>
    </row>
    <row r="90" spans="1:29" x14ac:dyDescent="0.6">
      <c r="A90" s="22"/>
      <c r="B90" s="28" t="s">
        <v>12</v>
      </c>
      <c r="C90" s="69">
        <v>32.549999999999997</v>
      </c>
      <c r="D90" s="162">
        <f>ROUND(C90*$H$307,3)</f>
        <v>28.103000000000002</v>
      </c>
      <c r="E90" s="67">
        <v>25.701000000000001</v>
      </c>
      <c r="F90" s="162">
        <f>ROUND(E90*$H$307,3)</f>
        <v>22.189</v>
      </c>
      <c r="G90" s="70"/>
      <c r="H90" s="176">
        <f>H79</f>
        <v>0.92</v>
      </c>
      <c r="I90" s="176">
        <f>I79</f>
        <v>0.97</v>
      </c>
      <c r="L90" s="139"/>
    </row>
    <row r="91" spans="1:29" x14ac:dyDescent="0.6">
      <c r="A91" s="22"/>
      <c r="B91" s="28"/>
      <c r="C91" s="69"/>
      <c r="D91" s="69"/>
      <c r="G91" s="70"/>
      <c r="K91" s="70"/>
      <c r="X91" s="13" t="s">
        <v>210</v>
      </c>
    </row>
    <row r="92" spans="1:29" x14ac:dyDescent="0.6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6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6">
      <c r="A94" s="22"/>
      <c r="B94" s="28" t="s">
        <v>23</v>
      </c>
      <c r="C94" s="72"/>
      <c r="D94" s="72"/>
      <c r="E94" s="154">
        <f>'BGS PTY21 Cost Alloc'!E94</f>
        <v>0.105545</v>
      </c>
      <c r="F94" s="154">
        <f>'BGS PTY21 Cost Alloc'!F94</f>
        <v>0.105545</v>
      </c>
      <c r="G94" s="154">
        <f>'BGS PTY21 Cost Alloc'!G94</f>
        <v>0.105545</v>
      </c>
      <c r="H94" s="154">
        <f>'BGS PTY21 Cost Alloc'!H94</f>
        <v>0.105545</v>
      </c>
      <c r="I94" s="154">
        <f>'BGS PTY21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6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6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45" x14ac:dyDescent="0.6">
      <c r="A97" s="22"/>
      <c r="B97" s="226" t="s">
        <v>263</v>
      </c>
      <c r="C97" s="231"/>
      <c r="D97" s="231"/>
      <c r="E97" s="233">
        <f>ROUND(1-1/E98,6)</f>
        <v>9.8422999999999997E-2</v>
      </c>
      <c r="F97" s="233">
        <f t="shared" ref="F97:I97" si="11">ROUND(1-1/F98,6)</f>
        <v>9.8422999999999997E-2</v>
      </c>
      <c r="G97" s="233">
        <f t="shared" si="11"/>
        <v>9.8422999999999997E-2</v>
      </c>
      <c r="H97" s="233">
        <f t="shared" si="11"/>
        <v>9.8422999999999997E-2</v>
      </c>
      <c r="I97" s="233">
        <f t="shared" si="11"/>
        <v>9.8422999999999997E-2</v>
      </c>
      <c r="J97" s="73"/>
      <c r="K97" s="73"/>
      <c r="L97" s="73"/>
      <c r="M97" s="414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</row>
    <row r="98" spans="1:45" x14ac:dyDescent="0.6">
      <c r="A98" s="22"/>
      <c r="B98" s="226" t="s">
        <v>262</v>
      </c>
      <c r="C98" s="231"/>
      <c r="D98" s="231"/>
      <c r="E98" s="231">
        <v>1.1091672347228327</v>
      </c>
      <c r="F98" s="231">
        <v>1.1091672347228327</v>
      </c>
      <c r="G98" s="231">
        <v>1.1091672347228327</v>
      </c>
      <c r="H98" s="231">
        <v>1.1091672347228327</v>
      </c>
      <c r="I98" s="231">
        <v>1.1091672347228327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</row>
    <row r="99" spans="1:45" x14ac:dyDescent="0.6">
      <c r="A99" s="22"/>
      <c r="C99" s="73"/>
      <c r="D99" s="73"/>
      <c r="E99" s="73" t="s">
        <v>251</v>
      </c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45" x14ac:dyDescent="0.6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45" x14ac:dyDescent="0.6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</row>
    <row r="102" spans="1:45" x14ac:dyDescent="0.6">
      <c r="A102" s="22"/>
      <c r="B102" s="36" t="str">
        <f>'BGS PTY21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</row>
    <row r="103" spans="1:45" ht="15.5" x14ac:dyDescent="0.7">
      <c r="A103" s="22"/>
      <c r="B103" s="578" t="str">
        <f>$B$1</f>
        <v xml:space="preserve">Jersey Central Power &amp; Light </v>
      </c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</row>
    <row r="104" spans="1:45" ht="15.5" x14ac:dyDescent="0.7">
      <c r="A104" s="22"/>
      <c r="B104" s="578" t="str">
        <f>$B$2</f>
        <v>Attachment 2</v>
      </c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</row>
    <row r="105" spans="1:45" x14ac:dyDescent="0.6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</row>
    <row r="106" spans="1:45" x14ac:dyDescent="0.6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</row>
    <row r="107" spans="1:45" x14ac:dyDescent="0.6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</row>
    <row r="108" spans="1:45" x14ac:dyDescent="0.6">
      <c r="A108" s="22"/>
      <c r="B108" s="17" t="s">
        <v>171</v>
      </c>
      <c r="M108" s="47"/>
      <c r="N108" s="47"/>
      <c r="O108" s="47"/>
      <c r="P108" s="47"/>
      <c r="Q108" s="47"/>
      <c r="R108" s="47"/>
      <c r="S108" s="536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</row>
    <row r="109" spans="1:45" x14ac:dyDescent="0.6">
      <c r="A109" s="22"/>
      <c r="B109" s="17" t="s">
        <v>21</v>
      </c>
      <c r="M109" s="47"/>
      <c r="N109" s="47"/>
      <c r="O109" s="47"/>
      <c r="P109" s="47"/>
      <c r="Q109" s="47"/>
      <c r="R109" s="47"/>
      <c r="S109" s="391"/>
      <c r="T109" s="47"/>
      <c r="U109" s="47"/>
      <c r="V109" s="47"/>
      <c r="W109" s="47"/>
      <c r="X109" s="47"/>
      <c r="Y109" s="47"/>
      <c r="Z109" s="47"/>
      <c r="AA109" s="47"/>
      <c r="AB109" s="47"/>
      <c r="AC109" s="546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</row>
    <row r="110" spans="1:45" x14ac:dyDescent="0.6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543"/>
      <c r="O110" s="47"/>
      <c r="P110" s="131"/>
      <c r="Q110" s="47"/>
      <c r="R110" s="47"/>
      <c r="S110" s="47"/>
      <c r="T110" s="47"/>
      <c r="U110" s="47"/>
      <c r="V110" s="47"/>
      <c r="W110" s="537"/>
      <c r="X110" s="47"/>
      <c r="Y110" s="47"/>
      <c r="Z110" s="47"/>
      <c r="AA110" s="47"/>
      <c r="AB110" s="47"/>
      <c r="AC110" s="538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</row>
    <row r="111" spans="1:45" x14ac:dyDescent="0.6">
      <c r="A111" s="22"/>
      <c r="M111" s="47"/>
      <c r="N111" s="47"/>
      <c r="O111" s="47"/>
      <c r="P111" s="47"/>
      <c r="Q111" s="47"/>
      <c r="R111" s="114"/>
      <c r="S111" s="544"/>
      <c r="T111" s="47"/>
      <c r="U111" s="47"/>
      <c r="V111" s="47"/>
      <c r="W111" s="44"/>
      <c r="X111" s="543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</row>
    <row r="112" spans="1:45" x14ac:dyDescent="0.6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32.109156920128861</v>
      </c>
      <c r="F112" s="75">
        <f>(SUMPRODUCT(F20:F23,F65:F68,$D84:$D87,$H84:$H87)*F95+SUMPRODUCT(R20:R23,F65:F68,$F84:$F87,$I84:$I87)*F95)/SUM(F65:F68)</f>
        <v>32.222600839592694</v>
      </c>
      <c r="G112" s="75">
        <f>(SUMPRODUCT(G20:G23,G65:G68,$D84:$D87,$H84:$H87)*G95+SUMPRODUCT(S20:S23,G65:G68,$F84:$F87,$I84:$I87)*G95)/SUM(G65:G68)</f>
        <v>32.812270917000752</v>
      </c>
      <c r="H112" s="75">
        <f>(SUMPRODUCT(H20:H23,H65:H68,$D84:$D87,$H84:$H87)*H95+SUMPRODUCT(T20:T23,H65:H68,$F84:$F87,$I84:$I87)*H95)/SUM(H65:H68)</f>
        <v>32.599611540732106</v>
      </c>
      <c r="I112" s="75">
        <f>(SUMPRODUCT(I20:I23,I65:I68,$D84:$D87,$H84:$H87)*I95+SUMPRODUCT(U20:U23,I65:I68,$F84:$F87,$I84:$I87)*I95)/SUM(I65:I68)</f>
        <v>29.224721619201453</v>
      </c>
      <c r="J112" s="76"/>
      <c r="K112" s="74"/>
      <c r="L112" s="74"/>
      <c r="M112" s="53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51"/>
      <c r="AA112" s="47"/>
      <c r="AB112" s="114"/>
      <c r="AC112" s="544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</row>
    <row r="113" spans="1:45" x14ac:dyDescent="0.6">
      <c r="A113" s="22"/>
      <c r="B113" s="77" t="s">
        <v>41</v>
      </c>
      <c r="C113" s="74"/>
      <c r="D113" s="74"/>
      <c r="E113" s="75">
        <f>(SUMPRODUCT(E20:E23,E65:E68,$D84:$D87,$H84:$H87)*E95)/SUMPRODUCT(E20:E23,E65:E68)</f>
        <v>38.222404156977547</v>
      </c>
      <c r="F113" s="75">
        <f>(SUMPRODUCT(F20:F23,F65:F68,$D84:$D87,$H84:$H87)*F95)/SUMPRODUCT(F20:F23,F65:F68)</f>
        <v>38.297494957470647</v>
      </c>
      <c r="G113" s="75">
        <f>(SUMPRODUCT(G20:G23,G65:G68,$D84:$D87,$H84:$H87)*G95)/SUMPRODUCT(G20:G23,G65:G68)</f>
        <v>38.084908901946065</v>
      </c>
      <c r="H113" s="75">
        <f>(SUMPRODUCT(H20:H23,H65:H68,$D84:$D87,$H84:$H87)*H95)/SUMPRODUCT(H20:H23,H65:H68)</f>
        <v>38.193249307752588</v>
      </c>
      <c r="I113" s="75">
        <f>(SUMPRODUCT(I20:I23,I65:I68,$D84:$D87,$H84:$H87)*I95)/SUMPRODUCT(I20:I23,I65:I68)</f>
        <v>37.952714070804269</v>
      </c>
      <c r="J113" s="76"/>
      <c r="K113" s="74"/>
      <c r="L113" s="74"/>
      <c r="M113" s="539"/>
      <c r="N113" s="47"/>
      <c r="O113" s="47"/>
      <c r="P113" s="47"/>
      <c r="Q113" s="47"/>
      <c r="R113" s="47"/>
      <c r="S113" s="538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</row>
    <row r="114" spans="1:45" x14ac:dyDescent="0.6">
      <c r="A114" s="22"/>
      <c r="B114" s="77" t="s">
        <v>42</v>
      </c>
      <c r="C114" s="74"/>
      <c r="D114" s="74"/>
      <c r="E114" s="75">
        <f>(SUMPRODUCT(Q20:Q23,E65:E68,$F84:$F87,$I84:$I87)*E95)/SUMPRODUCT(Q20:Q23,E65:E68)</f>
        <v>25.53932558939858</v>
      </c>
      <c r="F114" s="75">
        <f>(SUMPRODUCT(R20:R23,F65:F68,$F84:$F87,$I84:$I87)*F95)/SUMPRODUCT(R20:R23,F65:F68)</f>
        <v>25.614222238648249</v>
      </c>
      <c r="G114" s="75">
        <f>(SUMPRODUCT(S20:S23,G65:G68,$F84:$F87,$I84:$I87)*G95)/SUMPRODUCT(S20:S23,G65:G68)</f>
        <v>25.507522291513183</v>
      </c>
      <c r="H114" s="75">
        <f>(SUMPRODUCT(T20:T23,H65:H68,$F84:$F87,$I84:$I87)*H95)/SUMPRODUCT(T20:T23,H65:H68)</f>
        <v>25.583289047706884</v>
      </c>
      <c r="I114" s="75">
        <f>(SUMPRODUCT(U20:U23,I65:I68,$F84:$F87,$I84:$I87)*I95)/SUMPRODUCT(U20:U23,I65:I68)</f>
        <v>25.443493499277785</v>
      </c>
      <c r="J114" s="76"/>
      <c r="K114" s="74"/>
      <c r="L114" s="74"/>
      <c r="M114" s="44"/>
      <c r="N114" s="543"/>
      <c r="O114" s="47"/>
      <c r="P114" s="131"/>
      <c r="Q114" s="47"/>
      <c r="R114" s="47"/>
      <c r="S114" s="47"/>
      <c r="T114" s="47"/>
      <c r="U114" s="47"/>
      <c r="V114" s="47"/>
      <c r="W114" s="537"/>
      <c r="X114" s="47"/>
      <c r="Y114" s="47"/>
      <c r="Z114" s="47"/>
      <c r="AA114" s="47"/>
      <c r="AB114" s="47"/>
      <c r="AC114" s="538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  <row r="115" spans="1:45" x14ac:dyDescent="0.6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544"/>
      <c r="T115" s="47"/>
      <c r="U115" s="47"/>
      <c r="V115" s="47"/>
      <c r="W115" s="44"/>
      <c r="X115" s="543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</row>
    <row r="116" spans="1:45" x14ac:dyDescent="0.6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28.576978681047922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28.254376725421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28.364773339149156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28.180038775291337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26.875047392220953</v>
      </c>
      <c r="J116" s="76"/>
      <c r="K116" s="74"/>
      <c r="L116" s="74"/>
      <c r="M116" s="541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51"/>
      <c r="AA116" s="47"/>
      <c r="AB116" s="114"/>
      <c r="AC116" s="544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</row>
    <row r="117" spans="1:45" x14ac:dyDescent="0.6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31.298201509701283</v>
      </c>
      <c r="F117" s="75">
        <f>(SUMPRODUCT(F15:F19,F60:F64,$D79:$D83,$H79:$H83)*F95+SUMPRODUCT(F24:F26,F69:F71,$D88:$D90,$H88:$H90)*F95)/(SUMPRODUCT(F15:F19,F60:F64)+SUMPRODUCT(F24:F26,F69:F71))</f>
        <v>30.816732193116369</v>
      </c>
      <c r="G117" s="75">
        <f>(SUMPRODUCT(G15:G19,G60:G64,$D79:$D83,$H79:$H83)*G95+SUMPRODUCT(G24:G26,G69:G71,$D88:$D90,$H88:$H90)*G95)/(SUMPRODUCT(G15:G19,G60:G64)+SUMPRODUCT(G24:G26,G69:G71))</f>
        <v>30.476989441480672</v>
      </c>
      <c r="H117" s="75">
        <f>(SUMPRODUCT(H15:H19,H60:H64,$D79:$D83,$H79:$H83)*H95+SUMPRODUCT(H24:H26,H69:H71,$D88:$D90,$H88:$H90)*H95)/(SUMPRODUCT(H15:H19,H60:H64)+SUMPRODUCT(H24:H26,H69:H71))</f>
        <v>30.495294964701728</v>
      </c>
      <c r="I117" s="75">
        <f>(SUMPRODUCT(I15:I19,I60:I64,$D79:$D83,$H79:$H83)*I95+SUMPRODUCT(I24:I26,I69:I71,$D88:$D90,$H88:$H90)*I95)/(SUMPRODUCT(I15:I19,I60:I64)+SUMPRODUCT(I24:I26,I69:I71))</f>
        <v>30.353952170870603</v>
      </c>
      <c r="J117" s="76"/>
      <c r="K117" s="74"/>
      <c r="L117" s="74"/>
      <c r="M117" s="539"/>
      <c r="N117" s="47"/>
      <c r="O117" s="47"/>
      <c r="P117" s="47"/>
      <c r="Q117" s="47"/>
      <c r="R117" s="47"/>
      <c r="S117" s="538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</row>
    <row r="118" spans="1:45" x14ac:dyDescent="0.6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26.080275665424914</v>
      </c>
      <c r="F118" s="75">
        <f>(SUMPRODUCT(R15:R19,F60:F64,$F79:$F83,$I79:$I83)*F95+SUMPRODUCT(R24:R26,F69:F71,$F88:$F90,$I88:$I90)*F95)/(SUMPRODUCT(R15:R19,F60:F64)+SUMPRODUCT(R24:R26,F69:F71))</f>
        <v>25.669173022368962</v>
      </c>
      <c r="G118" s="75">
        <f>(SUMPRODUCT(S15:S19,G60:G64,$F79:$F83,$I79:$I83)*G95+SUMPRODUCT(S24:S26,G69:G71,$F88:$F90,$I88:$I90)*G95)/(SUMPRODUCT(S15:S19,G60:G64)+SUMPRODUCT(S24:S26,G69:G71))</f>
        <v>25.49599838274267</v>
      </c>
      <c r="H118" s="75">
        <f>(SUMPRODUCT(T15:T19,H60:H64,$F79:$F83,$I79:$I83)*H95+SUMPRODUCT(T24:T26,H69:H71,$F88:$F90,$I88:$I90)*H95)/(SUMPRODUCT(T15:T19,H60:H64)+SUMPRODUCT(T24:T26,H69:H71))</f>
        <v>25.427971885334859</v>
      </c>
      <c r="I118" s="75">
        <f>(SUMPRODUCT(U15:U19,I60:I64,$F79:$F83,$I79:$I83)*I95+SUMPRODUCT(U24:U26,I69:I71,$F88:$F90,$I88:$I90)*I95)/(SUMPRODUCT(U15:U19,I60:I64)+SUMPRODUCT(U24:U26,I69:I71))</f>
        <v>25.235464916137811</v>
      </c>
      <c r="J118" s="76"/>
      <c r="K118" s="74"/>
      <c r="L118" s="74"/>
      <c r="M118" s="44"/>
      <c r="N118" s="543"/>
      <c r="O118" s="47"/>
      <c r="P118" s="131"/>
      <c r="Q118" s="47"/>
      <c r="R118" s="47"/>
      <c r="S118" s="47"/>
      <c r="T118" s="47"/>
      <c r="U118" s="47"/>
      <c r="V118" s="47"/>
      <c r="W118" s="537"/>
      <c r="X118" s="302"/>
      <c r="Y118" s="302"/>
      <c r="Z118" s="302"/>
      <c r="AA118" s="302"/>
      <c r="AB118" s="302"/>
      <c r="AC118" s="538"/>
      <c r="AD118" s="302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</row>
    <row r="119" spans="1:45" x14ac:dyDescent="0.6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544"/>
      <c r="T119" s="47"/>
      <c r="U119" s="47"/>
      <c r="V119" s="47"/>
      <c r="W119" s="551"/>
      <c r="X119" s="552"/>
      <c r="Y119" s="302"/>
      <c r="Z119" s="553"/>
      <c r="AA119" s="302"/>
      <c r="AB119" s="302"/>
      <c r="AC119" s="302"/>
      <c r="AD119" s="302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</row>
    <row r="120" spans="1:45" x14ac:dyDescent="0.6">
      <c r="A120" s="22"/>
      <c r="B120" s="13" t="s">
        <v>16</v>
      </c>
      <c r="C120" s="74"/>
      <c r="D120" s="78"/>
      <c r="E120" s="79">
        <f>(E112*SUM(E65:E68)+E116*SUM(E60:E64,E69:E71))/E72</f>
        <v>29.745103599851468</v>
      </c>
      <c r="F120" s="79">
        <f>(F112*SUM(F65:F68)+F116*SUM(F60:F64,F69:F71))/F72</f>
        <v>29.90866285828243</v>
      </c>
      <c r="G120" s="79">
        <f>(G112*SUM(G65:G68)+G116*SUM(G60:G64,G69:G71))/G72</f>
        <v>30.021114800998188</v>
      </c>
      <c r="H120" s="79">
        <f>(H112*SUM(H65:H68)+H116*SUM(H60:H64,H69:H71))/H72</f>
        <v>29.699535772313435</v>
      </c>
      <c r="I120" s="79">
        <f>(I112*SUM(I65:I68)+I116*SUM(I60:I64,I69:I71))/I72</f>
        <v>27.658292215173937</v>
      </c>
      <c r="J120" s="76"/>
      <c r="K120" s="78"/>
      <c r="L120" s="78"/>
      <c r="M120" s="539"/>
      <c r="N120" s="47"/>
      <c r="O120" s="47"/>
      <c r="P120" s="47"/>
      <c r="Q120" s="47"/>
      <c r="R120" s="47"/>
      <c r="S120" s="47"/>
      <c r="T120" s="47"/>
      <c r="U120" s="47"/>
      <c r="V120" s="47"/>
      <c r="W120" s="302"/>
      <c r="X120" s="302"/>
      <c r="Y120" s="302"/>
      <c r="Z120" s="554"/>
      <c r="AA120" s="302"/>
      <c r="AB120" s="555"/>
      <c r="AC120" s="544"/>
      <c r="AD120" s="554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</row>
    <row r="121" spans="1:45" x14ac:dyDescent="0.6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539"/>
      <c r="N121" s="47"/>
      <c r="O121" s="47"/>
      <c r="P121" s="47"/>
      <c r="Q121" s="47"/>
      <c r="R121" s="47"/>
      <c r="S121" s="538"/>
      <c r="T121" s="47"/>
      <c r="U121" s="47"/>
      <c r="V121" s="47"/>
      <c r="W121" s="302"/>
      <c r="X121" s="302"/>
      <c r="Y121" s="302"/>
      <c r="Z121" s="302"/>
      <c r="AA121" s="302"/>
      <c r="AB121" s="302"/>
      <c r="AC121" s="302"/>
      <c r="AD121" s="302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</row>
    <row r="122" spans="1:45" x14ac:dyDescent="0.6">
      <c r="A122" s="22"/>
      <c r="B122" s="13" t="s">
        <v>44</v>
      </c>
      <c r="C122" s="80">
        <f>SUMPRODUCT(C120:I120,C72:I72)/SUM(C72:I72)</f>
        <v>29.928299452942102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543"/>
      <c r="O122" s="47"/>
      <c r="P122" s="131"/>
      <c r="Q122" s="47"/>
      <c r="R122" s="47"/>
      <c r="S122" s="47"/>
      <c r="T122" s="47"/>
      <c r="U122" s="47"/>
      <c r="V122" s="47"/>
      <c r="W122" s="537"/>
      <c r="X122" s="302"/>
      <c r="Y122" s="302"/>
      <c r="Z122" s="302"/>
      <c r="AA122" s="302"/>
      <c r="AB122" s="302"/>
      <c r="AC122" s="538"/>
      <c r="AD122" s="302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</row>
    <row r="123" spans="1:45" x14ac:dyDescent="0.6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544"/>
      <c r="T123" s="47"/>
      <c r="U123" s="47"/>
      <c r="V123" s="47"/>
      <c r="W123" s="551"/>
      <c r="X123" s="552"/>
      <c r="Y123" s="302"/>
      <c r="Z123" s="553"/>
      <c r="AA123" s="302"/>
      <c r="AB123" s="302"/>
      <c r="AC123" s="302"/>
      <c r="AD123" s="302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</row>
    <row r="124" spans="1:45" x14ac:dyDescent="0.6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539"/>
      <c r="N124" s="47"/>
      <c r="O124" s="47"/>
      <c r="P124" s="47"/>
      <c r="Q124" s="47"/>
      <c r="R124" s="47"/>
      <c r="S124" s="47"/>
      <c r="T124" s="47"/>
      <c r="U124" s="47"/>
      <c r="V124" s="47"/>
      <c r="W124" s="302"/>
      <c r="X124" s="302"/>
      <c r="Y124" s="302"/>
      <c r="Z124" s="554"/>
      <c r="AA124" s="302"/>
      <c r="AB124" s="555"/>
      <c r="AC124" s="544"/>
      <c r="AD124" s="554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</row>
    <row r="125" spans="1:45" x14ac:dyDescent="0.6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539"/>
      <c r="N125" s="47"/>
      <c r="O125" s="47"/>
      <c r="P125" s="47"/>
      <c r="Q125" s="47"/>
      <c r="R125" s="47"/>
      <c r="S125" s="538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</row>
    <row r="126" spans="1:45" x14ac:dyDescent="0.6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543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</row>
    <row r="127" spans="1:45" x14ac:dyDescent="0.6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54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</row>
    <row r="128" spans="1:45" x14ac:dyDescent="0.6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</row>
    <row r="129" spans="1:45" x14ac:dyDescent="0.6">
      <c r="A129" s="22"/>
      <c r="C129" s="81"/>
      <c r="M129" s="537"/>
      <c r="N129" s="47"/>
      <c r="O129" s="47"/>
      <c r="P129" s="47"/>
      <c r="Q129" s="47"/>
      <c r="R129" s="47"/>
      <c r="S129" s="538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</row>
    <row r="130" spans="1:45" x14ac:dyDescent="0.6">
      <c r="A130" s="22"/>
      <c r="B130" s="28" t="s">
        <v>17</v>
      </c>
      <c r="C130" s="76"/>
      <c r="D130" s="76"/>
      <c r="E130" s="76">
        <f>SUM(E65:E68)*E112/1000</f>
        <v>2080.1917310705485</v>
      </c>
      <c r="F130" s="76">
        <f>SUM(F65:F68)*F112/1000</f>
        <v>127518.13945641504</v>
      </c>
      <c r="G130" s="76">
        <f>SUM(G65:G68)*G112/1000</f>
        <v>69931.80863727619</v>
      </c>
      <c r="H130" s="76">
        <f>SUM(H65:H68)*H112/1000</f>
        <v>2118.7791524783424</v>
      </c>
      <c r="I130" s="76">
        <f>SUM(I65:I68)*I112/1000</f>
        <v>1139.9102667569528</v>
      </c>
      <c r="J130" s="76">
        <f>SUM(E130:I130)</f>
        <v>202788.82924399708</v>
      </c>
      <c r="K130" s="76"/>
      <c r="L130" s="76"/>
      <c r="M130" s="44"/>
      <c r="N130" s="543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</row>
    <row r="131" spans="1:45" x14ac:dyDescent="0.6">
      <c r="A131" s="22"/>
      <c r="B131" s="77" t="s">
        <v>41</v>
      </c>
      <c r="C131" s="76"/>
      <c r="D131" s="76"/>
      <c r="E131" s="76">
        <f>SUMPRODUCT(E65:E68,E20:E23)*E113/1000</f>
        <v>1282.6908613891196</v>
      </c>
      <c r="F131" s="76">
        <f>SUMPRODUCT(F65:F68,F20:F23)*F113/1000</f>
        <v>78966.94360685072</v>
      </c>
      <c r="G131" s="76">
        <f>SUMPRODUCT(G65:G68,G20:G23)*G113/1000</f>
        <v>47141.810482305242</v>
      </c>
      <c r="H131" s="76">
        <f>SUMPRODUCT(H65:H68,H20:H23)*H113/1000</f>
        <v>1381.1972287684644</v>
      </c>
      <c r="I131" s="76">
        <f>SUMPRODUCT(I65:I68,I20:I23)*I113/1000</f>
        <v>447.47188080570072</v>
      </c>
      <c r="J131" s="76">
        <f>SUM(E131:I131)</f>
        <v>129220.11406011925</v>
      </c>
      <c r="K131" s="76"/>
      <c r="L131" s="76"/>
      <c r="M131" s="47"/>
      <c r="N131" s="47"/>
      <c r="O131" s="47"/>
      <c r="P131" s="47"/>
      <c r="Q131" s="47"/>
      <c r="R131" s="114"/>
      <c r="S131" s="54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</row>
    <row r="132" spans="1:45" x14ac:dyDescent="0.6">
      <c r="A132" s="22"/>
      <c r="B132" s="77" t="s">
        <v>42</v>
      </c>
      <c r="C132" s="76"/>
      <c r="D132" s="76"/>
      <c r="E132" s="76">
        <f>SUMPRODUCT(E65:E68,Q20:Q23)*E114/1000</f>
        <v>797.50086968142841</v>
      </c>
      <c r="F132" s="76">
        <f>SUMPRODUCT(F65:F68,R20:R23)*F114/1000</f>
        <v>48551.195849564327</v>
      </c>
      <c r="G132" s="76">
        <f>SUMPRODUCT(G65:G68,S20:S23)*G114/1000</f>
        <v>22789.998154970945</v>
      </c>
      <c r="H132" s="76">
        <f>SUMPRODUCT(H65:H68,T20:T23)*H114/1000</f>
        <v>737.58192370987808</v>
      </c>
      <c r="I132" s="76">
        <f>SUMPRODUCT(I65:I68,U20:U23)*I114/1000</f>
        <v>692.43838595125192</v>
      </c>
      <c r="J132" s="76">
        <f>SUM(E132:I132)</f>
        <v>73568.715183877823</v>
      </c>
      <c r="K132" s="76"/>
      <c r="L132" s="76"/>
      <c r="M132" s="556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</row>
    <row r="133" spans="1:45" x14ac:dyDescent="0.6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537"/>
      <c r="N133" s="47"/>
      <c r="O133" s="47"/>
      <c r="P133" s="47"/>
      <c r="Q133" s="47"/>
      <c r="R133" s="47"/>
      <c r="S133" s="538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</row>
    <row r="134" spans="1:45" x14ac:dyDescent="0.6">
      <c r="A134" s="22"/>
      <c r="B134" s="28" t="s">
        <v>18</v>
      </c>
      <c r="C134" s="82"/>
      <c r="D134" s="82"/>
      <c r="E134" s="82">
        <f>SUM(E60:E64,E69:E71)*E116/1000</f>
        <v>3746.7848288295554</v>
      </c>
      <c r="F134" s="82">
        <f>SUM(F60:F64,F69:F71)*F116/1000</f>
        <v>156400.52011847132</v>
      </c>
      <c r="G134" s="82">
        <f>SUM(G60:G64,G69:G71)*G116/1000</f>
        <v>101871.34596344738</v>
      </c>
      <c r="H134" s="82">
        <f>SUM(H60:H64,H69:H71)*H116/1000</f>
        <v>3495.621089919789</v>
      </c>
      <c r="I134" s="82">
        <f>SUM(I60:I64,I69:I71)*I116/1000</f>
        <v>2096.4418219249796</v>
      </c>
      <c r="J134" s="76">
        <f>SUM(E134:I134)</f>
        <v>267610.71382259304</v>
      </c>
      <c r="K134" s="82"/>
      <c r="L134" s="82"/>
      <c r="M134" s="44"/>
      <c r="N134" s="543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</row>
    <row r="135" spans="1:45" x14ac:dyDescent="0.6">
      <c r="A135" s="22"/>
      <c r="B135" s="77" t="s">
        <v>41</v>
      </c>
      <c r="C135" s="76"/>
      <c r="D135" s="76"/>
      <c r="E135" s="76">
        <f>(SUMPRODUCT(E60:E64,E15:E19)+SUMPRODUCT(E69:E71,E24:E26))*E117/1000</f>
        <v>1963.4995573154422</v>
      </c>
      <c r="F135" s="76">
        <f>(SUMPRODUCT(F60:F64,F15:F19)+SUMPRODUCT(F69:F71,F24:F26))*F117/1000</f>
        <v>85670.730012136308</v>
      </c>
      <c r="G135" s="76">
        <f>(SUMPRODUCT(G60:G64,G15:G19)+SUMPRODUCT(G69:G71,G24:G26))*G117/1000</f>
        <v>63041.350782074653</v>
      </c>
      <c r="H135" s="76">
        <f>(SUMPRODUCT(H60:H64,H15:H19)+SUMPRODUCT(H69:H71,H24:H26))*H117/1000</f>
        <v>2054.4519751477446</v>
      </c>
      <c r="I135" s="76">
        <f>(SUMPRODUCT(I60:I64,I15:I19)+SUMPRODUCT(I69:I71,I24:I26))*I117/1000</f>
        <v>758.47358996279524</v>
      </c>
      <c r="J135" s="76">
        <f>SUM(E135:I135)</f>
        <v>153488.50591663693</v>
      </c>
      <c r="K135" s="76"/>
      <c r="L135" s="76"/>
      <c r="M135" s="47"/>
      <c r="N135" s="47"/>
      <c r="O135" s="47"/>
      <c r="P135" s="351"/>
      <c r="Q135" s="47"/>
      <c r="R135" s="114"/>
      <c r="S135" s="54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</row>
    <row r="136" spans="1:45" x14ac:dyDescent="0.6">
      <c r="A136" s="22"/>
      <c r="B136" s="77" t="s">
        <v>42</v>
      </c>
      <c r="C136" s="76"/>
      <c r="D136" s="76"/>
      <c r="E136" s="76">
        <f>+(SUMPRODUCT(E60:E64,Q15:Q19)+SUMPRODUCT(E69:E71,Q24:Q26))*E118/1000</f>
        <v>1783.2852715141128</v>
      </c>
      <c r="F136" s="76">
        <f>+(SUMPRODUCT(F60:F64,R15:R19)+SUMPRODUCT(F69:F71,R24:R26))*F118/1000</f>
        <v>70729.790106335015</v>
      </c>
      <c r="G136" s="76">
        <f>+(SUMPRODUCT(G60:G64,S15:S19)+SUMPRODUCT(G69:G71,S24:S26))*G118/1000</f>
        <v>38829.995181372717</v>
      </c>
      <c r="H136" s="76">
        <f>+(SUMPRODUCT(H60:H64,T15:T19)+SUMPRODUCT(H69:H71,T24:T26))*H118/1000</f>
        <v>1441.1691147720444</v>
      </c>
      <c r="I136" s="76">
        <f>+(SUMPRODUCT(I60:I64,U15:U19)+SUMPRODUCT(I69:I71,U24:U26))*I118/1000</f>
        <v>1337.9682319621847</v>
      </c>
      <c r="J136" s="76">
        <f>SUM(E136:I136)</f>
        <v>114122.20790595606</v>
      </c>
      <c r="K136" s="76"/>
      <c r="L136" s="76"/>
      <c r="M136" s="542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</row>
    <row r="137" spans="1:45" x14ac:dyDescent="0.6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537"/>
      <c r="N137" s="47"/>
      <c r="O137" s="47"/>
      <c r="P137" s="47"/>
      <c r="Q137" s="47"/>
      <c r="R137" s="47"/>
      <c r="S137" s="538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</row>
    <row r="138" spans="1:45" x14ac:dyDescent="0.6">
      <c r="A138" s="22"/>
      <c r="B138" s="13" t="s">
        <v>16</v>
      </c>
      <c r="C138" s="82"/>
      <c r="D138" s="82"/>
      <c r="E138" s="82">
        <f>+E130+E134</f>
        <v>5826.9765599001039</v>
      </c>
      <c r="F138" s="82">
        <f>+F130+F134</f>
        <v>283918.65957488638</v>
      </c>
      <c r="G138" s="82">
        <f>+G130+G134</f>
        <v>171803.15460072359</v>
      </c>
      <c r="H138" s="82">
        <f>+H130+H134</f>
        <v>5614.400242398131</v>
      </c>
      <c r="I138" s="82">
        <f>+I130+I134</f>
        <v>3236.3520886819324</v>
      </c>
      <c r="J138" s="76">
        <f>SUM(E138:I138)</f>
        <v>470399.54306659015</v>
      </c>
      <c r="K138" s="82"/>
      <c r="L138" s="82"/>
      <c r="M138" s="44"/>
      <c r="N138" s="543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</row>
    <row r="139" spans="1:45" x14ac:dyDescent="0.6">
      <c r="A139" s="22"/>
      <c r="M139" s="47"/>
      <c r="N139" s="47"/>
      <c r="O139" s="47"/>
      <c r="P139" s="351"/>
      <c r="Q139" s="47"/>
      <c r="R139" s="114"/>
      <c r="S139" s="54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</row>
    <row r="140" spans="1:45" x14ac:dyDescent="0.6">
      <c r="A140" s="22"/>
      <c r="B140" s="13" t="s">
        <v>44</v>
      </c>
      <c r="C140" s="76">
        <f>SUM(C138:I138)</f>
        <v>470399.54306659015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</row>
    <row r="141" spans="1:45" x14ac:dyDescent="0.6">
      <c r="A141" s="22"/>
    </row>
    <row r="142" spans="1:45" x14ac:dyDescent="0.6">
      <c r="A142" s="22"/>
    </row>
    <row r="143" spans="1:45" ht="15.5" x14ac:dyDescent="0.7">
      <c r="A143" s="22"/>
      <c r="B143" s="578" t="str">
        <f>$B$1</f>
        <v xml:space="preserve">Jersey Central Power &amp; Light </v>
      </c>
      <c r="C143" s="578"/>
      <c r="D143" s="578"/>
      <c r="E143" s="578"/>
      <c r="F143" s="578"/>
      <c r="G143" s="578"/>
      <c r="H143" s="578"/>
      <c r="I143" s="578"/>
      <c r="J143" s="578"/>
      <c r="K143" s="578"/>
      <c r="L143" s="578"/>
    </row>
    <row r="144" spans="1:45" ht="15.5" x14ac:dyDescent="0.7">
      <c r="A144" s="22"/>
      <c r="B144" s="578" t="str">
        <f>$B$2</f>
        <v>Attachment 2</v>
      </c>
      <c r="C144" s="578"/>
      <c r="D144" s="578"/>
      <c r="E144" s="578"/>
      <c r="F144" s="578"/>
      <c r="G144" s="578"/>
      <c r="H144" s="578"/>
      <c r="I144" s="578"/>
      <c r="J144" s="578"/>
      <c r="K144" s="578"/>
      <c r="L144" s="578"/>
    </row>
    <row r="145" spans="1:51" x14ac:dyDescent="0.6">
      <c r="A145" s="22"/>
    </row>
    <row r="146" spans="1:51" x14ac:dyDescent="0.6">
      <c r="A146" s="22"/>
    </row>
    <row r="147" spans="1:51" x14ac:dyDescent="0.6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6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6">
      <c r="A149" s="22"/>
      <c r="B149" s="17" t="s">
        <v>21</v>
      </c>
      <c r="C149" s="78"/>
    </row>
    <row r="150" spans="1:51" x14ac:dyDescent="0.6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6">
      <c r="A151" s="22"/>
      <c r="C151" s="81"/>
    </row>
    <row r="152" spans="1:51" x14ac:dyDescent="0.6">
      <c r="A152" s="22"/>
      <c r="B152" s="28" t="s">
        <v>17</v>
      </c>
      <c r="C152" s="80"/>
      <c r="D152" s="80"/>
      <c r="E152" s="75">
        <f>+E130/SUM(E65:E68)*1000</f>
        <v>32.109156920128861</v>
      </c>
      <c r="F152" s="75">
        <f>+F130/SUM(F65:F68)*1000</f>
        <v>32.222600839592694</v>
      </c>
      <c r="G152" s="75">
        <f>+G130/SUM(G65:G68)*1000</f>
        <v>32.812270917000752</v>
      </c>
      <c r="H152" s="75">
        <f>+H130/SUM(H65:H68)*1000</f>
        <v>32.599611540732106</v>
      </c>
      <c r="I152" s="75">
        <f>+I130/SUM(I65:I68)*1000</f>
        <v>29.224721619201457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6">
      <c r="A153" s="22"/>
      <c r="B153" s="77" t="s">
        <v>72</v>
      </c>
      <c r="C153" s="76"/>
      <c r="D153" s="76"/>
      <c r="E153" s="75">
        <f>+(E131*1000-X165*AVERAGE(E$113,E$114))/R165</f>
        <v>39.749628870528298</v>
      </c>
      <c r="F153" s="75"/>
      <c r="G153" s="75"/>
      <c r="H153" s="75">
        <f>+(H131*1000-W153*AVERAGE(H$113,H$114))/Q153</f>
        <v>39.679422877149499</v>
      </c>
      <c r="I153" s="75"/>
      <c r="J153" s="76"/>
      <c r="K153" s="76"/>
      <c r="L153" s="80"/>
      <c r="M153" s="80"/>
      <c r="P153" s="13" t="s">
        <v>14</v>
      </c>
      <c r="Q153" s="55">
        <f>T65</f>
        <v>29265.169300000001</v>
      </c>
      <c r="R153" s="55"/>
      <c r="T153" s="55">
        <f>T76</f>
        <v>36163.386299999998</v>
      </c>
      <c r="U153" s="55"/>
      <c r="W153" s="55">
        <f>+T153-Q153</f>
        <v>6898.2169999999969</v>
      </c>
      <c r="X153" s="55"/>
      <c r="Z153" s="144">
        <f>+H153*Q153/1000</f>
        <v>1161.2250282260732</v>
      </c>
      <c r="AA153" s="144"/>
      <c r="AX153" s="55"/>
    </row>
    <row r="154" spans="1:51" ht="15.25" x14ac:dyDescent="1.05">
      <c r="A154" s="22"/>
      <c r="B154" s="77" t="s">
        <v>73</v>
      </c>
      <c r="C154" s="76"/>
      <c r="D154" s="76"/>
      <c r="E154" s="75">
        <f>+(E132*1000-X166*AVERAGE(E$113,E$114))/R166</f>
        <v>26.629282658332812</v>
      </c>
      <c r="F154" s="75"/>
      <c r="G154" s="75"/>
      <c r="H154" s="75">
        <f>+(H132*1000-W154*AVERAGE(H$113,H$114))/Q154</f>
        <v>26.800600677152005</v>
      </c>
      <c r="I154" s="75"/>
      <c r="J154" s="76"/>
      <c r="K154" s="76"/>
      <c r="L154" s="80"/>
      <c r="M154" s="80"/>
      <c r="P154" s="13" t="s">
        <v>15</v>
      </c>
      <c r="Q154" s="55">
        <f>T66</f>
        <v>35728.830699999999</v>
      </c>
      <c r="R154" s="55"/>
      <c r="T154" s="55">
        <f>T77</f>
        <v>28830.613700000002</v>
      </c>
      <c r="U154" s="55"/>
      <c r="W154" s="55">
        <f>+T154-Q154</f>
        <v>-6898.2169999999969</v>
      </c>
      <c r="X154" s="55"/>
      <c r="Z154" s="85">
        <f>+H154*Q154/1000</f>
        <v>957.55412425226928</v>
      </c>
      <c r="AA154" s="85"/>
      <c r="AX154" s="55"/>
    </row>
    <row r="155" spans="1:51" x14ac:dyDescent="0.6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2118.7791524783424</v>
      </c>
      <c r="AA155" s="144"/>
      <c r="AC155" s="81">
        <f>+H130</f>
        <v>2118.7791524783424</v>
      </c>
      <c r="AD155" s="81"/>
    </row>
    <row r="156" spans="1:51" x14ac:dyDescent="0.6">
      <c r="A156" s="22"/>
      <c r="B156" s="28" t="s">
        <v>18</v>
      </c>
      <c r="C156" s="78"/>
      <c r="D156" s="78"/>
      <c r="E156" s="79">
        <f>+E134/SUM(E60:E64,E69:E71)*1000</f>
        <v>28.576978681047922</v>
      </c>
      <c r="F156" s="79">
        <f>+F134/SUM(F60:F64,F69:F71)*1000</f>
        <v>28.254376725421</v>
      </c>
      <c r="G156" s="79">
        <f>+G134/SUM(G60:G64,G69:G71)*1000</f>
        <v>28.36477333914916</v>
      </c>
      <c r="H156" s="79">
        <f>+H134/SUM(H60:H64,H69:H71)*1000</f>
        <v>28.180038775291337</v>
      </c>
      <c r="I156" s="79">
        <f>+I134/SUM(I60:I64,I69:I71)*1000</f>
        <v>26.875047392220949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6">
      <c r="A157" s="22"/>
      <c r="B157" s="77" t="s">
        <v>72</v>
      </c>
      <c r="C157" s="76"/>
      <c r="D157" s="76"/>
      <c r="E157" s="75">
        <f>+(E135*1000-X170*AVERAGE(E$113,E$114))/R170</f>
        <v>31.102678658637618</v>
      </c>
      <c r="F157" s="75"/>
      <c r="G157" s="75"/>
      <c r="H157" s="75">
        <f>+(H135*1000-W157*AVERAGE(H$117,H$118))/Q157</f>
        <v>31.180304555435043</v>
      </c>
      <c r="I157" s="75"/>
      <c r="J157" s="76"/>
      <c r="K157" s="76"/>
      <c r="L157" s="80"/>
      <c r="M157" s="80"/>
      <c r="P157" s="13" t="s">
        <v>14</v>
      </c>
      <c r="Q157" s="55">
        <f>T61</f>
        <v>53031.6512</v>
      </c>
      <c r="R157" s="55"/>
      <c r="T157" s="55">
        <f>T72</f>
        <v>67369.473799999992</v>
      </c>
      <c r="U157" s="55"/>
      <c r="W157" s="55">
        <f>+T157-Q157</f>
        <v>14337.822599999992</v>
      </c>
      <c r="X157" s="55"/>
      <c r="Z157" s="144">
        <f>+H157*Q157/1000</f>
        <v>1653.5430354936022</v>
      </c>
      <c r="AA157" s="144"/>
      <c r="AC157" s="81"/>
      <c r="AX157" s="55"/>
    </row>
    <row r="158" spans="1:51" ht="15.25" x14ac:dyDescent="1.05">
      <c r="A158" s="22"/>
      <c r="B158" s="77" t="s">
        <v>73</v>
      </c>
      <c r="C158" s="76"/>
      <c r="D158" s="76"/>
      <c r="E158" s="75">
        <f>+(E136*1000-X171*AVERAGE(E$113,E$114))/R171</f>
        <v>27.154261465952839</v>
      </c>
      <c r="F158" s="75"/>
      <c r="G158" s="75"/>
      <c r="H158" s="75">
        <f>+(H136*1000-W158*AVERAGE(H$117,H$118))/Q158</f>
        <v>25.939519062747312</v>
      </c>
      <c r="I158" s="75"/>
      <c r="J158" s="76"/>
      <c r="K158" s="76"/>
      <c r="L158" s="80"/>
      <c r="M158" s="80"/>
      <c r="P158" s="13" t="s">
        <v>15</v>
      </c>
      <c r="Q158" s="55">
        <f>T62</f>
        <v>71014.348800000007</v>
      </c>
      <c r="R158" s="55"/>
      <c r="T158" s="55">
        <f>T73</f>
        <v>56676.526200000008</v>
      </c>
      <c r="U158" s="55"/>
      <c r="W158" s="55">
        <f>+T158-Q158</f>
        <v>-14337.8226</v>
      </c>
      <c r="X158" s="55"/>
      <c r="Z158" s="85">
        <f>+H158*Q158/1000</f>
        <v>1842.078054426187</v>
      </c>
      <c r="AA158" s="85"/>
      <c r="AC158" s="81"/>
      <c r="AX158" s="55"/>
    </row>
    <row r="159" spans="1:51" x14ac:dyDescent="0.6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3495.6210899197895</v>
      </c>
      <c r="AA159" s="144"/>
      <c r="AC159" s="81">
        <f>+H134</f>
        <v>3495.621089919789</v>
      </c>
      <c r="AD159" s="81"/>
    </row>
    <row r="160" spans="1:51" x14ac:dyDescent="0.6">
      <c r="A160" s="22"/>
      <c r="B160" s="13" t="s">
        <v>74</v>
      </c>
      <c r="C160" s="74"/>
      <c r="D160" s="74"/>
      <c r="E160" s="75">
        <f>(E152*SUM(E65:E68)+E156*SUM(E60:E64,E69:E71))/E72</f>
        <v>29.745103599851468</v>
      </c>
      <c r="F160" s="75">
        <f>(F152*SUM(F65:F68)+F156*SUM(F60:F64,F69:F71))/F72</f>
        <v>29.90866285828243</v>
      </c>
      <c r="G160" s="75">
        <f>(G152*SUM(G65:G68)+G156*SUM(G60:G64,G69:G71))/G72</f>
        <v>30.021114800998188</v>
      </c>
      <c r="H160" s="75">
        <f>(H152*SUM(H65:H68)+H156*SUM(H60:H64,H69:H71))/H72</f>
        <v>29.699535772313435</v>
      </c>
      <c r="I160" s="75">
        <f>(I152*SUM(I65:I68)+I156*SUM(I60:I64,I69:I71))/I72</f>
        <v>27.658292215173937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6">
      <c r="A161" s="22"/>
      <c r="B161" s="13" t="s">
        <v>75</v>
      </c>
      <c r="C161" s="80">
        <f>+C140/SUM(C72:I72)*1000</f>
        <v>29.928299452942102</v>
      </c>
    </row>
    <row r="162" spans="1:51" x14ac:dyDescent="0.6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6">
      <c r="A163" s="22"/>
    </row>
    <row r="164" spans="1:51" x14ac:dyDescent="0.6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6">
      <c r="A165" s="22"/>
      <c r="B165" s="17" t="str">
        <f>'BGS PTY21 Cost Alloc'!$B$161</f>
        <v>obligations - annual average forecasted for 2022; costs are market estimates</v>
      </c>
      <c r="J165" s="26" t="s">
        <v>302</v>
      </c>
      <c r="P165" s="13" t="s">
        <v>14</v>
      </c>
      <c r="Q165" s="55">
        <f>SUMPRODUCT(E38:E41,M65:M68)</f>
        <v>26159.752399999998</v>
      </c>
      <c r="R165" s="55">
        <f>SUMPRODUCT(E38:E41,E65:E68)</f>
        <v>27055.982899999995</v>
      </c>
      <c r="T165" s="55">
        <f>Q76</f>
        <v>33558.612799999995</v>
      </c>
      <c r="U165" s="55">
        <f>T165-($Q$167*$Q165/($Q$165+$Q$166))</f>
        <v>32659.751167631843</v>
      </c>
      <c r="W165" s="55">
        <f>+T165-Q165</f>
        <v>7398.8603999999978</v>
      </c>
      <c r="X165" s="55">
        <f>-Q165+U165</f>
        <v>6499.9987676318451</v>
      </c>
      <c r="Z165" s="144">
        <f>+E153*Q165/1000</f>
        <v>1039.8404492449117</v>
      </c>
      <c r="AA165" s="144"/>
      <c r="AU165" s="82"/>
      <c r="AV165" s="82"/>
      <c r="AW165" s="82"/>
      <c r="AX165" s="82"/>
      <c r="AY165" s="82"/>
    </row>
    <row r="166" spans="1:51" ht="15.25" x14ac:dyDescent="1.0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36472.247600000002</v>
      </c>
      <c r="R166" s="55">
        <f>SUMPRODUCT(Q38:Q41,E65:E68)</f>
        <v>37729.017099999997</v>
      </c>
      <c r="T166" s="55">
        <f>Q77</f>
        <v>31226.387200000005</v>
      </c>
      <c r="U166" s="55">
        <f>T166-($Q$167*$Q166/($Q$165+$Q$166))</f>
        <v>29973.183289175857</v>
      </c>
      <c r="W166" s="55">
        <f>+T166-Q166</f>
        <v>-5245.8603999999978</v>
      </c>
      <c r="X166" s="55">
        <f>-Q166+U166</f>
        <v>-6499.0643108241457</v>
      </c>
      <c r="Z166" s="144">
        <f>+E154*Q166/1000</f>
        <v>971.2297905251005</v>
      </c>
      <c r="AA166" s="85"/>
      <c r="AU166" s="82"/>
      <c r="AV166" s="82"/>
      <c r="AW166" s="82"/>
      <c r="AX166" s="82"/>
      <c r="AY166" s="82"/>
    </row>
    <row r="167" spans="1:51" ht="15.25" x14ac:dyDescent="1.05">
      <c r="A167" s="22"/>
      <c r="P167" s="13" t="s">
        <v>191</v>
      </c>
      <c r="Q167" s="55">
        <f>SUM(W65:W68)/1000</f>
        <v>2152.0655431923001</v>
      </c>
      <c r="R167" s="55"/>
      <c r="T167" s="55">
        <v>0</v>
      </c>
      <c r="U167" s="55">
        <v>0</v>
      </c>
      <c r="W167" s="55">
        <f>+T167-Q167</f>
        <v>-2152.0655431923001</v>
      </c>
      <c r="X167" s="55"/>
      <c r="Z167" s="85">
        <f>+E152*Q167/1000</f>
        <v>69.101010228763911</v>
      </c>
      <c r="AU167" s="82"/>
      <c r="AV167" s="82"/>
      <c r="AW167" s="82"/>
      <c r="AX167" s="82"/>
      <c r="AY167" s="82"/>
    </row>
    <row r="168" spans="1:51" x14ac:dyDescent="0.6">
      <c r="A168" s="22"/>
      <c r="B168" s="13" t="s">
        <v>78</v>
      </c>
      <c r="C168" s="87"/>
      <c r="D168" s="87"/>
      <c r="E168" s="87">
        <f>'BGS PTY21 Cost Alloc'!E164</f>
        <v>45.363674999999986</v>
      </c>
      <c r="F168" s="87">
        <f>'BGS PTY21 Cost Alloc'!F164</f>
        <v>3120.6010289999999</v>
      </c>
      <c r="G168" s="87">
        <f>'BGS PTY21 Cost Alloc'!G164</f>
        <v>1402.7064789999999</v>
      </c>
      <c r="H168" s="87">
        <f>'BGS PTY21 Cost Alloc'!H164</f>
        <v>26.353576999999991</v>
      </c>
      <c r="I168" s="87">
        <f>'BGS PTY21 Cost Alloc'!I164</f>
        <v>0.50636199999999998</v>
      </c>
      <c r="J168" s="87">
        <f>SUM(E168:I168)</f>
        <v>4595.5311220000003</v>
      </c>
      <c r="K168" s="87"/>
      <c r="L168" s="87"/>
      <c r="M168" s="87"/>
      <c r="Z168" s="144">
        <f>SUM(Z165:Z167)</f>
        <v>2080.1712499987761</v>
      </c>
      <c r="AA168" s="144"/>
      <c r="AC168" s="81">
        <f>+E130</f>
        <v>2080.1917310705485</v>
      </c>
      <c r="AU168" s="82"/>
      <c r="AV168" s="82"/>
      <c r="AW168" s="82"/>
      <c r="AX168" s="82"/>
      <c r="AY168" s="82"/>
    </row>
    <row r="169" spans="1:51" x14ac:dyDescent="0.6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6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45336.398500000003</v>
      </c>
      <c r="R170" s="55">
        <f>SUMPRODUCT(E33:E37,E60:E64)+SUMPRODUCT(E42:E44,E69:E71)</f>
        <v>47243.095199999996</v>
      </c>
      <c r="T170" s="55">
        <f>Q72</f>
        <v>62735.22</v>
      </c>
      <c r="U170" s="55">
        <f>T170-($Q$172*$Q170/($Q$170+$Q$171))</f>
        <v>60835.123218913381</v>
      </c>
      <c r="W170" s="55">
        <f>+T170-Q170</f>
        <v>17398.821499999998</v>
      </c>
      <c r="X170" s="55">
        <f>-Q170+U170</f>
        <v>15498.724718913378</v>
      </c>
      <c r="Z170" s="144">
        <f>+E157*Q170/1000</f>
        <v>1410.0834340854406</v>
      </c>
      <c r="AA170" s="144"/>
      <c r="AC170" s="81"/>
      <c r="AU170" s="82"/>
      <c r="AV170" s="82"/>
      <c r="AW170" s="82"/>
      <c r="AX170" s="82"/>
      <c r="AY170" s="82"/>
    </row>
    <row r="171" spans="1:51" ht="15.25" x14ac:dyDescent="1.0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80501.601500000004</v>
      </c>
      <c r="R171" s="55">
        <f>SUMPRODUCT(Q33:Q37,E60:E64)+SUMPRODUCT(Q42:Q44,E69:E71)</f>
        <v>83868.904800000004</v>
      </c>
      <c r="T171" s="55">
        <f>Q73</f>
        <v>68376.78</v>
      </c>
      <c r="U171" s="55">
        <f>T171-($Q$172*$Q171/($Q$170+$Q$171))</f>
        <v>65002.872081785717</v>
      </c>
      <c r="W171" s="55">
        <f>+T171-Q171</f>
        <v>-12124.821500000005</v>
      </c>
      <c r="X171" s="55">
        <f>-Q171+U171</f>
        <v>-15498.729418214287</v>
      </c>
      <c r="Z171" s="144">
        <f>+E158*Q171/1000</f>
        <v>2185.9615355589413</v>
      </c>
      <c r="AA171" s="85"/>
      <c r="AC171" s="81"/>
      <c r="AU171" s="82"/>
      <c r="AV171" s="82"/>
      <c r="AW171" s="82"/>
      <c r="AX171" s="82"/>
      <c r="AY171" s="82"/>
    </row>
    <row r="172" spans="1:51" ht="15.25" x14ac:dyDescent="1.0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5274.0046993009</v>
      </c>
      <c r="T172" s="13">
        <v>0</v>
      </c>
      <c r="U172" s="55">
        <v>0</v>
      </c>
      <c r="W172" s="55">
        <f>+T172-Q172</f>
        <v>-5274.0046993009</v>
      </c>
      <c r="X172" s="55"/>
      <c r="Z172" s="85">
        <f>+E156*Q172/1000</f>
        <v>150.71511985566838</v>
      </c>
      <c r="AU172" s="82"/>
      <c r="AV172" s="82"/>
      <c r="AW172" s="82"/>
      <c r="AX172" s="82"/>
      <c r="AY172" s="82"/>
    </row>
    <row r="173" spans="1:51" x14ac:dyDescent="0.6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3746.7600895000505</v>
      </c>
      <c r="AA173" s="144"/>
      <c r="AC173" s="81">
        <f>+E134</f>
        <v>3746.7848288295554</v>
      </c>
      <c r="AU173" s="81"/>
      <c r="AV173" s="81"/>
      <c r="AW173" s="81"/>
      <c r="AX173" s="81"/>
      <c r="AY173" s="81"/>
    </row>
    <row r="174" spans="1:51" ht="15.25" x14ac:dyDescent="1.05">
      <c r="A174" s="22"/>
      <c r="D174" s="91" t="s">
        <v>84</v>
      </c>
      <c r="E174" s="90">
        <v>244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6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5826.9765599001039</v>
      </c>
    </row>
    <row r="176" spans="1:51" x14ac:dyDescent="0.6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6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6">
      <c r="A178" s="22"/>
      <c r="D178" s="38" t="s">
        <v>221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.25" x14ac:dyDescent="1.05">
      <c r="A179" s="22"/>
      <c r="B179" s="21" t="s">
        <v>87</v>
      </c>
      <c r="C179" s="13" t="s">
        <v>25</v>
      </c>
      <c r="D179" s="11">
        <v>164.89</v>
      </c>
      <c r="E179" s="162">
        <f>ROUND(D179*$H$307,3)</f>
        <v>142.36099999999999</v>
      </c>
      <c r="F179" s="93" t="s">
        <v>88</v>
      </c>
      <c r="G179" s="89" t="s">
        <v>162</v>
      </c>
      <c r="H179" s="81">
        <f>ROUND(E179*E173*J$168,0)</f>
        <v>79815378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.25" x14ac:dyDescent="1.05">
      <c r="A180" s="22"/>
      <c r="B180" s="21"/>
      <c r="C180" s="13" t="s">
        <v>26</v>
      </c>
      <c r="D180" s="11">
        <v>164.89</v>
      </c>
      <c r="E180" s="162">
        <f>ROUND(D180*$H$307,3)</f>
        <v>142.36099999999999</v>
      </c>
      <c r="F180" s="93" t="s">
        <v>88</v>
      </c>
      <c r="G180" s="121" t="s">
        <v>163</v>
      </c>
      <c r="H180" s="122">
        <f>ROUND(E180*E174*J$168,0)</f>
        <v>159630755</v>
      </c>
      <c r="I180" s="89"/>
      <c r="J180" s="89"/>
      <c r="K180" s="142"/>
      <c r="Z180" s="144"/>
      <c r="AA180" s="144"/>
      <c r="AC180" s="81"/>
    </row>
    <row r="181" spans="1:50" x14ac:dyDescent="0.6">
      <c r="A181" s="22"/>
      <c r="B181" s="21"/>
      <c r="D181" s="11"/>
      <c r="E181" s="93"/>
      <c r="G181" s="89" t="s">
        <v>164</v>
      </c>
      <c r="H181" s="81">
        <f>SUM(H179:H180)</f>
        <v>239446133</v>
      </c>
      <c r="I181" s="89"/>
      <c r="J181" s="453">
        <f>H181/(C291*1000)</f>
        <v>0.2459200603447598</v>
      </c>
      <c r="K181" s="142"/>
    </row>
    <row r="182" spans="1:50" x14ac:dyDescent="0.6">
      <c r="A182" s="22"/>
      <c r="B182" s="13" t="s">
        <v>153</v>
      </c>
      <c r="I182" s="89"/>
      <c r="J182" s="89"/>
      <c r="K182" s="142"/>
    </row>
    <row r="183" spans="1:50" x14ac:dyDescent="0.6">
      <c r="A183" s="22"/>
      <c r="B183" s="17" t="s">
        <v>154</v>
      </c>
      <c r="I183" s="89"/>
      <c r="J183" s="89"/>
      <c r="K183" s="142"/>
    </row>
    <row r="184" spans="1:50" x14ac:dyDescent="0.6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x14ac:dyDescent="0.6">
      <c r="A185" s="22"/>
      <c r="C185" s="38" t="s">
        <v>140</v>
      </c>
      <c r="E185" s="38" t="s">
        <v>141</v>
      </c>
      <c r="I185" s="89"/>
      <c r="J185" s="89"/>
      <c r="K185" s="142"/>
    </row>
    <row r="186" spans="1:50" x14ac:dyDescent="0.6">
      <c r="A186" s="22"/>
      <c r="B186" s="89" t="s">
        <v>142</v>
      </c>
      <c r="C186" s="107"/>
      <c r="E186" s="118">
        <f>SUM(R65/(R65+R66))</f>
        <v>0.52422952981238513</v>
      </c>
      <c r="F186" s="112"/>
      <c r="I186" s="89"/>
      <c r="J186" s="89"/>
      <c r="K186" s="142"/>
      <c r="AX186" s="118"/>
    </row>
    <row r="187" spans="1:50" x14ac:dyDescent="0.6">
      <c r="A187" s="22"/>
      <c r="B187" s="89" t="s">
        <v>144</v>
      </c>
      <c r="C187" s="108"/>
      <c r="E187" s="109">
        <f>1-E186</f>
        <v>0.47577047018761487</v>
      </c>
      <c r="G187" s="53"/>
      <c r="I187" s="89"/>
      <c r="J187" s="89"/>
      <c r="K187" s="142"/>
    </row>
    <row r="188" spans="1:50" x14ac:dyDescent="0.6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6">
      <c r="A189" s="13"/>
      <c r="J189" s="89"/>
      <c r="K189" s="142"/>
    </row>
    <row r="190" spans="1:50" x14ac:dyDescent="0.6">
      <c r="A190" s="18" t="s">
        <v>89</v>
      </c>
      <c r="B190" s="16" t="s">
        <v>90</v>
      </c>
      <c r="D190" s="38" t="s">
        <v>221</v>
      </c>
      <c r="E190" s="38" t="s">
        <v>218</v>
      </c>
    </row>
    <row r="191" spans="1:50" x14ac:dyDescent="0.6">
      <c r="A191" s="18"/>
      <c r="B191" s="17" t="s">
        <v>309</v>
      </c>
      <c r="D191" s="411">
        <v>2</v>
      </c>
      <c r="F191" s="13" t="s">
        <v>92</v>
      </c>
    </row>
    <row r="192" spans="1:50" x14ac:dyDescent="0.6">
      <c r="A192" s="18"/>
      <c r="B192" s="17" t="s">
        <v>312</v>
      </c>
      <c r="D192" s="412">
        <v>15.39</v>
      </c>
      <c r="F192" s="13" t="s">
        <v>92</v>
      </c>
    </row>
    <row r="193" spans="1:13" x14ac:dyDescent="0.6">
      <c r="A193" s="22"/>
      <c r="B193" s="17" t="s">
        <v>91</v>
      </c>
      <c r="D193" s="413">
        <f>D191+D192</f>
        <v>17.39</v>
      </c>
      <c r="E193" s="410">
        <f>ROUND(D193*$H$307,3)</f>
        <v>15.013999999999999</v>
      </c>
      <c r="F193" s="13" t="s">
        <v>92</v>
      </c>
    </row>
    <row r="194" spans="1:13" x14ac:dyDescent="0.6">
      <c r="A194" s="22"/>
      <c r="B194" s="17"/>
      <c r="F194" s="93"/>
    </row>
    <row r="195" spans="1:13" x14ac:dyDescent="0.6">
      <c r="A195" s="22"/>
      <c r="B195" s="16"/>
      <c r="E195" s="92"/>
      <c r="F195" s="93"/>
    </row>
    <row r="196" spans="1:13" x14ac:dyDescent="0.6">
      <c r="A196" s="18" t="s">
        <v>93</v>
      </c>
      <c r="B196" s="16" t="s">
        <v>167</v>
      </c>
    </row>
    <row r="197" spans="1:13" x14ac:dyDescent="0.6">
      <c r="A197" s="18"/>
      <c r="B197" s="16"/>
    </row>
    <row r="198" spans="1:13" x14ac:dyDescent="0.6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6">
      <c r="A199" s="18"/>
      <c r="B199" s="16"/>
      <c r="M199" s="307"/>
    </row>
    <row r="200" spans="1:13" x14ac:dyDescent="0.6">
      <c r="A200" s="22"/>
      <c r="B200" s="89" t="s">
        <v>94</v>
      </c>
      <c r="C200" s="145"/>
      <c r="D200" s="145"/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5"/>
      <c r="K200" s="145" t="s">
        <v>251</v>
      </c>
      <c r="L200" s="145"/>
      <c r="M200" s="309"/>
    </row>
    <row r="201" spans="1:13" x14ac:dyDescent="0.6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81"/>
    </row>
    <row r="202" spans="1:13" x14ac:dyDescent="0.6">
      <c r="A202" s="22"/>
      <c r="B202" s="89" t="s">
        <v>131</v>
      </c>
      <c r="C202" s="145"/>
      <c r="D202" s="145"/>
      <c r="E202" s="146">
        <f>$H$181*(E$168/$J$168)/E$72</f>
        <v>12.06570106636511</v>
      </c>
      <c r="F202" s="146">
        <f>$H$181*(F$168/$J$168)/F$72</f>
        <v>17.128267019129066</v>
      </c>
      <c r="G202" s="146">
        <f>$H$181*(G$168/$J$168)/G$72</f>
        <v>12.771285110700473</v>
      </c>
      <c r="H202" s="146">
        <f>$H$181*(H$168/$J$168)/H$72</f>
        <v>7.263701326447114</v>
      </c>
      <c r="I202" s="146">
        <f>$H$181*(I$168/$J$168)/I$72</f>
        <v>0.22547729712974729</v>
      </c>
      <c r="J202" s="145"/>
      <c r="K202" s="145"/>
      <c r="L202" s="145"/>
      <c r="M202" s="145"/>
    </row>
    <row r="203" spans="1:13" x14ac:dyDescent="0.6">
      <c r="A203" s="22"/>
      <c r="B203" s="89" t="s">
        <v>198</v>
      </c>
      <c r="C203" s="145"/>
      <c r="D203" s="145"/>
      <c r="E203" s="146">
        <f>$H$179*(E$168/$J$168)/SUM(E65:E68)</f>
        <v>12.161429609060658</v>
      </c>
      <c r="F203" s="146">
        <f>$H$179*(F$168/$J$168)/SUM(F65:F68)</f>
        <v>13.69549502410284</v>
      </c>
      <c r="G203" s="146">
        <f>$H$179*(G$168/$J$168)/SUM(G65:G68)</f>
        <v>11.430867596125504</v>
      </c>
      <c r="H203" s="146"/>
      <c r="I203" s="146">
        <f>$H$179*(I$168/$J$168)/SUM(I65:I68)</f>
        <v>0.22547151734334686</v>
      </c>
      <c r="J203" s="145"/>
      <c r="K203" s="145"/>
      <c r="L203" s="145"/>
      <c r="M203" s="145"/>
    </row>
    <row r="204" spans="1:13" x14ac:dyDescent="0.6">
      <c r="A204" s="22"/>
      <c r="B204" s="89" t="s">
        <v>199</v>
      </c>
      <c r="C204" s="145"/>
      <c r="D204" s="145"/>
      <c r="E204" s="146">
        <f>$H$179*(E$168/$J$168)/R165</f>
        <v>29.120295504880545</v>
      </c>
      <c r="F204" s="146"/>
      <c r="G204" s="146"/>
      <c r="H204" s="146">
        <f>$H$179*(H$168/$J$168)/Q153</f>
        <v>15.640095231867459</v>
      </c>
      <c r="I204" s="146"/>
      <c r="J204" s="145"/>
      <c r="K204" s="145"/>
      <c r="L204" s="145"/>
      <c r="M204" s="145"/>
    </row>
    <row r="205" spans="1:13" x14ac:dyDescent="0.6">
      <c r="A205" s="22"/>
      <c r="B205" s="89" t="s">
        <v>201</v>
      </c>
      <c r="C205" s="145"/>
      <c r="D205" s="145"/>
      <c r="E205" s="146">
        <f>$H$180*(E$168/$J$168)/(E72-SUM(E65:E68))</f>
        <v>12.01839972370745</v>
      </c>
      <c r="F205" s="146">
        <f>$H$180*(F$168/$J$168)/(F72-SUM(F65:F68))</f>
        <v>19.582432668560745</v>
      </c>
      <c r="G205" s="146">
        <f>$H$180*(G$168/$J$168)/(G72-SUM(G65:G68))</f>
        <v>13.566722203183449</v>
      </c>
      <c r="H205" s="146"/>
      <c r="I205" s="146">
        <f>$H$180*(I$168/$J$168)/(I72-SUM(I65:I68))</f>
        <v>0.2254801871340873</v>
      </c>
      <c r="J205" s="145"/>
      <c r="K205" s="145"/>
      <c r="L205" s="145"/>
      <c r="M205" s="145"/>
    </row>
    <row r="206" spans="1:13" x14ac:dyDescent="0.6">
      <c r="A206" s="22"/>
      <c r="B206" s="89" t="s">
        <v>200</v>
      </c>
      <c r="C206" s="145"/>
      <c r="D206" s="145"/>
      <c r="E206" s="146">
        <f>$H$180*(E$168/$J$168)/R170</f>
        <v>33.354216481877152</v>
      </c>
      <c r="F206" s="147"/>
      <c r="G206" s="147"/>
      <c r="H206" s="146">
        <f>$H$180*(H$168/$J$168)/Q157</f>
        <v>17.261768080169421</v>
      </c>
      <c r="I206" s="146"/>
      <c r="J206" s="145"/>
      <c r="K206" s="145"/>
      <c r="L206" s="145"/>
      <c r="M206" s="145"/>
    </row>
    <row r="207" spans="1:13" x14ac:dyDescent="0.6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5" x14ac:dyDescent="0.7">
      <c r="A208" s="22"/>
      <c r="B208" s="578" t="str">
        <f>$B$1</f>
        <v xml:space="preserve">Jersey Central Power &amp; Light </v>
      </c>
      <c r="C208" s="578"/>
      <c r="D208" s="578"/>
      <c r="E208" s="578"/>
      <c r="F208" s="578"/>
      <c r="G208" s="578"/>
      <c r="H208" s="578"/>
      <c r="I208" s="578"/>
      <c r="J208" s="578"/>
      <c r="K208" s="578"/>
      <c r="L208" s="578"/>
      <c r="M208" s="145"/>
    </row>
    <row r="209" spans="1:18" ht="15.5" x14ac:dyDescent="0.7">
      <c r="A209" s="22"/>
      <c r="B209" s="578" t="str">
        <f>$B$2</f>
        <v>Attachment 2</v>
      </c>
      <c r="C209" s="578"/>
      <c r="D209" s="578"/>
      <c r="E209" s="578"/>
      <c r="F209" s="578"/>
      <c r="G209" s="578"/>
      <c r="H209" s="578"/>
      <c r="I209" s="578"/>
      <c r="J209" s="578"/>
      <c r="K209" s="578"/>
      <c r="L209" s="578"/>
      <c r="M209" s="145"/>
      <c r="N209" s="145"/>
      <c r="O209" s="145"/>
      <c r="P209" s="145"/>
      <c r="Q209" s="145"/>
      <c r="R209" s="145"/>
    </row>
    <row r="210" spans="1:18" x14ac:dyDescent="0.6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6">
      <c r="A211" s="22"/>
      <c r="M211" s="145"/>
      <c r="N211" s="145"/>
      <c r="O211" s="145"/>
      <c r="P211" s="145"/>
      <c r="Q211" s="145"/>
      <c r="R211" s="145"/>
    </row>
    <row r="212" spans="1:18" x14ac:dyDescent="0.6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6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6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6">
      <c r="A215" s="22"/>
      <c r="B215" s="17" t="s">
        <v>402</v>
      </c>
      <c r="M215" s="145"/>
      <c r="N215" s="145"/>
      <c r="O215" s="145"/>
      <c r="P215" s="145"/>
      <c r="Q215" s="145"/>
      <c r="R215" s="145"/>
    </row>
    <row r="216" spans="1:18" x14ac:dyDescent="0.6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6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6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6">
      <c r="A219" s="22"/>
      <c r="B219" s="28" t="s">
        <v>17</v>
      </c>
      <c r="C219" s="74"/>
      <c r="D219" s="74"/>
      <c r="E219" s="74">
        <f>+E152+(E$95*$E$193)+E$200+E203</f>
        <v>61.056226947097628</v>
      </c>
      <c r="F219" s="74">
        <f>+F152+(F$95*$E$193)+F$200+F203</f>
        <v>62.703736281603639</v>
      </c>
      <c r="G219" s="74">
        <f>+G152+(G$95*$E$193)+G$200+G203</f>
        <v>61.02877893103436</v>
      </c>
      <c r="H219" s="74"/>
      <c r="I219" s="74">
        <f>+I152+(I$95*$E$193)+I$200+I203</f>
        <v>46.23583355445291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6">
      <c r="A220" s="22"/>
      <c r="B220" s="77" t="s">
        <v>72</v>
      </c>
      <c r="C220" s="74"/>
      <c r="D220" s="74"/>
      <c r="E220" s="74">
        <f>+E153+(E$95*$E$193)+E$200+E$204</f>
        <v>85.655564793316955</v>
      </c>
      <c r="F220" s="74"/>
      <c r="G220" s="74"/>
      <c r="H220" s="74">
        <f>+H153+(H$95*$E$193)+H$200+H$204</f>
        <v>72.105158526925067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6">
      <c r="A221" s="22"/>
      <c r="B221" s="77" t="s">
        <v>73</v>
      </c>
      <c r="C221" s="74"/>
      <c r="D221" s="74"/>
      <c r="E221" s="74">
        <f>+E154+(E$95*$E$193)+E$200</f>
        <v>43.414923076240925</v>
      </c>
      <c r="F221" s="74"/>
      <c r="G221" s="74"/>
      <c r="H221" s="74">
        <f>+H154+(H$95*$E$193)+H$200</f>
        <v>43.586241095060117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6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58.587370173540393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6">
      <c r="A223" s="22"/>
      <c r="B223" s="89" t="s">
        <v>144</v>
      </c>
      <c r="C223" s="74"/>
      <c r="D223" s="74"/>
      <c r="E223" s="74"/>
      <c r="F223" s="74">
        <f>+F222+C188*10</f>
        <v>67.239370173540394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6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6">
      <c r="A225" s="22"/>
      <c r="B225" s="28" t="s">
        <v>18</v>
      </c>
      <c r="C225" s="74"/>
      <c r="D225" s="74"/>
      <c r="E225" s="74">
        <f>+E156+(E$95*$E$193)+E$200+E205</f>
        <v>57.381018822663478</v>
      </c>
      <c r="F225" s="74">
        <f>+F156+(F$95*$E$193)+F$200+F205</f>
        <v>64.622449811889851</v>
      </c>
      <c r="G225" s="74">
        <f>+G156+(G$95*$E$193)+G$200+G205</f>
        <v>58.717135960240711</v>
      </c>
      <c r="H225" s="74"/>
      <c r="I225" s="74">
        <f>+I156+(I$95*$E$193)+I$200+I205</f>
        <v>43.886167997263151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6">
      <c r="A226" s="22"/>
      <c r="B226" s="77" t="s">
        <v>72</v>
      </c>
      <c r="C226" s="74"/>
      <c r="D226" s="74"/>
      <c r="E226" s="74">
        <f>+E157+(E$95*$E$193)+E$200+E$206</f>
        <v>81.242535558422873</v>
      </c>
      <c r="F226" s="74"/>
      <c r="G226" s="74"/>
      <c r="H226" s="74">
        <f>+H157+(H$95*$E$193)+H$200+H$206</f>
        <v>65.227713053512574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6">
      <c r="A227" s="22"/>
      <c r="B227" s="77" t="s">
        <v>73</v>
      </c>
      <c r="C227" s="74"/>
      <c r="D227" s="74"/>
      <c r="E227" s="74">
        <f>+E158+(E$95*$E$193)+E$200</f>
        <v>43.939901883860948</v>
      </c>
      <c r="F227" s="74"/>
      <c r="G227" s="74"/>
      <c r="H227" s="74">
        <f>+H158+(H$95*$E$193)+H$200</f>
        <v>42.725159480655421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6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6">
      <c r="A229" s="22"/>
      <c r="B229" s="13" t="s">
        <v>98</v>
      </c>
      <c r="C229" s="74"/>
      <c r="D229" s="74"/>
      <c r="E229" s="74">
        <f>+E160+(E$95*$E$193)+E$200+E202</f>
        <v>58.596445084124682</v>
      </c>
      <c r="F229" s="74">
        <f>+F160+(F$95*$E$193)+F$200+F202</f>
        <v>63.822570295319608</v>
      </c>
      <c r="G229" s="74">
        <f>+G160+(G$95*$E$193)+G$200+G202</f>
        <v>59.578040329606772</v>
      </c>
      <c r="H229" s="74">
        <f>((H220*SUMPRODUCT(H38:H41,H65:H68)+H221*SUMPRODUCT(T38:T41,H65:H68))+(H226*(SUMPRODUCT(H33:H37,H60:H64)+SUMPRODUCT(H42:H44,H69:H71))+H227*(SUMPRODUCT(T33:T37,H60:H64)+SUMPRODUCT(T42:T44,H69:H71))))/H72</f>
        <v>53.748877516668664</v>
      </c>
      <c r="I229" s="74">
        <f>+I160+(I$95*$E$193)+I$200+I202</f>
        <v>44.669409930211792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6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6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6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6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6">
      <c r="A234" s="22"/>
      <c r="B234" s="77"/>
      <c r="C234" s="74"/>
      <c r="D234" s="74"/>
      <c r="I234" s="89"/>
      <c r="J234" s="80"/>
      <c r="K234" s="93"/>
      <c r="M234" s="145"/>
    </row>
    <row r="235" spans="1:18" x14ac:dyDescent="0.6">
      <c r="A235" s="22"/>
      <c r="C235" s="74"/>
      <c r="D235" s="74"/>
    </row>
    <row r="236" spans="1:18" x14ac:dyDescent="0.6">
      <c r="A236" s="22"/>
      <c r="B236" s="37" t="s">
        <v>101</v>
      </c>
      <c r="C236" s="74"/>
      <c r="D236" s="74"/>
      <c r="I236" s="96"/>
      <c r="K236" s="93"/>
    </row>
    <row r="237" spans="1:18" x14ac:dyDescent="0.6">
      <c r="A237" s="22"/>
      <c r="B237" s="77"/>
      <c r="C237" s="74"/>
      <c r="D237" s="74"/>
      <c r="I237" s="89"/>
      <c r="J237" s="97"/>
      <c r="K237" s="93"/>
    </row>
    <row r="238" spans="1:18" ht="15.5" x14ac:dyDescent="0.7">
      <c r="A238" s="22"/>
      <c r="B238" s="578" t="str">
        <f>$B$1</f>
        <v xml:space="preserve">Jersey Central Power &amp; Light </v>
      </c>
      <c r="C238" s="578"/>
      <c r="D238" s="578"/>
      <c r="E238" s="578"/>
      <c r="F238" s="578"/>
      <c r="G238" s="578"/>
      <c r="H238" s="578"/>
      <c r="I238" s="578"/>
      <c r="J238" s="578"/>
      <c r="K238" s="578"/>
      <c r="L238" s="578"/>
    </row>
    <row r="239" spans="1:18" ht="15.5" x14ac:dyDescent="0.7">
      <c r="A239" s="22"/>
      <c r="B239" s="578" t="str">
        <f>$B$2</f>
        <v>Attachment 2</v>
      </c>
      <c r="C239" s="578"/>
      <c r="D239" s="578"/>
      <c r="E239" s="578"/>
      <c r="F239" s="578"/>
      <c r="G239" s="578"/>
      <c r="H239" s="578"/>
      <c r="I239" s="578"/>
      <c r="J239" s="578"/>
      <c r="K239" s="578"/>
      <c r="L239" s="578"/>
    </row>
    <row r="240" spans="1:18" ht="15.5" x14ac:dyDescent="0.7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5" x14ac:dyDescent="0.7">
      <c r="A241" s="18" t="s">
        <v>106</v>
      </c>
      <c r="B241" s="163" t="s">
        <v>238</v>
      </c>
      <c r="C241" s="20"/>
      <c r="E241" s="165"/>
      <c r="F241" s="38"/>
      <c r="K241" s="166"/>
      <c r="L241" s="166"/>
    </row>
    <row r="242" spans="1:12" ht="15.5" x14ac:dyDescent="0.7">
      <c r="B242" s="13" t="s">
        <v>239</v>
      </c>
      <c r="K242" s="166"/>
      <c r="L242" s="166"/>
    </row>
    <row r="243" spans="1:12" ht="15.5" x14ac:dyDescent="0.7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5" x14ac:dyDescent="0.7">
      <c r="K244" s="166"/>
      <c r="L244" s="166"/>
    </row>
    <row r="245" spans="1:12" ht="15.5" x14ac:dyDescent="0.7">
      <c r="B245" s="28" t="s">
        <v>17</v>
      </c>
      <c r="E245" s="55">
        <f>'Composite Cost Allocation'!E110</f>
        <v>2152065.5431923</v>
      </c>
      <c r="G245" s="55">
        <f>'Composite Cost Allocation'!G110</f>
        <v>2131270000</v>
      </c>
      <c r="I245" s="55">
        <f>'Composite Cost Allocation'!I110</f>
        <v>39005000</v>
      </c>
      <c r="K245" s="166"/>
      <c r="L245" s="166"/>
    </row>
    <row r="246" spans="1:12" ht="15.5" x14ac:dyDescent="0.7">
      <c r="B246" s="77" t="s">
        <v>72</v>
      </c>
      <c r="E246" s="55">
        <f>'Composite Cost Allocation'!E111</f>
        <v>26158679</v>
      </c>
      <c r="H246" s="55">
        <f>'Composite Cost Allocation'!H111</f>
        <v>29265169.300000001</v>
      </c>
      <c r="K246" s="166"/>
      <c r="L246" s="166"/>
    </row>
    <row r="247" spans="1:12" ht="15.5" x14ac:dyDescent="0.7">
      <c r="B247" s="77" t="s">
        <v>73</v>
      </c>
      <c r="E247" s="55">
        <f>'Composite Cost Allocation'!E112</f>
        <v>36474255.456807703</v>
      </c>
      <c r="H247" s="55">
        <f>'Composite Cost Allocation'!H112</f>
        <v>35728830.700000003</v>
      </c>
      <c r="K247" s="166"/>
      <c r="L247" s="166"/>
    </row>
    <row r="248" spans="1:12" ht="15.5" x14ac:dyDescent="0.7">
      <c r="B248" s="89" t="s">
        <v>142</v>
      </c>
      <c r="F248" s="55">
        <f>'Composite Cost Allocation'!F113</f>
        <v>2074593000</v>
      </c>
      <c r="K248" s="166"/>
      <c r="L248" s="166"/>
    </row>
    <row r="249" spans="1:12" ht="15.5" x14ac:dyDescent="0.7">
      <c r="B249" s="89" t="s">
        <v>144</v>
      </c>
      <c r="F249" s="55">
        <f>'Composite Cost Allocation'!F114</f>
        <v>1882820000</v>
      </c>
      <c r="K249" s="166"/>
      <c r="L249" s="166"/>
    </row>
    <row r="250" spans="1:12" ht="15.5" x14ac:dyDescent="0.7">
      <c r="K250" s="166"/>
      <c r="L250" s="166"/>
    </row>
    <row r="251" spans="1:12" ht="15.5" x14ac:dyDescent="0.7">
      <c r="B251" s="28" t="s">
        <v>18</v>
      </c>
      <c r="E251" s="55">
        <f>'Composite Cost Allocation'!E116</f>
        <v>5274004.6993009001</v>
      </c>
      <c r="F251" s="55">
        <f>'Composite Cost Allocation'!F116</f>
        <v>5535444000</v>
      </c>
      <c r="G251" s="55">
        <f>'Composite Cost Allocation'!G116</f>
        <v>3591474000</v>
      </c>
      <c r="I251" s="55">
        <f>'Composite Cost Allocation'!I116</f>
        <v>78007000</v>
      </c>
      <c r="K251" s="166"/>
      <c r="L251" s="166"/>
    </row>
    <row r="252" spans="1:12" ht="15.5" x14ac:dyDescent="0.7">
      <c r="B252" s="77" t="s">
        <v>72</v>
      </c>
      <c r="E252" s="55">
        <f>'Composite Cost Allocation'!E117</f>
        <v>45337857.591087818</v>
      </c>
      <c r="H252" s="55">
        <f>'Composite Cost Allocation'!H117</f>
        <v>53031651.199999988</v>
      </c>
      <c r="K252" s="166"/>
      <c r="L252" s="166"/>
    </row>
    <row r="253" spans="1:12" ht="15.5" x14ac:dyDescent="0.7">
      <c r="B253" s="77" t="s">
        <v>73</v>
      </c>
      <c r="E253" s="55">
        <f>'Composite Cost Allocation'!E118</f>
        <v>80500137.709611282</v>
      </c>
      <c r="H253" s="55">
        <f>'Composite Cost Allocation'!H118</f>
        <v>71014348.799999997</v>
      </c>
      <c r="K253" s="166"/>
      <c r="L253" s="166"/>
    </row>
    <row r="254" spans="1:12" ht="15.5" x14ac:dyDescent="0.7">
      <c r="J254" s="26" t="s">
        <v>13</v>
      </c>
      <c r="K254" s="166"/>
      <c r="L254" s="166"/>
    </row>
    <row r="255" spans="1:12" ht="15.5" x14ac:dyDescent="0.7">
      <c r="B255" s="89" t="s">
        <v>162</v>
      </c>
      <c r="E255" s="55">
        <f>SUM(E245:E249)</f>
        <v>64785000</v>
      </c>
      <c r="F255" s="55">
        <f>SUM(F245:F249)</f>
        <v>3957413000</v>
      </c>
      <c r="G255" s="55">
        <f>SUM(G245:G249)</f>
        <v>2131270000</v>
      </c>
      <c r="H255" s="55">
        <f>SUM(H245:H249)</f>
        <v>64994000</v>
      </c>
      <c r="I255" s="55">
        <f>SUM(I245:I249)</f>
        <v>39005000</v>
      </c>
      <c r="J255" s="55">
        <f>SUM(E255:I255)</f>
        <v>6257467000</v>
      </c>
      <c r="K255" s="166"/>
      <c r="L255" s="166"/>
    </row>
    <row r="256" spans="1:12" ht="15.5" x14ac:dyDescent="0.7">
      <c r="B256" s="89" t="s">
        <v>163</v>
      </c>
      <c r="E256" s="138">
        <f>SUM(E251:E253)</f>
        <v>131112000</v>
      </c>
      <c r="F256" s="138">
        <f>SUM(F251:F253)</f>
        <v>5535444000</v>
      </c>
      <c r="G256" s="268">
        <f>SUM(G251:G253)</f>
        <v>3591474000</v>
      </c>
      <c r="H256" s="133">
        <f>SUM(H251:H253)</f>
        <v>124045999.99999999</v>
      </c>
      <c r="I256" s="133">
        <f>SUM(I251:I253)</f>
        <v>78007000</v>
      </c>
      <c r="J256" s="138">
        <f>SUM(E256:I256)</f>
        <v>9460083000</v>
      </c>
      <c r="K256" s="166"/>
      <c r="L256" s="166"/>
    </row>
    <row r="257" spans="1:15" ht="15.5" x14ac:dyDescent="0.7">
      <c r="B257" s="89" t="s">
        <v>164</v>
      </c>
      <c r="E257" s="55">
        <f>SUM(E255:E256)</f>
        <v>195897000</v>
      </c>
      <c r="F257" s="55">
        <f>SUM(F255:F256)</f>
        <v>9492857000</v>
      </c>
      <c r="G257" s="55">
        <f>SUM(G255:G256)</f>
        <v>5722744000</v>
      </c>
      <c r="H257" s="55">
        <f>SUM(H255:H256)</f>
        <v>189040000</v>
      </c>
      <c r="I257" s="55">
        <f>SUM(I255:I256)</f>
        <v>117012000</v>
      </c>
      <c r="J257" s="55">
        <f>SUM(E257:I257)</f>
        <v>15717550000</v>
      </c>
      <c r="K257" s="166"/>
      <c r="L257" s="166"/>
    </row>
    <row r="258" spans="1:15" ht="15.5" x14ac:dyDescent="0.7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5" x14ac:dyDescent="0.7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6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6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6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6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6">
      <c r="A265" s="7"/>
      <c r="B265" s="28" t="s">
        <v>17</v>
      </c>
      <c r="C265" s="149"/>
      <c r="D265" s="149"/>
      <c r="E265" s="149">
        <f>+E219*E245/1000000</f>
        <v>131.39700221017802</v>
      </c>
      <c r="F265" s="149"/>
      <c r="G265" s="149">
        <f>+G219*G245/1000000</f>
        <v>130068.8056723456</v>
      </c>
      <c r="H265" s="144"/>
      <c r="I265" s="149">
        <f>+I219*I245/1000000</f>
        <v>1803.4286877914358</v>
      </c>
      <c r="J265" s="149"/>
      <c r="K265" s="149"/>
      <c r="L265" s="149"/>
    </row>
    <row r="266" spans="1:15" x14ac:dyDescent="0.6">
      <c r="A266" s="7"/>
      <c r="B266" s="77" t="s">
        <v>72</v>
      </c>
      <c r="C266" s="149"/>
      <c r="D266" s="149"/>
      <c r="E266" s="149">
        <f>+E220*E246/1000000</f>
        <v>2240.6364239920799</v>
      </c>
      <c r="F266" s="149"/>
      <c r="G266" s="149"/>
      <c r="H266" s="149">
        <f>+H220*H246/1000000</f>
        <v>2110.1696716938009</v>
      </c>
      <c r="I266" s="149"/>
      <c r="J266" s="149"/>
      <c r="K266" s="149"/>
      <c r="L266" s="149"/>
    </row>
    <row r="267" spans="1:15" x14ac:dyDescent="0.6">
      <c r="A267" s="7"/>
      <c r="B267" s="77" t="s">
        <v>73</v>
      </c>
      <c r="C267" s="149"/>
      <c r="D267" s="149"/>
      <c r="E267" s="149">
        <f>+E221*E247/1000000</f>
        <v>1583.5269949204671</v>
      </c>
      <c r="F267" s="149"/>
      <c r="G267" s="149"/>
      <c r="H267" s="149">
        <f>+H221*H247/1000000</f>
        <v>1557.2854289347856</v>
      </c>
      <c r="I267" s="149"/>
      <c r="J267" s="149"/>
      <c r="K267" s="81"/>
      <c r="L267" s="81"/>
      <c r="N267" s="81"/>
      <c r="O267" s="81"/>
    </row>
    <row r="268" spans="1:15" x14ac:dyDescent="0.6">
      <c r="A268" s="7"/>
      <c r="B268" s="89" t="s">
        <v>142</v>
      </c>
      <c r="C268" s="149"/>
      <c r="D268" s="149"/>
      <c r="E268" s="149"/>
      <c r="F268" s="149">
        <f>+F222*F248/1000000</f>
        <v>121544.94805043569</v>
      </c>
      <c r="G268" s="149"/>
      <c r="H268" s="144"/>
      <c r="I268" s="149"/>
      <c r="J268" s="149"/>
      <c r="K268" s="149"/>
      <c r="L268" s="149"/>
      <c r="M268" s="81"/>
    </row>
    <row r="269" spans="1:15" x14ac:dyDescent="0.6">
      <c r="A269" s="7"/>
      <c r="B269" s="89" t="s">
        <v>144</v>
      </c>
      <c r="C269" s="149"/>
      <c r="D269" s="149"/>
      <c r="E269" s="149"/>
      <c r="F269" s="149">
        <f>+F223*F249/1000000</f>
        <v>126599.63095014532</v>
      </c>
      <c r="G269" s="149"/>
      <c r="H269" s="144"/>
      <c r="I269" s="149"/>
      <c r="J269" s="149"/>
      <c r="K269" s="149"/>
      <c r="L269" s="149"/>
    </row>
    <row r="270" spans="1:15" x14ac:dyDescent="0.6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6">
      <c r="A271" s="7"/>
      <c r="B271" s="28" t="s">
        <v>18</v>
      </c>
      <c r="C271" s="149"/>
      <c r="D271" s="149"/>
      <c r="E271" s="149">
        <f>+E225*E251/1000000</f>
        <v>302.62776292140063</v>
      </c>
      <c r="F271" s="149">
        <f>+F225*F251/1000000</f>
        <v>357713.95207652677</v>
      </c>
      <c r="G271" s="149">
        <f>+G225*G251/1000000</f>
        <v>210881.06715566956</v>
      </c>
      <c r="I271" s="149">
        <f>+I225*I251/1000000</f>
        <v>3423.4283069625067</v>
      </c>
      <c r="J271" s="149"/>
      <c r="K271" s="149"/>
      <c r="L271" s="149"/>
    </row>
    <row r="272" spans="1:15" x14ac:dyDescent="0.6">
      <c r="A272" s="7"/>
      <c r="B272" s="77" t="s">
        <v>72</v>
      </c>
      <c r="C272" s="149"/>
      <c r="D272" s="149"/>
      <c r="E272" s="149">
        <f>+E226*E252/1000000</f>
        <v>3683.3625074866641</v>
      </c>
      <c r="F272" s="3"/>
      <c r="G272" s="3"/>
      <c r="H272" s="149">
        <f>+H226*H252/1000000</f>
        <v>3459.1333272275647</v>
      </c>
      <c r="I272" s="3"/>
      <c r="J272" s="149"/>
      <c r="K272" s="149"/>
      <c r="L272" s="149"/>
    </row>
    <row r="273" spans="1:12" x14ac:dyDescent="0.6">
      <c r="A273" s="7"/>
      <c r="B273" s="77" t="s">
        <v>73</v>
      </c>
      <c r="C273" s="3"/>
      <c r="D273" s="3"/>
      <c r="E273" s="149">
        <f>+E227*E253/1000000</f>
        <v>3537.1681525976142</v>
      </c>
      <c r="H273" s="149">
        <f>+H227*H253/1000000</f>
        <v>3034.0993778948909</v>
      </c>
      <c r="J273" s="149"/>
      <c r="K273" s="149"/>
      <c r="L273" s="149"/>
    </row>
    <row r="274" spans="1:12" x14ac:dyDescent="0.6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6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6">
      <c r="A276" s="7"/>
      <c r="B276" s="5" t="s">
        <v>25</v>
      </c>
      <c r="D276"/>
      <c r="E276" s="3">
        <f>SUM(E265:E269)</f>
        <v>3955.5604211227251</v>
      </c>
      <c r="F276" s="3">
        <f>SUM(F265:F269)</f>
        <v>248144.579000581</v>
      </c>
      <c r="G276" s="3">
        <f>SUM(G265:G269)</f>
        <v>130068.8056723456</v>
      </c>
      <c r="H276" s="3">
        <f>SUM(H265:H269)</f>
        <v>3667.4551006285865</v>
      </c>
      <c r="I276" s="3">
        <f>SUM(I265:I269)</f>
        <v>1803.4286877914358</v>
      </c>
      <c r="J276" s="151">
        <f>SUM(E276:I276)</f>
        <v>387639.82888246939</v>
      </c>
      <c r="K276"/>
      <c r="L276"/>
    </row>
    <row r="277" spans="1:12" x14ac:dyDescent="0.6">
      <c r="A277" s="7"/>
      <c r="B277" s="5" t="s">
        <v>26</v>
      </c>
      <c r="D277"/>
      <c r="E277" s="3">
        <f>SUM(E271:E273)</f>
        <v>7523.1584230056787</v>
      </c>
      <c r="F277" s="3">
        <f>SUM(F271:F273)</f>
        <v>357713.95207652677</v>
      </c>
      <c r="G277" s="3">
        <f>SUM(G271:G273)</f>
        <v>210881.06715566956</v>
      </c>
      <c r="H277" s="3">
        <f>SUM(H271:H273)</f>
        <v>6493.2327051224556</v>
      </c>
      <c r="I277" s="3">
        <f>SUM(I271:I273)</f>
        <v>3423.4283069625067</v>
      </c>
      <c r="J277" s="151">
        <f>SUM(E277:I277)</f>
        <v>586034.83866728691</v>
      </c>
      <c r="K277"/>
      <c r="L277"/>
    </row>
    <row r="278" spans="1:12" x14ac:dyDescent="0.6">
      <c r="A278" s="7"/>
      <c r="B278" s="5" t="s">
        <v>13</v>
      </c>
      <c r="D278"/>
      <c r="E278" s="3">
        <f>SUM(E276:E277)</f>
        <v>11478.718844128403</v>
      </c>
      <c r="F278" s="3">
        <f>SUM(F276:F277)</f>
        <v>605858.53107710776</v>
      </c>
      <c r="G278" s="3">
        <f>SUM(G276:G277)</f>
        <v>340949.87282801513</v>
      </c>
      <c r="H278" s="3">
        <f>SUM(H276:H277)</f>
        <v>10160.687805751042</v>
      </c>
      <c r="I278" s="3">
        <f>SUM(I276:I277)</f>
        <v>5226.8569947539427</v>
      </c>
      <c r="J278" s="3">
        <f>SUM(E278:I278)</f>
        <v>973674.66754975624</v>
      </c>
      <c r="L278"/>
    </row>
    <row r="279" spans="1:12" x14ac:dyDescent="0.6">
      <c r="A279" s="7"/>
      <c r="B279"/>
      <c r="C279"/>
      <c r="D279"/>
      <c r="E279"/>
      <c r="F279"/>
      <c r="G279"/>
      <c r="H279"/>
      <c r="J279"/>
      <c r="L279"/>
    </row>
    <row r="280" spans="1:12" x14ac:dyDescent="0.6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6">
      <c r="A281" s="7"/>
      <c r="B281" s="5" t="s">
        <v>25</v>
      </c>
      <c r="C281"/>
      <c r="D281"/>
      <c r="E281" s="150">
        <f t="shared" ref="E281:J281" si="12">+E276/E278</f>
        <v>0.34459946922962348</v>
      </c>
      <c r="F281" s="150">
        <f t="shared" si="12"/>
        <v>0.40957511741136082</v>
      </c>
      <c r="G281" s="150">
        <f t="shared" si="12"/>
        <v>0.38148952687234472</v>
      </c>
      <c r="H281" s="150">
        <f t="shared" si="12"/>
        <v>0.36094555513779031</v>
      </c>
      <c r="I281" s="150">
        <f t="shared" si="12"/>
        <v>0.34503118979560549</v>
      </c>
      <c r="J281" s="150">
        <f t="shared" si="12"/>
        <v>0.39812048295141705</v>
      </c>
      <c r="L281"/>
    </row>
    <row r="282" spans="1:12" x14ac:dyDescent="0.6">
      <c r="A282" s="7"/>
      <c r="B282" s="5" t="s">
        <v>26</v>
      </c>
      <c r="C282"/>
      <c r="D282"/>
      <c r="E282" s="150">
        <f t="shared" ref="E282:J282" si="13">+E277/E278</f>
        <v>0.65540053077037652</v>
      </c>
      <c r="F282" s="150">
        <f t="shared" si="13"/>
        <v>0.59042488258863923</v>
      </c>
      <c r="G282" s="150">
        <f t="shared" si="13"/>
        <v>0.61851047312765539</v>
      </c>
      <c r="H282" s="150">
        <f t="shared" si="13"/>
        <v>0.63905444486220964</v>
      </c>
      <c r="I282" s="150">
        <f t="shared" si="13"/>
        <v>0.65496881020439446</v>
      </c>
      <c r="J282" s="150">
        <f t="shared" si="13"/>
        <v>0.601879517048583</v>
      </c>
      <c r="L282"/>
    </row>
    <row r="283" spans="1:12" x14ac:dyDescent="0.6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6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5" x14ac:dyDescent="0.7">
      <c r="A285" s="22"/>
      <c r="B285" s="578" t="str">
        <f>$B$1</f>
        <v xml:space="preserve">Jersey Central Power &amp; Light </v>
      </c>
      <c r="C285" s="578"/>
      <c r="D285" s="578"/>
      <c r="E285" s="578"/>
      <c r="F285" s="578"/>
      <c r="G285" s="578"/>
      <c r="H285" s="578"/>
      <c r="I285" s="578"/>
      <c r="J285" s="578"/>
      <c r="K285" s="578"/>
      <c r="L285" s="578"/>
    </row>
    <row r="286" spans="1:12" ht="15.5" x14ac:dyDescent="0.7">
      <c r="A286" s="22"/>
      <c r="B286" s="578" t="str">
        <f>$B$2</f>
        <v>Attachment 2</v>
      </c>
      <c r="C286" s="578"/>
      <c r="D286" s="578"/>
      <c r="E286" s="578"/>
      <c r="F286" s="578"/>
      <c r="G286" s="578"/>
      <c r="H286" s="578"/>
      <c r="I286" s="578"/>
      <c r="J286" s="578"/>
      <c r="K286" s="578"/>
      <c r="L286" s="578"/>
    </row>
    <row r="287" spans="1:12" x14ac:dyDescent="0.6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6">
      <c r="A288" s="6" t="s">
        <v>138</v>
      </c>
      <c r="B288" s="1" t="s">
        <v>245</v>
      </c>
      <c r="C288"/>
      <c r="D288"/>
      <c r="E288"/>
      <c r="G288" s="81"/>
      <c r="J288"/>
      <c r="L288"/>
    </row>
    <row r="289" spans="1:12" x14ac:dyDescent="0.6">
      <c r="A289" s="7"/>
      <c r="C289" s="74"/>
      <c r="D289" s="74"/>
      <c r="J289"/>
      <c r="L289"/>
    </row>
    <row r="290" spans="1:12" x14ac:dyDescent="0.6">
      <c r="A290" s="7"/>
      <c r="B290" s="16" t="s">
        <v>231</v>
      </c>
      <c r="C290" s="74"/>
      <c r="D290" s="74"/>
      <c r="J290"/>
      <c r="L290"/>
    </row>
    <row r="291" spans="1:12" x14ac:dyDescent="0.6">
      <c r="A291" s="7"/>
      <c r="B291" s="89" t="s">
        <v>103</v>
      </c>
      <c r="C291" s="144">
        <f>J278</f>
        <v>973674.66754975624</v>
      </c>
      <c r="J291"/>
      <c r="L291"/>
    </row>
    <row r="292" spans="1:12" x14ac:dyDescent="0.6">
      <c r="A292" s="7"/>
      <c r="B292" s="16"/>
      <c r="C292" s="144"/>
      <c r="J292"/>
      <c r="L292"/>
    </row>
    <row r="293" spans="1:12" x14ac:dyDescent="0.6">
      <c r="A293" s="7"/>
      <c r="B293" s="16" t="s">
        <v>229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6">
      <c r="A294" s="7"/>
      <c r="B294" s="21" t="s">
        <v>25</v>
      </c>
      <c r="C294" s="144"/>
      <c r="E294" s="161">
        <f>ROUND(SUM(E65:E68)*E95,0)</f>
        <v>72430</v>
      </c>
      <c r="F294" s="161">
        <f>ROUND(SUM(F65:F68)*F95,0)</f>
        <v>4424385</v>
      </c>
      <c r="G294" s="161">
        <f>ROUND(SUM(G65:G68)*G95,0)</f>
        <v>2382758</v>
      </c>
      <c r="H294" s="161">
        <f>ROUND(SUM(H65:H68)*H95,0)</f>
        <v>72663</v>
      </c>
      <c r="I294" s="161">
        <f>ROUND(SUM(I65:I68)*I95,0)</f>
        <v>43608</v>
      </c>
      <c r="J294" s="161">
        <f>SUM(E294:I294)</f>
        <v>6995844</v>
      </c>
      <c r="L294"/>
    </row>
    <row r="295" spans="1:12" x14ac:dyDescent="0.6">
      <c r="A295" s="7"/>
      <c r="B295" s="12" t="s">
        <v>26</v>
      </c>
      <c r="C295" s="144"/>
      <c r="E295" s="161">
        <f>ROUND((E72-SUM(E65:E68))*E95,0)</f>
        <v>146583</v>
      </c>
      <c r="F295" s="161">
        <f>ROUND((F72-SUM(F65:F68))*F95,0)</f>
        <v>6188622</v>
      </c>
      <c r="G295" s="161">
        <f>ROUND((G72-SUM(G65:G68))*G95,0)</f>
        <v>4015265</v>
      </c>
      <c r="H295" s="161">
        <f>ROUND((H72-SUM(H65:H68))*H95,0)</f>
        <v>138683</v>
      </c>
      <c r="I295" s="161">
        <f>ROUND((I72-SUM(I65:I68))*I95,0)</f>
        <v>87212</v>
      </c>
      <c r="J295" s="161">
        <f>SUM(E295:I295)</f>
        <v>10576365</v>
      </c>
      <c r="L295"/>
    </row>
    <row r="296" spans="1:12" x14ac:dyDescent="0.6">
      <c r="A296" s="7"/>
      <c r="C296" s="89"/>
      <c r="D296" s="145"/>
      <c r="J296" s="4"/>
      <c r="L296"/>
    </row>
    <row r="297" spans="1:12" x14ac:dyDescent="0.6">
      <c r="A297" s="7"/>
      <c r="B297" s="16" t="s">
        <v>232</v>
      </c>
      <c r="C297" s="89"/>
      <c r="D297" s="160" t="s">
        <v>220</v>
      </c>
      <c r="E297" s="133" t="s">
        <v>226</v>
      </c>
      <c r="J297"/>
      <c r="L297"/>
    </row>
    <row r="298" spans="1:12" x14ac:dyDescent="0.6">
      <c r="A298" s="7"/>
      <c r="B298" s="267" t="s">
        <v>403</v>
      </c>
      <c r="D298" s="38" t="s">
        <v>223</v>
      </c>
      <c r="E298" s="126">
        <f>'Attachment 3 - 23-24'!C37</f>
        <v>55.41</v>
      </c>
      <c r="F298" s="38" t="s">
        <v>228</v>
      </c>
      <c r="G298" s="38" t="s">
        <v>230</v>
      </c>
      <c r="J298"/>
      <c r="L298"/>
    </row>
    <row r="299" spans="1:12" x14ac:dyDescent="0.6">
      <c r="A299" s="7"/>
      <c r="B299" s="13" t="s">
        <v>225</v>
      </c>
      <c r="C299" s="89"/>
      <c r="D299" s="167">
        <v>1</v>
      </c>
      <c r="E299" s="289">
        <f>ROUND($E$298*D299,3)</f>
        <v>55.41</v>
      </c>
      <c r="F299" s="55">
        <f>J294</f>
        <v>6995844</v>
      </c>
      <c r="G299" s="144">
        <f>ROUND(F299*E299/1000,0)</f>
        <v>387640</v>
      </c>
      <c r="J299"/>
      <c r="L299"/>
    </row>
    <row r="300" spans="1:12" ht="15.25" x14ac:dyDescent="1.05">
      <c r="A300" s="7"/>
      <c r="B300" s="13" t="s">
        <v>227</v>
      </c>
      <c r="C300" s="89"/>
      <c r="D300" s="167">
        <v>1</v>
      </c>
      <c r="E300" s="289">
        <f>ROUND($E$298*D300,3)</f>
        <v>55.41</v>
      </c>
      <c r="F300" s="55">
        <f>J295</f>
        <v>10576365</v>
      </c>
      <c r="G300" s="85">
        <f>ROUND(F300*E300/1000,0)</f>
        <v>586036</v>
      </c>
      <c r="J300"/>
      <c r="L300"/>
    </row>
    <row r="301" spans="1:12" x14ac:dyDescent="0.6">
      <c r="A301" s="7"/>
      <c r="B301" s="13" t="s">
        <v>233</v>
      </c>
      <c r="C301" s="89"/>
      <c r="D301" s="145"/>
      <c r="G301" s="81">
        <f>SUM(G299:G300)</f>
        <v>973676</v>
      </c>
      <c r="J301"/>
      <c r="L301"/>
    </row>
    <row r="302" spans="1:12" x14ac:dyDescent="0.6">
      <c r="A302" s="7"/>
      <c r="C302" s="89"/>
      <c r="D302" s="145"/>
      <c r="J302"/>
      <c r="L302"/>
    </row>
    <row r="303" spans="1:12" x14ac:dyDescent="0.6">
      <c r="A303" s="6" t="s">
        <v>240</v>
      </c>
      <c r="B303" s="1" t="s">
        <v>234</v>
      </c>
      <c r="C303" s="89"/>
      <c r="D303" s="145"/>
      <c r="F303" s="5" t="s">
        <v>220</v>
      </c>
      <c r="G303" s="5" t="s">
        <v>222</v>
      </c>
      <c r="H303" s="71"/>
      <c r="I303"/>
    </row>
    <row r="304" spans="1:12" x14ac:dyDescent="0.6">
      <c r="A304" s="7"/>
      <c r="B304"/>
      <c r="C304"/>
      <c r="D304"/>
      <c r="E304"/>
      <c r="F304" s="5" t="s">
        <v>236</v>
      </c>
      <c r="G304" s="5" t="s">
        <v>223</v>
      </c>
      <c r="H304" s="5" t="s">
        <v>222</v>
      </c>
      <c r="I304"/>
    </row>
    <row r="305" spans="1:15" x14ac:dyDescent="0.6">
      <c r="A305" s="7"/>
      <c r="B305" t="s">
        <v>235</v>
      </c>
      <c r="C305"/>
      <c r="D305"/>
      <c r="E305"/>
      <c r="F305" s="8" t="s">
        <v>230</v>
      </c>
      <c r="G305" s="8" t="s">
        <v>224</v>
      </c>
      <c r="H305" s="8" t="s">
        <v>223</v>
      </c>
      <c r="I305" s="10"/>
    </row>
    <row r="306" spans="1:15" x14ac:dyDescent="0.6">
      <c r="A306" s="7"/>
      <c r="B306" s="5" t="s">
        <v>25</v>
      </c>
      <c r="C306" s="290">
        <f>J276*1000/J294</f>
        <v>55.410016129929346</v>
      </c>
      <c r="D306" t="s">
        <v>137</v>
      </c>
      <c r="E306"/>
      <c r="F306" s="262">
        <f>E299</f>
        <v>55.41</v>
      </c>
      <c r="G306" s="159">
        <f>E299/C306</f>
        <v>0.99999970889867074</v>
      </c>
      <c r="H306" s="285">
        <v>1.15581</v>
      </c>
      <c r="M306" s="173"/>
    </row>
    <row r="307" spans="1:15" x14ac:dyDescent="0.6">
      <c r="A307" s="7"/>
      <c r="B307" s="5" t="s">
        <v>26</v>
      </c>
      <c r="C307" s="290">
        <f>J277*1000/J295</f>
        <v>55.409853826649034</v>
      </c>
      <c r="D307" t="s">
        <v>137</v>
      </c>
      <c r="E307"/>
      <c r="F307" s="262">
        <f>E300</f>
        <v>55.41</v>
      </c>
      <c r="G307" s="159">
        <f>E300/C307</f>
        <v>1.0000026380389202</v>
      </c>
      <c r="H307" s="285">
        <v>0.863371</v>
      </c>
      <c r="M307" s="173"/>
    </row>
    <row r="308" spans="1:15" x14ac:dyDescent="0.6">
      <c r="A308" s="7"/>
      <c r="B308" s="5"/>
      <c r="C308" s="152"/>
      <c r="D308"/>
      <c r="E308"/>
      <c r="F308"/>
      <c r="G308"/>
      <c r="H308" s="2"/>
      <c r="I308" s="104"/>
      <c r="M308" s="16"/>
      <c r="N308" s="104"/>
      <c r="O308" s="104"/>
    </row>
    <row r="309" spans="1:15" x14ac:dyDescent="0.6">
      <c r="A309" s="16" t="s">
        <v>108</v>
      </c>
      <c r="E309" s="98"/>
      <c r="F309" s="101"/>
      <c r="I309"/>
      <c r="J309"/>
      <c r="K309"/>
      <c r="L309"/>
    </row>
    <row r="310" spans="1:15" x14ac:dyDescent="0.6">
      <c r="A310" s="22"/>
      <c r="B310" s="89" t="s">
        <v>132</v>
      </c>
      <c r="C310" s="102">
        <f>E179</f>
        <v>142.36099999999999</v>
      </c>
      <c r="D310" s="93" t="s">
        <v>160</v>
      </c>
      <c r="E310" s="98"/>
      <c r="F310" s="101"/>
      <c r="I310"/>
      <c r="J310"/>
      <c r="K310"/>
      <c r="L310"/>
    </row>
    <row r="311" spans="1:15" x14ac:dyDescent="0.6">
      <c r="A311" s="22"/>
      <c r="B311" s="89"/>
      <c r="C311" s="102">
        <f>E180</f>
        <v>142.36099999999999</v>
      </c>
      <c r="D311" s="93" t="s">
        <v>161</v>
      </c>
      <c r="E311" s="98"/>
      <c r="F311" s="101"/>
      <c r="I311"/>
      <c r="J311"/>
      <c r="K311"/>
      <c r="L311"/>
    </row>
    <row r="312" spans="1:15" x14ac:dyDescent="0.6">
      <c r="A312" s="22"/>
      <c r="B312" s="89" t="s">
        <v>159</v>
      </c>
      <c r="C312" s="505" t="s">
        <v>349</v>
      </c>
      <c r="D312" s="93"/>
      <c r="E312" s="98"/>
      <c r="F312" s="101"/>
      <c r="I312"/>
      <c r="J312"/>
      <c r="K312"/>
      <c r="L312"/>
    </row>
    <row r="313" spans="1:15" x14ac:dyDescent="0.6">
      <c r="A313" s="22"/>
      <c r="B313" s="89" t="s">
        <v>109</v>
      </c>
      <c r="C313" s="148">
        <f>+H173</f>
        <v>4</v>
      </c>
      <c r="D313" s="13" t="s">
        <v>110</v>
      </c>
      <c r="E313" s="98"/>
      <c r="F313" s="101"/>
      <c r="I313"/>
      <c r="J313"/>
      <c r="K313"/>
      <c r="L313"/>
    </row>
    <row r="314" spans="1:15" x14ac:dyDescent="0.6">
      <c r="A314" s="22"/>
      <c r="B314" s="89"/>
      <c r="C314" s="148">
        <f>+H174</f>
        <v>8</v>
      </c>
      <c r="D314" s="13" t="s">
        <v>111</v>
      </c>
      <c r="E314" s="98"/>
      <c r="F314" s="101"/>
      <c r="I314"/>
      <c r="J314"/>
      <c r="K314"/>
      <c r="L314"/>
    </row>
    <row r="315" spans="1:15" x14ac:dyDescent="0.6">
      <c r="A315" s="22"/>
      <c r="B315" s="89" t="s">
        <v>112</v>
      </c>
      <c r="C315" s="102">
        <f>+E193</f>
        <v>15.013999999999999</v>
      </c>
      <c r="D315" s="13" t="s">
        <v>113</v>
      </c>
      <c r="E315" s="98"/>
      <c r="F315" s="101"/>
      <c r="I315"/>
      <c r="J315"/>
      <c r="K315"/>
      <c r="L315"/>
    </row>
    <row r="316" spans="1:15" x14ac:dyDescent="0.6">
      <c r="A316" s="22"/>
      <c r="B316" s="89" t="s">
        <v>114</v>
      </c>
      <c r="C316" s="21" t="s">
        <v>246</v>
      </c>
      <c r="E316" s="98"/>
      <c r="F316" s="101"/>
      <c r="I316"/>
      <c r="J316"/>
      <c r="K316"/>
      <c r="L316"/>
    </row>
    <row r="317" spans="1:15" x14ac:dyDescent="0.6">
      <c r="A317" s="22"/>
      <c r="B317" s="89"/>
      <c r="C317" s="307" t="s">
        <v>364</v>
      </c>
      <c r="E317" s="98"/>
      <c r="F317" s="101"/>
      <c r="I317"/>
      <c r="J317"/>
      <c r="K317"/>
      <c r="L317"/>
    </row>
    <row r="318" spans="1:15" x14ac:dyDescent="0.6">
      <c r="A318" s="22"/>
      <c r="B318" s="89" t="s">
        <v>115</v>
      </c>
      <c r="C318" s="12" t="str">
        <f>'BGS PTY21 Cost Alloc'!C$307</f>
        <v xml:space="preserve"> forecasted 2022 energy use by class based upon PJM on/off % from 2019 through 2021 class load profiles</v>
      </c>
      <c r="E318" s="98"/>
      <c r="F318" s="101"/>
      <c r="I318"/>
      <c r="J318"/>
      <c r="K318"/>
      <c r="L318"/>
    </row>
    <row r="319" spans="1:15" x14ac:dyDescent="0.6">
      <c r="A319" s="22"/>
      <c r="B319" s="89"/>
      <c r="C319" s="12" t="str">
        <f>'BGS PTY21 Cost Alloc'!C$308</f>
        <v xml:space="preserve">   JCP&amp;L billing on/off % from 2022 forecasted billing determinants</v>
      </c>
      <c r="E319" s="98"/>
      <c r="F319" s="101"/>
      <c r="I319"/>
      <c r="J319"/>
      <c r="K319"/>
      <c r="L319"/>
    </row>
    <row r="320" spans="1:15" x14ac:dyDescent="0.6">
      <c r="A320" s="22"/>
      <c r="B320" s="89" t="s">
        <v>116</v>
      </c>
      <c r="C320" s="12" t="str">
        <f>'BGS PTY21 Cost Alloc'!C$309</f>
        <v xml:space="preserve"> class totals for 2022 excluding accounts required to take service under BGS-CIEP as of June 1, 2023</v>
      </c>
      <c r="E320" s="98"/>
      <c r="F320" s="101"/>
      <c r="I320"/>
      <c r="J320"/>
      <c r="K320"/>
      <c r="L320"/>
    </row>
    <row r="321" spans="1:12" x14ac:dyDescent="0.6">
      <c r="A321" s="22"/>
      <c r="B321" s="89" t="s">
        <v>117</v>
      </c>
      <c r="C321" s="13" t="s">
        <v>166</v>
      </c>
      <c r="E321" s="98"/>
      <c r="F321" s="101"/>
      <c r="I321"/>
      <c r="J321"/>
      <c r="K321"/>
      <c r="L321"/>
    </row>
    <row r="322" spans="1:12" x14ac:dyDescent="0.6">
      <c r="A322" s="22"/>
      <c r="B322" s="89" t="s">
        <v>118</v>
      </c>
      <c r="C322" s="13" t="s">
        <v>214</v>
      </c>
      <c r="E322" s="100"/>
      <c r="F322" s="101"/>
      <c r="I322"/>
      <c r="J322"/>
      <c r="K322"/>
      <c r="L322"/>
    </row>
    <row r="323" spans="1:12" x14ac:dyDescent="0.6">
      <c r="C323" s="13" t="s">
        <v>119</v>
      </c>
      <c r="E323" s="98"/>
      <c r="F323" s="101"/>
      <c r="I323"/>
      <c r="J323"/>
      <c r="K323"/>
      <c r="L323"/>
    </row>
    <row r="324" spans="1:12" x14ac:dyDescent="0.6">
      <c r="B324" s="89" t="s">
        <v>120</v>
      </c>
      <c r="C324" s="103" t="s">
        <v>189</v>
      </c>
      <c r="E324" s="98"/>
      <c r="F324" s="101"/>
      <c r="I324"/>
      <c r="J324"/>
      <c r="K324"/>
      <c r="L324"/>
    </row>
    <row r="325" spans="1:12" x14ac:dyDescent="0.6">
      <c r="A325" s="22"/>
      <c r="C325" s="103" t="s">
        <v>121</v>
      </c>
      <c r="E325" s="99"/>
      <c r="I325"/>
      <c r="J325"/>
      <c r="K325"/>
      <c r="L325"/>
    </row>
    <row r="326" spans="1:12" x14ac:dyDescent="0.6">
      <c r="C326" s="103" t="s">
        <v>188</v>
      </c>
      <c r="I326"/>
      <c r="J326"/>
      <c r="K326"/>
      <c r="L326"/>
    </row>
    <row r="327" spans="1:12" x14ac:dyDescent="0.6">
      <c r="A327" s="7"/>
      <c r="B327" s="404" t="s">
        <v>313</v>
      </c>
      <c r="C327" s="405" t="s">
        <v>314</v>
      </c>
      <c r="D327"/>
      <c r="E327" s="137"/>
      <c r="F327" s="4"/>
      <c r="G327"/>
      <c r="H327"/>
      <c r="I327"/>
      <c r="J327"/>
      <c r="K327"/>
      <c r="L327"/>
    </row>
    <row r="328" spans="1:12" x14ac:dyDescent="0.6">
      <c r="A328" s="7"/>
      <c r="B328" t="str">
        <f>'BGS PTY21 Cost Alloc'!B318</f>
        <v xml:space="preserve"> </v>
      </c>
      <c r="C328" s="9"/>
      <c r="D328"/>
      <c r="E328" s="137"/>
      <c r="F328" s="137"/>
      <c r="G328"/>
      <c r="H328"/>
      <c r="I328"/>
      <c r="J328"/>
      <c r="K328"/>
      <c r="L328"/>
    </row>
    <row r="333" spans="1:12" x14ac:dyDescent="0.6">
      <c r="L333" s="144"/>
    </row>
    <row r="342" spans="12:12" x14ac:dyDescent="0.6">
      <c r="L342" s="144"/>
    </row>
    <row r="343" spans="12:12" x14ac:dyDescent="0.6">
      <c r="L343" s="144"/>
    </row>
    <row r="344" spans="12:12" x14ac:dyDescent="0.6">
      <c r="L344" s="144"/>
    </row>
    <row r="345" spans="12:12" x14ac:dyDescent="0.6">
      <c r="L345" s="139"/>
    </row>
    <row r="346" spans="12:12" x14ac:dyDescent="0.6">
      <c r="L346" s="139"/>
    </row>
    <row r="347" spans="12:12" x14ac:dyDescent="0.6">
      <c r="L347" s="139"/>
    </row>
  </sheetData>
  <sheetProtection algorithmName="SHA-512" hashValue="5axtsltAArdqtKzKfTXNwkutHzGrJDAGyLoQpaJW53O7YbFV1X4Ckwrm+mlOZg9mRrO56ngeKUsgWpMKmX2voA==" saltValue="8m4sfVoctg2KL46U9nOdPg==" spinCount="100000" sheet="1" objects="1" scenarios="1" selectLockedCells="1" selectUnlockedCells="1"/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9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11" man="1"/>
    <brk id="102" max="11" man="1"/>
    <brk id="142" max="11" man="1"/>
    <brk id="207" max="11" man="1"/>
    <brk id="237" max="11" man="1"/>
    <brk id="28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5"/>
  <sheetViews>
    <sheetView view="pageBreakPreview" zoomScale="80" zoomScaleNormal="60" zoomScaleSheetLayoutView="80" workbookViewId="0"/>
  </sheetViews>
  <sheetFormatPr defaultColWidth="9.08984375" defaultRowHeight="13" x14ac:dyDescent="0.6"/>
  <cols>
    <col min="1" max="1" width="16.08984375" style="12" customWidth="1"/>
    <col min="2" max="2" width="27.90625" style="13" customWidth="1"/>
    <col min="3" max="3" width="14.54296875" style="13" customWidth="1"/>
    <col min="4" max="4" width="12.54296875" style="13" customWidth="1"/>
    <col min="5" max="5" width="16.54296875" style="13" customWidth="1"/>
    <col min="6" max="6" width="16" style="13" customWidth="1"/>
    <col min="7" max="7" width="16.54296875" style="13" customWidth="1"/>
    <col min="8" max="8" width="15.453125" style="13" customWidth="1"/>
    <col min="9" max="9" width="14.08984375" style="13" customWidth="1"/>
    <col min="10" max="10" width="16.453125" style="13" customWidth="1"/>
    <col min="11" max="11" width="12.54296875" style="13" customWidth="1"/>
    <col min="12" max="12" width="16.54296875" style="13" customWidth="1"/>
    <col min="13" max="13" width="17" style="13" hidden="1" customWidth="1"/>
    <col min="14" max="14" width="15.08984375" style="13" hidden="1" customWidth="1"/>
    <col min="15" max="16" width="12.453125" style="13" hidden="1" customWidth="1"/>
    <col min="17" max="17" width="13.54296875" style="13" hidden="1" customWidth="1"/>
    <col min="18" max="18" width="14.453125" style="13" hidden="1" customWidth="1"/>
    <col min="19" max="19" width="14.90625" style="13" hidden="1" customWidth="1"/>
    <col min="20" max="20" width="15.08984375" style="13" hidden="1" customWidth="1"/>
    <col min="21" max="21" width="14.08984375" style="13" hidden="1" customWidth="1"/>
    <col min="22" max="22" width="12.453125" style="13" hidden="1" customWidth="1"/>
    <col min="23" max="23" width="13.453125" style="13" hidden="1" customWidth="1"/>
    <col min="24" max="24" width="15.453125" style="13" hidden="1" customWidth="1"/>
    <col min="25" max="25" width="10.54296875" style="13" hidden="1" customWidth="1"/>
    <col min="26" max="26" width="11.54296875" style="13" hidden="1" customWidth="1"/>
    <col min="27" max="27" width="12.54296875" style="13" hidden="1" customWidth="1"/>
    <col min="28" max="28" width="13.453125" style="13" hidden="1" customWidth="1"/>
    <col min="29" max="29" width="11" style="13" hidden="1" customWidth="1"/>
    <col min="30" max="30" width="14.08984375" style="13" hidden="1" customWidth="1"/>
    <col min="31" max="31" width="9.90625" style="13" hidden="1" customWidth="1"/>
    <col min="32" max="32" width="9.08984375" style="13" hidden="1" customWidth="1"/>
    <col min="33" max="33" width="12" style="13" hidden="1" customWidth="1"/>
    <col min="34" max="36" width="9.08984375" style="13" hidden="1" customWidth="1"/>
    <col min="37" max="37" width="9.08984375" style="13" customWidth="1"/>
    <col min="38" max="38" width="9.453125" style="13" customWidth="1"/>
    <col min="39" max="46" width="9.08984375" style="13" customWidth="1"/>
    <col min="47" max="48" width="10.90625" style="13" customWidth="1"/>
    <col min="49" max="49" width="12.453125" style="13" customWidth="1"/>
    <col min="50" max="50" width="10.90625" style="13" customWidth="1"/>
    <col min="51" max="51" width="11.453125" style="13" customWidth="1"/>
    <col min="52" max="16384" width="9.08984375" style="13"/>
  </cols>
  <sheetData>
    <row r="1" spans="1:26" ht="15.5" x14ac:dyDescent="0.7">
      <c r="B1" s="578" t="s">
        <v>69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1:26" ht="15.5" x14ac:dyDescent="0.7">
      <c r="B2" s="578" t="s">
        <v>187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26" ht="15.5" x14ac:dyDescent="0.7">
      <c r="B3" s="578" t="str">
        <f>'BGS PTY21 Cost Alloc'!$B$3</f>
        <v>2023 BGS Auction Cost and Bid Factor Tables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</row>
    <row r="4" spans="1:26" ht="15.5" x14ac:dyDescent="0.7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5" x14ac:dyDescent="0.7">
      <c r="B5" s="579" t="s">
        <v>397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</row>
    <row r="6" spans="1:26" x14ac:dyDescent="0.6">
      <c r="L6" s="120" t="s">
        <v>251</v>
      </c>
    </row>
    <row r="8" spans="1:26" ht="15.5" x14ac:dyDescent="0.7">
      <c r="B8" s="14" t="s">
        <v>50</v>
      </c>
    </row>
    <row r="9" spans="1:26" x14ac:dyDescent="0.6">
      <c r="A9" s="15"/>
      <c r="B9" s="16" t="s">
        <v>45</v>
      </c>
    </row>
    <row r="10" spans="1:26" x14ac:dyDescent="0.6">
      <c r="E10" s="17" t="str">
        <f>'BGS PTY21 Cost Alloc'!$E$10</f>
        <v>Based on an average of 2019 through 2021 Load Profile Information</v>
      </c>
    </row>
    <row r="11" spans="1:26" x14ac:dyDescent="0.6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" x14ac:dyDescent="0.6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6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6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6">
      <c r="A15" s="22"/>
      <c r="B15" s="28" t="s">
        <v>1</v>
      </c>
      <c r="C15" s="29"/>
      <c r="D15" s="29"/>
      <c r="E15" s="153">
        <f>'BGS PTY21 Cost Alloc'!E15</f>
        <v>0.47970000000000002</v>
      </c>
      <c r="F15" s="153">
        <f>'BGS PTY21 Cost Alloc'!F15</f>
        <v>0.501</v>
      </c>
      <c r="G15" s="153">
        <f>'BGS PTY21 Cost Alloc'!G15</f>
        <v>0.56310000000000004</v>
      </c>
      <c r="H15" s="153">
        <f>'BGS PTY21 Cost Alloc'!H15</f>
        <v>0.53949999999999998</v>
      </c>
      <c r="I15" s="153">
        <f>'BGS PTY21 Cost Alloc'!I15</f>
        <v>0.3347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0.52029999999999998</v>
      </c>
      <c r="R15" s="32">
        <f t="shared" ref="R15:R26" si="1">1-F15</f>
        <v>0.499</v>
      </c>
      <c r="S15" s="32">
        <f t="shared" ref="S15:S26" si="2">1-G15</f>
        <v>0.43689999999999996</v>
      </c>
      <c r="T15" s="32">
        <f t="shared" ref="T15:T26" si="3">1-H15</f>
        <v>0.46050000000000002</v>
      </c>
      <c r="U15" s="32">
        <f t="shared" ref="U15:U26" si="4">1-I15</f>
        <v>0.6653</v>
      </c>
      <c r="V15" s="32"/>
      <c r="W15" s="32"/>
      <c r="X15" s="32"/>
      <c r="Y15" s="32"/>
      <c r="Z15" s="32"/>
    </row>
    <row r="16" spans="1:26" x14ac:dyDescent="0.6">
      <c r="A16" s="22"/>
      <c r="B16" s="28" t="s">
        <v>2</v>
      </c>
      <c r="C16" s="29"/>
      <c r="D16" s="29"/>
      <c r="E16" s="153">
        <f>'BGS PTY21 Cost Alloc'!E16</f>
        <v>0.47260000000000002</v>
      </c>
      <c r="F16" s="153">
        <f>'BGS PTY21 Cost Alloc'!F16</f>
        <v>0.49969999999999998</v>
      </c>
      <c r="G16" s="153">
        <f>'BGS PTY21 Cost Alloc'!G16</f>
        <v>0.5635</v>
      </c>
      <c r="H16" s="153">
        <f>'BGS PTY21 Cost Alloc'!H16</f>
        <v>0.54</v>
      </c>
      <c r="I16" s="153">
        <f>'BGS PTY21 Cost Alloc'!I16</f>
        <v>0.30930000000000002</v>
      </c>
      <c r="J16" s="29"/>
      <c r="K16" s="30"/>
      <c r="L16" s="30"/>
      <c r="M16" s="30"/>
      <c r="N16" s="31"/>
      <c r="O16" s="32"/>
      <c r="P16" s="32"/>
      <c r="Q16" s="32">
        <f t="shared" si="0"/>
        <v>0.52739999999999998</v>
      </c>
      <c r="R16" s="32">
        <f t="shared" si="1"/>
        <v>0.50029999999999997</v>
      </c>
      <c r="S16" s="32">
        <f t="shared" si="2"/>
        <v>0.4365</v>
      </c>
      <c r="T16" s="32">
        <f t="shared" si="3"/>
        <v>0.45999999999999996</v>
      </c>
      <c r="U16" s="32">
        <f t="shared" si="4"/>
        <v>0.69069999999999998</v>
      </c>
      <c r="V16" s="32"/>
      <c r="W16" s="32"/>
      <c r="X16" s="32"/>
      <c r="Y16" s="32"/>
      <c r="Z16" s="32"/>
    </row>
    <row r="17" spans="1:26" x14ac:dyDescent="0.6">
      <c r="A17" s="22"/>
      <c r="B17" s="28" t="s">
        <v>3</v>
      </c>
      <c r="C17" s="29"/>
      <c r="D17" s="29"/>
      <c r="E17" s="153">
        <f>'BGS PTY21 Cost Alloc'!E17</f>
        <v>0.48060000000000003</v>
      </c>
      <c r="F17" s="153">
        <f>'BGS PTY21 Cost Alloc'!F17</f>
        <v>0.50870000000000004</v>
      </c>
      <c r="G17" s="153">
        <f>'BGS PTY21 Cost Alloc'!G17</f>
        <v>0.58779999999999999</v>
      </c>
      <c r="H17" s="153">
        <f>'BGS PTY21 Cost Alloc'!H17</f>
        <v>0.54120000000000001</v>
      </c>
      <c r="I17" s="153">
        <f>'BGS PTY21 Cost Alloc'!I17</f>
        <v>0.30869999999999997</v>
      </c>
      <c r="J17" s="29"/>
      <c r="K17" s="30"/>
      <c r="L17" s="30"/>
      <c r="M17" s="30"/>
      <c r="N17" s="31"/>
      <c r="O17" s="32"/>
      <c r="P17" s="32"/>
      <c r="Q17" s="32">
        <f t="shared" si="0"/>
        <v>0.51939999999999997</v>
      </c>
      <c r="R17" s="32">
        <f t="shared" si="1"/>
        <v>0.49129999999999996</v>
      </c>
      <c r="S17" s="32">
        <f t="shared" si="2"/>
        <v>0.41220000000000001</v>
      </c>
      <c r="T17" s="32">
        <f t="shared" si="3"/>
        <v>0.45879999999999999</v>
      </c>
      <c r="U17" s="32">
        <f t="shared" si="4"/>
        <v>0.69130000000000003</v>
      </c>
      <c r="V17" s="32"/>
      <c r="W17" s="32"/>
      <c r="X17" s="32"/>
      <c r="Y17" s="32"/>
      <c r="Z17" s="32"/>
    </row>
    <row r="18" spans="1:26" x14ac:dyDescent="0.6">
      <c r="A18" s="22"/>
      <c r="B18" s="28" t="s">
        <v>4</v>
      </c>
      <c r="C18" s="29"/>
      <c r="D18" s="29"/>
      <c r="E18" s="153">
        <f>'BGS PTY21 Cost Alloc'!E18</f>
        <v>0.5101</v>
      </c>
      <c r="F18" s="153">
        <f>'BGS PTY21 Cost Alloc'!F18</f>
        <v>0.53190000000000004</v>
      </c>
      <c r="G18" s="153">
        <f>'BGS PTY21 Cost Alloc'!G18</f>
        <v>0.60499999999999998</v>
      </c>
      <c r="H18" s="153">
        <f>'BGS PTY21 Cost Alloc'!H18</f>
        <v>0.55989999999999995</v>
      </c>
      <c r="I18" s="153">
        <f>'BGS PTY21 Cost Alloc'!I18</f>
        <v>0.32129999999999997</v>
      </c>
      <c r="J18" s="29"/>
      <c r="K18" s="30"/>
      <c r="L18" s="30"/>
      <c r="M18" s="30"/>
      <c r="N18" s="31"/>
      <c r="O18" s="32"/>
      <c r="P18" s="32"/>
      <c r="Q18" s="32">
        <f t="shared" si="0"/>
        <v>0.4899</v>
      </c>
      <c r="R18" s="32">
        <f t="shared" si="1"/>
        <v>0.46809999999999996</v>
      </c>
      <c r="S18" s="32">
        <f t="shared" si="2"/>
        <v>0.39500000000000002</v>
      </c>
      <c r="T18" s="32">
        <f t="shared" si="3"/>
        <v>0.44010000000000005</v>
      </c>
      <c r="U18" s="32">
        <f t="shared" si="4"/>
        <v>0.67870000000000008</v>
      </c>
      <c r="V18" s="32"/>
      <c r="W18" s="32"/>
      <c r="X18" s="32"/>
      <c r="Y18" s="32"/>
      <c r="Z18" s="32"/>
    </row>
    <row r="19" spans="1:26" x14ac:dyDescent="0.6">
      <c r="A19" s="22"/>
      <c r="B19" s="28" t="s">
        <v>5</v>
      </c>
      <c r="C19" s="29"/>
      <c r="D19" s="29"/>
      <c r="E19" s="153">
        <f>'BGS PTY21 Cost Alloc'!E19</f>
        <v>0.45390000000000003</v>
      </c>
      <c r="F19" s="153">
        <f>'BGS PTY21 Cost Alloc'!F19</f>
        <v>0.4703</v>
      </c>
      <c r="G19" s="153">
        <f>'BGS PTY21 Cost Alloc'!G19</f>
        <v>0.56489999999999996</v>
      </c>
      <c r="H19" s="153">
        <f>'BGS PTY21 Cost Alloc'!H19</f>
        <v>0.53159999999999996</v>
      </c>
      <c r="I19" s="153">
        <f>'BGS PTY21 Cost Alloc'!I19</f>
        <v>0.28849999999999998</v>
      </c>
      <c r="J19" s="29"/>
      <c r="K19" s="30"/>
      <c r="L19" s="30"/>
      <c r="M19" s="30"/>
      <c r="N19" s="31"/>
      <c r="O19" s="32"/>
      <c r="P19" s="32"/>
      <c r="Q19" s="32">
        <f t="shared" si="0"/>
        <v>0.54610000000000003</v>
      </c>
      <c r="R19" s="32">
        <f t="shared" si="1"/>
        <v>0.52970000000000006</v>
      </c>
      <c r="S19" s="32">
        <f t="shared" si="2"/>
        <v>0.43510000000000004</v>
      </c>
      <c r="T19" s="32">
        <f t="shared" si="3"/>
        <v>0.46840000000000004</v>
      </c>
      <c r="U19" s="32">
        <f t="shared" si="4"/>
        <v>0.71150000000000002</v>
      </c>
      <c r="V19" s="32"/>
      <c r="W19" s="32"/>
      <c r="X19" s="32"/>
      <c r="Y19" s="32"/>
      <c r="Z19" s="32"/>
    </row>
    <row r="20" spans="1:26" x14ac:dyDescent="0.6">
      <c r="A20" s="22"/>
      <c r="B20" s="28" t="s">
        <v>6</v>
      </c>
      <c r="C20" s="29"/>
      <c r="D20" s="29"/>
      <c r="E20" s="153">
        <f>'BGS PTY21 Cost Alloc'!E20</f>
        <v>0.52869999999999995</v>
      </c>
      <c r="F20" s="153">
        <f>'BGS PTY21 Cost Alloc'!F20</f>
        <v>0.53539999999999999</v>
      </c>
      <c r="G20" s="153">
        <f>'BGS PTY21 Cost Alloc'!G20</f>
        <v>0.58169999999999999</v>
      </c>
      <c r="H20" s="153">
        <f>'BGS PTY21 Cost Alloc'!H20</f>
        <v>0.56359999999999999</v>
      </c>
      <c r="I20" s="153">
        <f>'BGS PTY21 Cost Alloc'!I20</f>
        <v>0.29959999999999998</v>
      </c>
      <c r="J20" s="29"/>
      <c r="K20" s="30"/>
      <c r="L20" s="30"/>
      <c r="M20" s="30"/>
      <c r="N20" s="31"/>
      <c r="O20" s="32"/>
      <c r="P20" s="32"/>
      <c r="Q20" s="32">
        <f t="shared" si="0"/>
        <v>0.47130000000000005</v>
      </c>
      <c r="R20" s="32">
        <f t="shared" si="1"/>
        <v>0.46460000000000001</v>
      </c>
      <c r="S20" s="32">
        <f t="shared" si="2"/>
        <v>0.41830000000000001</v>
      </c>
      <c r="T20" s="32">
        <f t="shared" si="3"/>
        <v>0.43640000000000001</v>
      </c>
      <c r="U20" s="32">
        <f t="shared" si="4"/>
        <v>0.70040000000000002</v>
      </c>
      <c r="V20" s="32"/>
      <c r="W20" s="32"/>
      <c r="X20" s="32"/>
      <c r="Y20" s="32"/>
      <c r="Z20" s="32"/>
    </row>
    <row r="21" spans="1:26" x14ac:dyDescent="0.6">
      <c r="A21" s="22"/>
      <c r="B21" s="28" t="s">
        <v>7</v>
      </c>
      <c r="C21" s="29"/>
      <c r="D21" s="29"/>
      <c r="E21" s="153">
        <f>'BGS PTY21 Cost Alloc'!E21</f>
        <v>0.53010000000000002</v>
      </c>
      <c r="F21" s="153">
        <f>'BGS PTY21 Cost Alloc'!F21</f>
        <v>0.52810000000000001</v>
      </c>
      <c r="G21" s="153">
        <f>'BGS PTY21 Cost Alloc'!G21</f>
        <v>0.58140000000000003</v>
      </c>
      <c r="H21" s="153">
        <f>'BGS PTY21 Cost Alloc'!H21</f>
        <v>0.5575</v>
      </c>
      <c r="I21" s="153">
        <f>'BGS PTY21 Cost Alloc'!I21</f>
        <v>0.29630000000000001</v>
      </c>
      <c r="J21" s="29"/>
      <c r="K21" s="30"/>
      <c r="L21" s="30"/>
      <c r="M21" s="30"/>
      <c r="N21" s="31"/>
      <c r="O21" s="32"/>
      <c r="P21" s="32"/>
      <c r="Q21" s="32">
        <f t="shared" si="0"/>
        <v>0.46989999999999998</v>
      </c>
      <c r="R21" s="32">
        <f t="shared" si="1"/>
        <v>0.47189999999999999</v>
      </c>
      <c r="S21" s="32">
        <f t="shared" si="2"/>
        <v>0.41859999999999997</v>
      </c>
      <c r="T21" s="32">
        <f t="shared" si="3"/>
        <v>0.4425</v>
      </c>
      <c r="U21" s="32">
        <f t="shared" si="4"/>
        <v>0.70369999999999999</v>
      </c>
      <c r="V21" s="32"/>
      <c r="W21" s="32"/>
      <c r="X21" s="32"/>
      <c r="Y21" s="32"/>
      <c r="Z21" s="32"/>
    </row>
    <row r="22" spans="1:26" x14ac:dyDescent="0.6">
      <c r="A22" s="22"/>
      <c r="B22" s="28" t="s">
        <v>8</v>
      </c>
      <c r="C22" s="29"/>
      <c r="D22" s="29"/>
      <c r="E22" s="153">
        <f>'BGS PTY21 Cost Alloc'!E22</f>
        <v>0.53069999999999995</v>
      </c>
      <c r="F22" s="153">
        <f>'BGS PTY21 Cost Alloc'!F22</f>
        <v>0.53090000000000004</v>
      </c>
      <c r="G22" s="153">
        <f>'BGS PTY21 Cost Alloc'!G22</f>
        <v>0.57820000000000005</v>
      </c>
      <c r="H22" s="153">
        <f>'BGS PTY21 Cost Alloc'!H22</f>
        <v>0.55389999999999995</v>
      </c>
      <c r="I22" s="153">
        <f>'BGS PTY21 Cost Alloc'!I22</f>
        <v>0.30009999999999998</v>
      </c>
      <c r="J22" s="29"/>
      <c r="K22" s="30"/>
      <c r="L22" s="30"/>
      <c r="M22" s="30"/>
      <c r="N22" s="31"/>
      <c r="O22" s="32"/>
      <c r="P22" s="32"/>
      <c r="Q22" s="32">
        <f t="shared" si="0"/>
        <v>0.46930000000000005</v>
      </c>
      <c r="R22" s="32">
        <f t="shared" si="1"/>
        <v>0.46909999999999996</v>
      </c>
      <c r="S22" s="32">
        <f t="shared" si="2"/>
        <v>0.42179999999999995</v>
      </c>
      <c r="T22" s="32">
        <f t="shared" si="3"/>
        <v>0.44610000000000005</v>
      </c>
      <c r="U22" s="32">
        <f t="shared" si="4"/>
        <v>0.69989999999999997</v>
      </c>
      <c r="V22" s="32"/>
      <c r="W22" s="32"/>
      <c r="X22" s="32"/>
      <c r="Y22" s="32"/>
      <c r="Z22" s="32"/>
    </row>
    <row r="23" spans="1:26" x14ac:dyDescent="0.6">
      <c r="A23" s="22"/>
      <c r="B23" s="28" t="s">
        <v>9</v>
      </c>
      <c r="C23" s="29"/>
      <c r="D23" s="29"/>
      <c r="E23" s="153">
        <f>'BGS PTY21 Cost Alloc'!E23</f>
        <v>0.4824</v>
      </c>
      <c r="F23" s="153">
        <f>'BGS PTY21 Cost Alloc'!F23</f>
        <v>0.49249999999999999</v>
      </c>
      <c r="G23" s="153">
        <f>'BGS PTY21 Cost Alloc'!G23</f>
        <v>0.58209999999999995</v>
      </c>
      <c r="H23" s="153">
        <f>'BGS PTY21 Cost Alloc'!H23</f>
        <v>0.55189999999999995</v>
      </c>
      <c r="I23" s="153">
        <f>'BGS PTY21 Cost Alloc'!I23</f>
        <v>0.31309999999999999</v>
      </c>
      <c r="J23" s="29"/>
      <c r="K23" s="30"/>
      <c r="L23" s="30"/>
      <c r="M23" s="30"/>
      <c r="N23" s="31"/>
      <c r="O23" s="32"/>
      <c r="P23" s="32"/>
      <c r="Q23" s="32">
        <f t="shared" si="0"/>
        <v>0.51760000000000006</v>
      </c>
      <c r="R23" s="32">
        <f t="shared" si="1"/>
        <v>0.50750000000000006</v>
      </c>
      <c r="S23" s="32">
        <f t="shared" si="2"/>
        <v>0.41790000000000005</v>
      </c>
      <c r="T23" s="32">
        <f t="shared" si="3"/>
        <v>0.44810000000000005</v>
      </c>
      <c r="U23" s="32">
        <f t="shared" si="4"/>
        <v>0.68690000000000007</v>
      </c>
      <c r="V23" s="32"/>
      <c r="W23" s="32"/>
      <c r="X23" s="32"/>
      <c r="Y23" s="32"/>
      <c r="Z23" s="32"/>
    </row>
    <row r="24" spans="1:26" x14ac:dyDescent="0.6">
      <c r="A24" s="22"/>
      <c r="B24" s="28" t="s">
        <v>10</v>
      </c>
      <c r="C24" s="29"/>
      <c r="D24" s="29"/>
      <c r="E24" s="153">
        <f>'BGS PTY21 Cost Alloc'!E24</f>
        <v>0.48709999999999998</v>
      </c>
      <c r="F24" s="153">
        <f>'BGS PTY21 Cost Alloc'!F24</f>
        <v>0.51280000000000003</v>
      </c>
      <c r="G24" s="153">
        <f>'BGS PTY21 Cost Alloc'!G24</f>
        <v>0.58860000000000001</v>
      </c>
      <c r="H24" s="153">
        <f>'BGS PTY21 Cost Alloc'!H24</f>
        <v>0.56169999999999998</v>
      </c>
      <c r="I24" s="153">
        <f>'BGS PTY21 Cost Alloc'!I24</f>
        <v>0.33639999999999998</v>
      </c>
      <c r="J24" s="29"/>
      <c r="K24" s="30"/>
      <c r="L24" s="30"/>
      <c r="M24" s="30"/>
      <c r="N24" s="31"/>
      <c r="O24" s="32"/>
      <c r="P24" s="32"/>
      <c r="Q24" s="32">
        <f t="shared" si="0"/>
        <v>0.51290000000000002</v>
      </c>
      <c r="R24" s="32">
        <f t="shared" si="1"/>
        <v>0.48719999999999997</v>
      </c>
      <c r="S24" s="32">
        <f t="shared" si="2"/>
        <v>0.41139999999999999</v>
      </c>
      <c r="T24" s="32">
        <f t="shared" si="3"/>
        <v>0.43830000000000002</v>
      </c>
      <c r="U24" s="32">
        <f t="shared" si="4"/>
        <v>0.66359999999999997</v>
      </c>
      <c r="V24" s="32"/>
      <c r="W24" s="32"/>
      <c r="X24" s="32"/>
      <c r="Y24" s="32"/>
      <c r="Z24" s="32"/>
    </row>
    <row r="25" spans="1:26" x14ac:dyDescent="0.6">
      <c r="A25" s="22"/>
      <c r="B25" s="28" t="s">
        <v>11</v>
      </c>
      <c r="C25" s="29"/>
      <c r="D25" s="29"/>
      <c r="E25" s="153">
        <f>'BGS PTY21 Cost Alloc'!E25</f>
        <v>0.45250000000000001</v>
      </c>
      <c r="F25" s="153">
        <f>'BGS PTY21 Cost Alloc'!F25</f>
        <v>0.48230000000000001</v>
      </c>
      <c r="G25" s="153">
        <f>'BGS PTY21 Cost Alloc'!G25</f>
        <v>0.56159999999999999</v>
      </c>
      <c r="H25" s="153">
        <f>'BGS PTY21 Cost Alloc'!H25</f>
        <v>0.52959999999999996</v>
      </c>
      <c r="I25" s="153">
        <f>'BGS PTY21 Cost Alloc'!I25</f>
        <v>0.32190000000000002</v>
      </c>
      <c r="J25" s="29"/>
      <c r="K25" s="30"/>
      <c r="L25" s="30"/>
      <c r="M25" s="30"/>
      <c r="N25" s="31"/>
      <c r="O25" s="32"/>
      <c r="P25" s="32"/>
      <c r="Q25" s="32">
        <f t="shared" si="0"/>
        <v>0.54749999999999999</v>
      </c>
      <c r="R25" s="32">
        <f t="shared" si="1"/>
        <v>0.51770000000000005</v>
      </c>
      <c r="S25" s="32">
        <f t="shared" si="2"/>
        <v>0.43840000000000001</v>
      </c>
      <c r="T25" s="32">
        <f t="shared" si="3"/>
        <v>0.47040000000000004</v>
      </c>
      <c r="U25" s="32">
        <f t="shared" si="4"/>
        <v>0.67809999999999993</v>
      </c>
      <c r="V25" s="32"/>
      <c r="W25" s="32"/>
      <c r="X25" s="32"/>
      <c r="Y25" s="32"/>
      <c r="Z25" s="32"/>
    </row>
    <row r="26" spans="1:26" x14ac:dyDescent="0.6">
      <c r="A26" s="22"/>
      <c r="B26" s="28" t="s">
        <v>12</v>
      </c>
      <c r="C26" s="29"/>
      <c r="D26" s="29"/>
      <c r="E26" s="153">
        <f>'BGS PTY21 Cost Alloc'!E26</f>
        <v>0.4834</v>
      </c>
      <c r="F26" s="153">
        <f>'BGS PTY21 Cost Alloc'!F26</f>
        <v>0.50560000000000005</v>
      </c>
      <c r="G26" s="153">
        <f>'BGS PTY21 Cost Alloc'!G26</f>
        <v>0.57509999999999994</v>
      </c>
      <c r="H26" s="153">
        <f>'BGS PTY21 Cost Alloc'!H26</f>
        <v>0.54320000000000002</v>
      </c>
      <c r="I26" s="153">
        <f>'BGS PTY21 Cost Alloc'!I26</f>
        <v>0.34179999999999999</v>
      </c>
      <c r="J26" s="29"/>
      <c r="K26" s="30"/>
      <c r="L26" s="30"/>
      <c r="M26" s="30"/>
      <c r="N26" s="31"/>
      <c r="O26" s="32"/>
      <c r="P26" s="32"/>
      <c r="Q26" s="32">
        <f t="shared" si="0"/>
        <v>0.51659999999999995</v>
      </c>
      <c r="R26" s="32">
        <f t="shared" si="1"/>
        <v>0.49439999999999995</v>
      </c>
      <c r="S26" s="32">
        <f t="shared" si="2"/>
        <v>0.42490000000000006</v>
      </c>
      <c r="T26" s="32">
        <f t="shared" si="3"/>
        <v>0.45679999999999998</v>
      </c>
      <c r="U26" s="32">
        <f t="shared" si="4"/>
        <v>0.65820000000000001</v>
      </c>
      <c r="V26" s="32"/>
      <c r="W26" s="32"/>
      <c r="X26" s="32"/>
      <c r="Y26" s="32"/>
      <c r="Z26" s="32"/>
    </row>
    <row r="27" spans="1:26" x14ac:dyDescent="0.6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6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6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6">
      <c r="A30" s="22"/>
      <c r="C30" s="23"/>
      <c r="D30" s="23"/>
      <c r="E30" s="23" t="str">
        <f>'BGS PTY21 Cost Alloc'!$E$30</f>
        <v>2022 Forecasted Calendar Month Sales</v>
      </c>
      <c r="F30" s="23" t="s">
        <v>39</v>
      </c>
      <c r="G30" s="23" t="s">
        <v>39</v>
      </c>
      <c r="H30" s="23" t="str">
        <f>'BGS PTY21 Cost Alloc'!$E$30</f>
        <v>2022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PTY21 Cost Alloc'!Q30</f>
        <v>2022 Forecasted Calendar Month Sales</v>
      </c>
      <c r="R30" s="23" t="s">
        <v>39</v>
      </c>
      <c r="S30" s="23" t="s">
        <v>39</v>
      </c>
      <c r="T30" s="23" t="str">
        <f>'BGS PTY21 Cost Alloc'!T30</f>
        <v>2022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6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6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6">
      <c r="A33" s="22"/>
      <c r="B33" s="28" t="s">
        <v>1</v>
      </c>
      <c r="C33" s="35"/>
      <c r="D33" s="135"/>
      <c r="E33" s="153">
        <f>'BGS PTY21 Cost Alloc'!E33</f>
        <v>0.3579</v>
      </c>
      <c r="F33" s="156" t="s">
        <v>40</v>
      </c>
      <c r="G33" s="156" t="s">
        <v>40</v>
      </c>
      <c r="H33" s="153">
        <f>'BGS PTY21 Cost Alloc'!H33</f>
        <v>0.41599999999999998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0.6421</v>
      </c>
      <c r="R33" s="32"/>
      <c r="S33" s="32"/>
      <c r="T33" s="32">
        <f t="shared" ref="T33:T44" si="6">1-H33</f>
        <v>0.58400000000000007</v>
      </c>
      <c r="U33" s="32"/>
      <c r="V33" s="32"/>
      <c r="W33" s="32"/>
      <c r="X33" s="32"/>
      <c r="Y33" s="32"/>
      <c r="Z33" s="32"/>
    </row>
    <row r="34" spans="1:26" x14ac:dyDescent="0.6">
      <c r="A34" s="22"/>
      <c r="B34" s="28" t="s">
        <v>2</v>
      </c>
      <c r="C34" s="35"/>
      <c r="D34" s="135"/>
      <c r="E34" s="153">
        <f>'BGS PTY21 Cost Alloc'!E34</f>
        <v>0.3508</v>
      </c>
      <c r="F34" s="156" t="s">
        <v>40</v>
      </c>
      <c r="G34" s="156" t="s">
        <v>40</v>
      </c>
      <c r="H34" s="153">
        <f>'BGS PTY21 Cost Alloc'!H34</f>
        <v>0.42020000000000002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0.6492</v>
      </c>
      <c r="R34" s="32"/>
      <c r="S34" s="32"/>
      <c r="T34" s="32">
        <f t="shared" si="6"/>
        <v>0.57979999999999998</v>
      </c>
      <c r="U34" s="32"/>
      <c r="V34" s="32"/>
      <c r="W34" s="32"/>
      <c r="X34" s="32"/>
      <c r="Y34" s="32"/>
      <c r="Z34" s="32"/>
    </row>
    <row r="35" spans="1:26" x14ac:dyDescent="0.6">
      <c r="A35" s="22"/>
      <c r="B35" s="28" t="s">
        <v>3</v>
      </c>
      <c r="C35" s="35"/>
      <c r="D35" s="135"/>
      <c r="E35" s="153">
        <f>'BGS PTY21 Cost Alloc'!E35</f>
        <v>0.35049999999999998</v>
      </c>
      <c r="F35" s="156" t="s">
        <v>40</v>
      </c>
      <c r="G35" s="156" t="s">
        <v>40</v>
      </c>
      <c r="H35" s="153">
        <f>'BGS PTY21 Cost Alloc'!H35</f>
        <v>0.42030000000000001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0.64949999999999997</v>
      </c>
      <c r="R35" s="32"/>
      <c r="S35" s="32"/>
      <c r="T35" s="32">
        <f t="shared" si="6"/>
        <v>0.57969999999999999</v>
      </c>
      <c r="U35" s="32"/>
      <c r="V35" s="32"/>
      <c r="W35" s="32"/>
      <c r="X35" s="32"/>
      <c r="Y35" s="32"/>
      <c r="Z35" s="32"/>
    </row>
    <row r="36" spans="1:26" x14ac:dyDescent="0.6">
      <c r="A36" s="22"/>
      <c r="B36" s="28" t="s">
        <v>4</v>
      </c>
      <c r="C36" s="35"/>
      <c r="D36" s="135"/>
      <c r="E36" s="153">
        <f>'BGS PTY21 Cost Alloc'!E36</f>
        <v>0.35899999999999999</v>
      </c>
      <c r="F36" s="156" t="s">
        <v>40</v>
      </c>
      <c r="G36" s="156" t="s">
        <v>40</v>
      </c>
      <c r="H36" s="153">
        <f>'BGS PTY21 Cost Alloc'!H36</f>
        <v>0.42099999999999999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0.64100000000000001</v>
      </c>
      <c r="R36" s="32"/>
      <c r="S36" s="32"/>
      <c r="T36" s="32">
        <f t="shared" si="6"/>
        <v>0.57899999999999996</v>
      </c>
      <c r="U36" s="32"/>
      <c r="V36" s="32"/>
      <c r="W36" s="32"/>
      <c r="X36" s="32"/>
      <c r="Y36" s="32"/>
      <c r="Z36" s="32"/>
    </row>
    <row r="37" spans="1:26" x14ac:dyDescent="0.6">
      <c r="A37" s="22"/>
      <c r="B37" s="28" t="s">
        <v>5</v>
      </c>
      <c r="C37" s="35"/>
      <c r="D37" s="135"/>
      <c r="E37" s="153">
        <f>'BGS PTY21 Cost Alloc'!E37</f>
        <v>0.3785</v>
      </c>
      <c r="F37" s="156" t="s">
        <v>40</v>
      </c>
      <c r="G37" s="156" t="s">
        <v>40</v>
      </c>
      <c r="H37" s="153">
        <f>'BGS PTY21 Cost Alloc'!H37</f>
        <v>0.43340000000000001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0.62149999999999994</v>
      </c>
      <c r="R37" s="32"/>
      <c r="S37" s="32"/>
      <c r="T37" s="32">
        <f t="shared" si="6"/>
        <v>0.56659999999999999</v>
      </c>
      <c r="U37" s="32"/>
      <c r="V37" s="32"/>
      <c r="W37" s="32"/>
      <c r="X37" s="32"/>
      <c r="Y37" s="32"/>
      <c r="Z37" s="32"/>
    </row>
    <row r="38" spans="1:26" x14ac:dyDescent="0.6">
      <c r="A38" s="22"/>
      <c r="B38" s="28" t="s">
        <v>6</v>
      </c>
      <c r="C38" s="35"/>
      <c r="D38" s="135"/>
      <c r="E38" s="153">
        <f>'BGS PTY21 Cost Alloc'!E38</f>
        <v>0.40579999999999999</v>
      </c>
      <c r="F38" s="156" t="s">
        <v>40</v>
      </c>
      <c r="G38" s="156" t="s">
        <v>40</v>
      </c>
      <c r="H38" s="153">
        <f>'BGS PTY21 Cost Alloc'!H38</f>
        <v>0.44700000000000001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0.59420000000000006</v>
      </c>
      <c r="R38" s="32"/>
      <c r="S38" s="32"/>
      <c r="T38" s="32">
        <f t="shared" si="6"/>
        <v>0.55299999999999994</v>
      </c>
      <c r="U38" s="32"/>
      <c r="V38" s="32"/>
      <c r="W38" s="32"/>
      <c r="X38" s="32"/>
      <c r="Y38" s="32"/>
      <c r="Z38" s="32"/>
    </row>
    <row r="39" spans="1:26" x14ac:dyDescent="0.6">
      <c r="A39" s="22"/>
      <c r="B39" s="28" t="s">
        <v>7</v>
      </c>
      <c r="C39" s="35"/>
      <c r="D39" s="135"/>
      <c r="E39" s="153">
        <f>'BGS PTY21 Cost Alloc'!E39</f>
        <v>0.42009999999999997</v>
      </c>
      <c r="F39" s="156" t="s">
        <v>40</v>
      </c>
      <c r="G39" s="156" t="s">
        <v>40</v>
      </c>
      <c r="H39" s="153">
        <f>'BGS PTY21 Cost Alloc'!H39</f>
        <v>0.45219999999999999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0.57990000000000008</v>
      </c>
      <c r="R39" s="32"/>
      <c r="S39" s="32"/>
      <c r="T39" s="32">
        <f t="shared" si="6"/>
        <v>0.54780000000000006</v>
      </c>
      <c r="U39" s="32"/>
      <c r="V39" s="32"/>
      <c r="W39" s="32"/>
      <c r="X39" s="32"/>
      <c r="Y39" s="32"/>
      <c r="Z39" s="32"/>
    </row>
    <row r="40" spans="1:26" x14ac:dyDescent="0.6">
      <c r="A40" s="22"/>
      <c r="B40" s="28" t="s">
        <v>8</v>
      </c>
      <c r="C40" s="35"/>
      <c r="D40" s="135"/>
      <c r="E40" s="153">
        <f>'BGS PTY21 Cost Alloc'!E40</f>
        <v>0.4249</v>
      </c>
      <c r="F40" s="156" t="s">
        <v>40</v>
      </c>
      <c r="G40" s="156" t="s">
        <v>40</v>
      </c>
      <c r="H40" s="153">
        <f>'BGS PTY21 Cost Alloc'!H40</f>
        <v>0.44819999999999999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0.57509999999999994</v>
      </c>
      <c r="R40" s="32"/>
      <c r="S40" s="32"/>
      <c r="T40" s="32">
        <f t="shared" si="6"/>
        <v>0.55180000000000007</v>
      </c>
      <c r="U40" s="32"/>
      <c r="V40" s="32"/>
      <c r="W40" s="32"/>
      <c r="X40" s="32"/>
      <c r="Y40" s="32"/>
      <c r="Z40" s="32"/>
    </row>
    <row r="41" spans="1:26" x14ac:dyDescent="0.6">
      <c r="A41" s="22"/>
      <c r="B41" s="28" t="s">
        <v>9</v>
      </c>
      <c r="C41" s="35"/>
      <c r="D41" s="135"/>
      <c r="E41" s="153">
        <f>'BGS PTY21 Cost Alloc'!E41</f>
        <v>0.41699999999999998</v>
      </c>
      <c r="F41" s="156" t="s">
        <v>40</v>
      </c>
      <c r="G41" s="156" t="s">
        <v>40</v>
      </c>
      <c r="H41" s="153">
        <f>'BGS PTY21 Cost Alloc'!H41</f>
        <v>0.45329999999999998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0.58299999999999996</v>
      </c>
      <c r="R41" s="32"/>
      <c r="S41" s="32"/>
      <c r="T41" s="32">
        <f t="shared" si="6"/>
        <v>0.54669999999999996</v>
      </c>
      <c r="U41" s="32"/>
      <c r="V41" s="32"/>
      <c r="W41" s="32"/>
      <c r="X41" s="32"/>
      <c r="Y41" s="32"/>
      <c r="Z41" s="32"/>
    </row>
    <row r="42" spans="1:26" x14ac:dyDescent="0.6">
      <c r="A42" s="22"/>
      <c r="B42" s="28" t="s">
        <v>10</v>
      </c>
      <c r="C42" s="35"/>
      <c r="D42" s="135"/>
      <c r="E42" s="153">
        <f>'BGS PTY21 Cost Alloc'!E42</f>
        <v>0.38400000000000001</v>
      </c>
      <c r="F42" s="156" t="s">
        <v>40</v>
      </c>
      <c r="G42" s="156" t="s">
        <v>40</v>
      </c>
      <c r="H42" s="153">
        <f>'BGS PTY21 Cost Alloc'!H42</f>
        <v>0.44950000000000001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0.61599999999999999</v>
      </c>
      <c r="R42" s="32"/>
      <c r="S42" s="32"/>
      <c r="T42" s="32">
        <f t="shared" si="6"/>
        <v>0.55049999999999999</v>
      </c>
      <c r="U42" s="32"/>
      <c r="V42" s="32"/>
      <c r="W42" s="32"/>
      <c r="X42" s="32"/>
      <c r="Y42" s="32"/>
      <c r="Z42" s="32"/>
    </row>
    <row r="43" spans="1:26" x14ac:dyDescent="0.6">
      <c r="A43" s="22"/>
      <c r="B43" s="28" t="s">
        <v>11</v>
      </c>
      <c r="C43" s="35"/>
      <c r="D43" s="135"/>
      <c r="E43" s="153">
        <f>'BGS PTY21 Cost Alloc'!E43</f>
        <v>0.3599</v>
      </c>
      <c r="F43" s="156" t="s">
        <v>40</v>
      </c>
      <c r="G43" s="156" t="s">
        <v>40</v>
      </c>
      <c r="H43" s="153">
        <f>'BGS PTY21 Cost Alloc'!H43</f>
        <v>0.44040000000000001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0.6401</v>
      </c>
      <c r="R43" s="32"/>
      <c r="S43" s="32"/>
      <c r="T43" s="32">
        <f t="shared" si="6"/>
        <v>0.55959999999999999</v>
      </c>
      <c r="U43" s="32"/>
      <c r="V43" s="32"/>
      <c r="W43" s="32"/>
      <c r="X43" s="32"/>
      <c r="Y43" s="32"/>
      <c r="Z43" s="32"/>
    </row>
    <row r="44" spans="1:26" x14ac:dyDescent="0.6">
      <c r="A44" s="22"/>
      <c r="B44" s="28" t="s">
        <v>12</v>
      </c>
      <c r="C44" s="35"/>
      <c r="D44" s="135"/>
      <c r="E44" s="153">
        <f>'BGS PTY21 Cost Alloc'!E44</f>
        <v>0.35920000000000002</v>
      </c>
      <c r="F44" s="156" t="s">
        <v>40</v>
      </c>
      <c r="G44" s="156" t="s">
        <v>40</v>
      </c>
      <c r="H44" s="153">
        <f>'BGS PTY21 Cost Alloc'!H44</f>
        <v>0.42199999999999999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0.64080000000000004</v>
      </c>
      <c r="R44" s="32"/>
      <c r="S44" s="32"/>
      <c r="T44" s="32">
        <f t="shared" si="6"/>
        <v>0.57800000000000007</v>
      </c>
      <c r="U44" s="32"/>
      <c r="V44" s="32"/>
      <c r="W44" s="32"/>
      <c r="X44" s="32"/>
      <c r="Y44" s="32"/>
      <c r="Z44" s="32"/>
    </row>
    <row r="45" spans="1:26" x14ac:dyDescent="0.6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6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6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6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6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6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6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5" x14ac:dyDescent="0.7">
      <c r="A52" s="22"/>
      <c r="B52" s="578" t="str">
        <f>$B$1</f>
        <v xml:space="preserve">Jersey Central Power &amp; Light </v>
      </c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5" x14ac:dyDescent="0.7">
      <c r="A53" s="22"/>
      <c r="B53" s="578" t="str">
        <f>$B$2</f>
        <v>Attachment 2</v>
      </c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6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6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PTY21 Cost Alloc'!Y55</f>
        <v>Forecast 2022 Delivery MWh</v>
      </c>
      <c r="X55" s="171"/>
      <c r="Y55" s="171"/>
      <c r="Z55" s="31"/>
    </row>
    <row r="56" spans="1:33" x14ac:dyDescent="0.6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247</v>
      </c>
    </row>
    <row r="57" spans="1:33" x14ac:dyDescent="0.6">
      <c r="A57" s="22"/>
      <c r="B57" s="39" t="str">
        <f>'BGS PTY21 Cost Alloc'!$B$57</f>
        <v>calendar month sales forecasted for 2022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6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6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6">
      <c r="A60" s="22"/>
      <c r="B60" s="28" t="s">
        <v>1</v>
      </c>
      <c r="C60" s="49"/>
      <c r="D60" s="49"/>
      <c r="E60" s="50">
        <f>'BGS PTY21 Cost Alloc'!E60</f>
        <v>21535</v>
      </c>
      <c r="F60" s="50">
        <f>'BGS PTY21 Cost Alloc'!F60</f>
        <v>822622</v>
      </c>
      <c r="G60" s="50">
        <f>'BGS PTY21 Cost Alloc'!G60</f>
        <v>451304</v>
      </c>
      <c r="H60" s="50">
        <f>'BGS PTY21 Cost Alloc'!H60</f>
        <v>12259</v>
      </c>
      <c r="I60" s="50">
        <f>'BGS PTY21 Cost Alloc'!I60</f>
        <v>9750</v>
      </c>
      <c r="J60" s="50">
        <f t="shared" ref="J60:J72" si="7">SUM(E60:I60)</f>
        <v>1317470</v>
      </c>
      <c r="K60" s="49"/>
      <c r="L60" s="49"/>
      <c r="M60" s="50">
        <f t="shared" ref="M60:M71" si="8">E60-ROUND(SUM($W60/1000),0)</f>
        <v>20760</v>
      </c>
      <c r="N60" s="51" t="s">
        <v>28</v>
      </c>
      <c r="O60" s="52"/>
      <c r="P60" s="53"/>
      <c r="Q60" s="53">
        <f>SUM(E60:E64,E69:E71)</f>
        <v>131112</v>
      </c>
      <c r="R60" s="53">
        <f>SUM(F60:F64,F69:F71)</f>
        <v>5535444</v>
      </c>
      <c r="S60" s="53">
        <f>SUM(G60:G64,G69:G71)</f>
        <v>3591474</v>
      </c>
      <c r="T60" s="53">
        <f>SUM(H60:H64,H69:H71)</f>
        <v>124046</v>
      </c>
      <c r="U60" s="54">
        <f>SUM(I60:I64,I69:I71)</f>
        <v>78007</v>
      </c>
      <c r="V60" s="169">
        <f>'BGS PTY21 Cost Alloc'!V60</f>
        <v>44562</v>
      </c>
      <c r="W60" s="50">
        <f>'BGS PTY21 Cost Alloc'!W60</f>
        <v>775186.66666659992</v>
      </c>
      <c r="X60" s="50">
        <f>'BGS PTY21 Cost Alloc'!X60</f>
        <v>16773</v>
      </c>
      <c r="Y60" s="55">
        <f t="shared" ref="Y60:Y71" si="9">W60-X60</f>
        <v>758413.66666659992</v>
      </c>
      <c r="Z60" s="50">
        <f>'BGS PTY21 Cost Alloc'!Z60</f>
        <v>1762078.1357579001</v>
      </c>
      <c r="AA60" s="50">
        <f>'BGS PTY21 Cost Alloc'!AA60</f>
        <v>20759.7248595452</v>
      </c>
      <c r="AB60" s="50">
        <f>'BGS PTY21 Cost Alloc'!AB60</f>
        <v>820860.4721483459</v>
      </c>
      <c r="AC60" s="50">
        <f>'BGS PTY21 Cost Alloc'!AC60</f>
        <v>451320.877222337</v>
      </c>
      <c r="AD60" s="50">
        <f>'BGS PTY21 Cost Alloc'!AD60</f>
        <v>501193.08722233702</v>
      </c>
      <c r="AG60" s="50">
        <f>'BGS PTY21 Cost Alloc'!AG60</f>
        <v>12259.399494299299</v>
      </c>
    </row>
    <row r="61" spans="1:33" x14ac:dyDescent="0.6">
      <c r="A61" s="22"/>
      <c r="B61" s="28" t="s">
        <v>2</v>
      </c>
      <c r="C61" s="49"/>
      <c r="D61" s="49"/>
      <c r="E61" s="50">
        <f>'BGS PTY21 Cost Alloc'!E61</f>
        <v>21597</v>
      </c>
      <c r="F61" s="50">
        <f>'BGS PTY21 Cost Alloc'!F61</f>
        <v>786500</v>
      </c>
      <c r="G61" s="50">
        <f>'BGS PTY21 Cost Alloc'!G61</f>
        <v>525381</v>
      </c>
      <c r="H61" s="50">
        <f>'BGS PTY21 Cost Alloc'!H61</f>
        <v>21743</v>
      </c>
      <c r="I61" s="50">
        <f>'BGS PTY21 Cost Alloc'!I61</f>
        <v>9750</v>
      </c>
      <c r="J61" s="50">
        <f t="shared" si="7"/>
        <v>1364971</v>
      </c>
      <c r="K61" s="49"/>
      <c r="L61" s="49"/>
      <c r="M61" s="50">
        <f t="shared" si="8"/>
        <v>20870</v>
      </c>
      <c r="N61" s="51"/>
      <c r="O61" s="52"/>
      <c r="P61" s="114" t="s">
        <v>193</v>
      </c>
      <c r="Q61" s="53">
        <f>SUMPRODUCT(E33:E37,M60:M64)+SUMPRODUCT(E42:E44,M69:M71)</f>
        <v>45336.398500000003</v>
      </c>
      <c r="R61" s="47"/>
      <c r="S61" s="131" t="s">
        <v>177</v>
      </c>
      <c r="T61" s="53">
        <f>SUMPRODUCT(H33:H37,H60:H64)+SUMPRODUCT(H42:H44,H69:H71)</f>
        <v>53031.6512</v>
      </c>
      <c r="U61" s="48">
        <f>T61/T60</f>
        <v>0.42751601180207344</v>
      </c>
      <c r="V61" s="169">
        <f>'BGS PTY21 Cost Alloc'!V61</f>
        <v>44593</v>
      </c>
      <c r="W61" s="50">
        <f>'BGS PTY21 Cost Alloc'!W61</f>
        <v>727049.66666670004</v>
      </c>
      <c r="X61" s="50">
        <f>'BGS PTY21 Cost Alloc'!X61</f>
        <v>16329</v>
      </c>
      <c r="Y61" s="55">
        <f t="shared" si="9"/>
        <v>710720.66666670004</v>
      </c>
      <c r="Z61" s="50">
        <f>'BGS PTY21 Cost Alloc'!Z61</f>
        <v>1792702.0650026</v>
      </c>
      <c r="AA61" s="50">
        <f>'BGS PTY21 Cost Alloc'!AA61</f>
        <v>20870.169318839497</v>
      </c>
      <c r="AB61" s="50">
        <f>'BGS PTY21 Cost Alloc'!AB61</f>
        <v>784707.39263217291</v>
      </c>
      <c r="AC61" s="50">
        <f>'BGS PTY21 Cost Alloc'!AC61</f>
        <v>525397.41713400697</v>
      </c>
      <c r="AD61" s="50">
        <f>'BGS PTY21 Cost Alloc'!AD61</f>
        <v>572592.79013400699</v>
      </c>
      <c r="AG61" s="50">
        <f>'BGS PTY21 Cost Alloc'!AG61</f>
        <v>21742.708699727504</v>
      </c>
    </row>
    <row r="62" spans="1:33" x14ac:dyDescent="0.6">
      <c r="A62" s="22"/>
      <c r="B62" s="28" t="s">
        <v>3</v>
      </c>
      <c r="C62" s="49"/>
      <c r="D62" s="49"/>
      <c r="E62" s="50">
        <f>'BGS PTY21 Cost Alloc'!E62</f>
        <v>20220</v>
      </c>
      <c r="F62" s="50">
        <f>'BGS PTY21 Cost Alloc'!F62</f>
        <v>746694</v>
      </c>
      <c r="G62" s="50">
        <f>'BGS PTY21 Cost Alloc'!G62</f>
        <v>440707</v>
      </c>
      <c r="H62" s="50">
        <f>'BGS PTY21 Cost Alloc'!H62</f>
        <v>15549</v>
      </c>
      <c r="I62" s="50">
        <f>'BGS PTY21 Cost Alloc'!I62</f>
        <v>9750</v>
      </c>
      <c r="J62" s="50">
        <f t="shared" si="7"/>
        <v>1232920</v>
      </c>
      <c r="K62" s="49"/>
      <c r="L62" s="49"/>
      <c r="M62" s="50">
        <f t="shared" si="8"/>
        <v>19502</v>
      </c>
      <c r="N62" s="51"/>
      <c r="O62" s="52"/>
      <c r="P62" s="114" t="s">
        <v>194</v>
      </c>
      <c r="Q62" s="53">
        <f>SUMPRODUCT(Q33:Q37,M60:M64)+SUMPRODUCT(Q42:Q44,M69:M71)</f>
        <v>80501.601500000004</v>
      </c>
      <c r="R62" s="47"/>
      <c r="S62" s="131" t="s">
        <v>178</v>
      </c>
      <c r="T62" s="53">
        <f>+T60-T61</f>
        <v>71014.348800000007</v>
      </c>
      <c r="U62" s="48"/>
      <c r="V62" s="169">
        <f>'BGS PTY21 Cost Alloc'!V62</f>
        <v>44621</v>
      </c>
      <c r="W62" s="50">
        <f>'BGS PTY21 Cost Alloc'!W62</f>
        <v>717810</v>
      </c>
      <c r="X62" s="50">
        <f>'BGS PTY21 Cost Alloc'!X62</f>
        <v>15567</v>
      </c>
      <c r="Y62" s="55">
        <f t="shared" si="9"/>
        <v>702243</v>
      </c>
      <c r="Z62" s="50">
        <f>'BGS PTY21 Cost Alloc'!Z62</f>
        <v>1600117.3942688</v>
      </c>
      <c r="AA62" s="50">
        <f>'BGS PTY21 Cost Alloc'!AA62</f>
        <v>19501.966830693098</v>
      </c>
      <c r="AB62" s="50">
        <f>'BGS PTY21 Cost Alloc'!AB62</f>
        <v>745093.53767150908</v>
      </c>
      <c r="AC62" s="50">
        <f>'BGS PTY21 Cost Alloc'!AC62</f>
        <v>440722.92893201899</v>
      </c>
      <c r="AD62" s="50">
        <f>'BGS PTY21 Cost Alloc'!AD62</f>
        <v>489326.818932019</v>
      </c>
      <c r="AG62" s="50">
        <f>'BGS PTY21 Cost Alloc'!AG62</f>
        <v>15548.511454737201</v>
      </c>
    </row>
    <row r="63" spans="1:33" x14ac:dyDescent="0.6">
      <c r="A63" s="22"/>
      <c r="B63" s="28" t="s">
        <v>4</v>
      </c>
      <c r="C63" s="49"/>
      <c r="D63" s="49"/>
      <c r="E63" s="50">
        <f>'BGS PTY21 Cost Alloc'!E63</f>
        <v>15915</v>
      </c>
      <c r="F63" s="50">
        <f>'BGS PTY21 Cost Alloc'!F63</f>
        <v>645619</v>
      </c>
      <c r="G63" s="50">
        <f>'BGS PTY21 Cost Alloc'!G63</f>
        <v>427408</v>
      </c>
      <c r="H63" s="50">
        <f>'BGS PTY21 Cost Alloc'!H63</f>
        <v>14458</v>
      </c>
      <c r="I63" s="50">
        <f>'BGS PTY21 Cost Alloc'!I63</f>
        <v>9750</v>
      </c>
      <c r="J63" s="50">
        <f t="shared" si="7"/>
        <v>1113150</v>
      </c>
      <c r="K63" s="49"/>
      <c r="L63" s="49"/>
      <c r="M63" s="50">
        <f t="shared" si="8"/>
        <v>15212</v>
      </c>
      <c r="N63" s="46"/>
      <c r="O63" s="47"/>
      <c r="P63" s="114" t="s">
        <v>195</v>
      </c>
      <c r="Q63" s="53">
        <f>SUM(W60:W64,W69:W71)/1000</f>
        <v>5274.0046993009</v>
      </c>
      <c r="R63" s="47"/>
      <c r="S63" s="47"/>
      <c r="T63" s="47"/>
      <c r="U63" s="48"/>
      <c r="V63" s="169">
        <f>'BGS PTY21 Cost Alloc'!V63</f>
        <v>44652</v>
      </c>
      <c r="W63" s="50">
        <f>'BGS PTY21 Cost Alloc'!W63</f>
        <v>703354.66666660004</v>
      </c>
      <c r="X63" s="50">
        <f>'BGS PTY21 Cost Alloc'!X63</f>
        <v>15410</v>
      </c>
      <c r="Y63" s="55">
        <f t="shared" si="9"/>
        <v>687944.66666660004</v>
      </c>
      <c r="Z63" s="50">
        <f>'BGS PTY21 Cost Alloc'!Z63</f>
        <v>1171733.3962609</v>
      </c>
      <c r="AA63" s="50">
        <f>'BGS PTY21 Cost Alloc'!AA63</f>
        <v>15212.441537856299</v>
      </c>
      <c r="AB63" s="50">
        <f>'BGS PTY21 Cost Alloc'!AB63</f>
        <v>644446.70502168802</v>
      </c>
      <c r="AC63" s="50">
        <f>'BGS PTY21 Cost Alloc'!AC63</f>
        <v>427423.14238746394</v>
      </c>
      <c r="AD63" s="50">
        <f>'BGS PTY21 Cost Alloc'!AD63</f>
        <v>476254.47638746398</v>
      </c>
      <c r="AG63" s="50">
        <f>'BGS PTY21 Cost Alloc'!AG63</f>
        <v>14457.7877380355</v>
      </c>
    </row>
    <row r="64" spans="1:33" x14ac:dyDescent="0.6">
      <c r="A64" s="22"/>
      <c r="B64" s="28" t="s">
        <v>5</v>
      </c>
      <c r="C64" s="49"/>
      <c r="D64" s="49"/>
      <c r="E64" s="50">
        <f>'BGS PTY21 Cost Alloc'!E64</f>
        <v>12967</v>
      </c>
      <c r="F64" s="50">
        <f>'BGS PTY21 Cost Alloc'!F64</f>
        <v>595134</v>
      </c>
      <c r="G64" s="50">
        <f>'BGS PTY21 Cost Alloc'!G64</f>
        <v>431350</v>
      </c>
      <c r="H64" s="50">
        <f>'BGS PTY21 Cost Alloc'!H64</f>
        <v>16197</v>
      </c>
      <c r="I64" s="50">
        <f>'BGS PTY21 Cost Alloc'!I64</f>
        <v>9751</v>
      </c>
      <c r="J64" s="50">
        <f t="shared" si="7"/>
        <v>1065399</v>
      </c>
      <c r="K64" s="49"/>
      <c r="L64" s="49"/>
      <c r="M64" s="50">
        <f t="shared" si="8"/>
        <v>12290</v>
      </c>
      <c r="N64" s="51" t="s">
        <v>29</v>
      </c>
      <c r="O64" s="52"/>
      <c r="P64" s="53"/>
      <c r="Q64" s="53">
        <f>+SUM(E65:E68)</f>
        <v>64785</v>
      </c>
      <c r="R64" s="53">
        <f>+SUM(F65:F68)</f>
        <v>3957413</v>
      </c>
      <c r="S64" s="53">
        <f>+SUM(G65:G68)</f>
        <v>2131270</v>
      </c>
      <c r="T64" s="53">
        <f>+SUM(H65:H68)</f>
        <v>64994</v>
      </c>
      <c r="U64" s="54">
        <f>+SUM(I65:I68)</f>
        <v>39005</v>
      </c>
      <c r="V64" s="169">
        <f>'BGS PTY21 Cost Alloc'!V64</f>
        <v>44682</v>
      </c>
      <c r="W64" s="50">
        <f>'BGS PTY21 Cost Alloc'!W64</f>
        <v>677439.37307890004</v>
      </c>
      <c r="X64" s="50">
        <f>'BGS PTY21 Cost Alloc'!X64</f>
        <v>16689.984105300002</v>
      </c>
      <c r="Y64" s="55">
        <f t="shared" si="9"/>
        <v>660749.3889736</v>
      </c>
      <c r="Z64" s="50">
        <f>'BGS PTY21 Cost Alloc'!Z64</f>
        <v>961462.81930630002</v>
      </c>
      <c r="AA64" s="50">
        <f>'BGS PTY21 Cost Alloc'!AA64</f>
        <v>12290.282962334</v>
      </c>
      <c r="AB64" s="50">
        <f>'BGS PTY21 Cost Alloc'!AB64</f>
        <v>594173.39430766797</v>
      </c>
      <c r="AC64" s="50">
        <f>'BGS PTY21 Cost Alloc'!AC64</f>
        <v>431366.77644333802</v>
      </c>
      <c r="AD64" s="50">
        <f>'BGS PTY21 Cost Alloc'!AD64</f>
        <v>482860.707443338</v>
      </c>
      <c r="AG64" s="50">
        <f>'BGS PTY21 Cost Alloc'!AG64</f>
        <v>16197.446033964201</v>
      </c>
    </row>
    <row r="65" spans="1:34" x14ac:dyDescent="0.6">
      <c r="A65" s="22"/>
      <c r="B65" s="28" t="s">
        <v>6</v>
      </c>
      <c r="C65" s="49"/>
      <c r="D65" s="49"/>
      <c r="E65" s="50">
        <f>'BGS PTY21 Cost Alloc'!E65</f>
        <v>13595</v>
      </c>
      <c r="F65" s="50">
        <f>'BGS PTY21 Cost Alloc'!F65</f>
        <v>727466</v>
      </c>
      <c r="G65" s="50">
        <f>'BGS PTY21 Cost Alloc'!G65</f>
        <v>485581</v>
      </c>
      <c r="H65" s="50">
        <f>'BGS PTY21 Cost Alloc'!H65</f>
        <v>13637</v>
      </c>
      <c r="I65" s="50">
        <f>'BGS PTY21 Cost Alloc'!I65</f>
        <v>9751</v>
      </c>
      <c r="J65" s="50">
        <f t="shared" si="7"/>
        <v>1250030</v>
      </c>
      <c r="K65" s="49"/>
      <c r="L65" s="50"/>
      <c r="M65" s="50">
        <f t="shared" si="8"/>
        <v>12961</v>
      </c>
      <c r="N65" s="51"/>
      <c r="O65" s="52"/>
      <c r="P65" s="157" t="s">
        <v>151</v>
      </c>
      <c r="Q65" s="158">
        <f>SUMPRODUCT(E38:E41,M65:M68)</f>
        <v>26159.752399999998</v>
      </c>
      <c r="R65" s="158">
        <f>'BGS PTY21 Cost Alloc'!R65</f>
        <v>2074592.7562634205</v>
      </c>
      <c r="S65" s="131" t="s">
        <v>177</v>
      </c>
      <c r="T65" s="53">
        <f>+SUMPRODUCT(H38:H41,H65:H68)</f>
        <v>29265.169300000001</v>
      </c>
      <c r="U65" s="56">
        <f>T65/T64</f>
        <v>0.45027493768655569</v>
      </c>
      <c r="V65" s="169">
        <f>'BGS PTY21 Cost Alloc'!V65</f>
        <v>44713</v>
      </c>
      <c r="W65" s="50">
        <f>'BGS PTY21 Cost Alloc'!W65</f>
        <v>633673.10451660003</v>
      </c>
      <c r="X65" s="50">
        <f>'BGS PTY21 Cost Alloc'!X65</f>
        <v>13661.020794700002</v>
      </c>
      <c r="Y65" s="55">
        <f t="shared" si="9"/>
        <v>620012.08372190001</v>
      </c>
      <c r="Z65" s="50">
        <f>'BGS PTY21 Cost Alloc'!Z65</f>
        <v>937407.31013750006</v>
      </c>
      <c r="AA65" s="50">
        <f>'BGS PTY21 Cost Alloc'!AA65</f>
        <v>12024.494212035601</v>
      </c>
      <c r="AB65" s="50">
        <f>'BGS PTY21 Cost Alloc'!AB65</f>
        <v>727466.06053327408</v>
      </c>
      <c r="AC65" s="50">
        <f>'BGS PTY21 Cost Alloc'!AC65</f>
        <v>485595.46658372297</v>
      </c>
      <c r="AD65" s="50">
        <f>'BGS PTY21 Cost Alloc'!AD65</f>
        <v>537139.00558372296</v>
      </c>
      <c r="AG65" s="50">
        <f>'BGS PTY21 Cost Alloc'!AG65</f>
        <v>13636.582292629801</v>
      </c>
    </row>
    <row r="66" spans="1:34" x14ac:dyDescent="0.6">
      <c r="A66" s="22"/>
      <c r="B66" s="28" t="s">
        <v>7</v>
      </c>
      <c r="C66" s="49"/>
      <c r="D66" s="49"/>
      <c r="E66" s="50">
        <f>'BGS PTY21 Cost Alloc'!E66</f>
        <v>17306</v>
      </c>
      <c r="F66" s="50">
        <f>'BGS PTY21 Cost Alloc'!F66</f>
        <v>1076379</v>
      </c>
      <c r="G66" s="50">
        <f>'BGS PTY21 Cost Alloc'!G66</f>
        <v>546742</v>
      </c>
      <c r="H66" s="50">
        <f>'BGS PTY21 Cost Alloc'!H66</f>
        <v>17458</v>
      </c>
      <c r="I66" s="50">
        <f>'BGS PTY21 Cost Alloc'!I66</f>
        <v>9751</v>
      </c>
      <c r="J66" s="50">
        <f t="shared" si="7"/>
        <v>1667636</v>
      </c>
      <c r="K66" s="49"/>
      <c r="L66" s="50"/>
      <c r="M66" s="50">
        <f t="shared" si="8"/>
        <v>16758</v>
      </c>
      <c r="N66" s="51"/>
      <c r="O66" s="52"/>
      <c r="P66" s="157" t="s">
        <v>152</v>
      </c>
      <c r="Q66" s="158">
        <f>SUMPRODUCT(Q38:Q41,M65:M68)</f>
        <v>36472.247600000002</v>
      </c>
      <c r="R66" s="158">
        <f>'BGS PTY21 Cost Alloc'!R66</f>
        <v>1882820.2437365798</v>
      </c>
      <c r="S66" s="131" t="s">
        <v>178</v>
      </c>
      <c r="T66" s="53">
        <f>+T64-T65</f>
        <v>35728.830699999999</v>
      </c>
      <c r="U66" s="48"/>
      <c r="V66" s="169">
        <f>'BGS PTY21 Cost Alloc'!V66</f>
        <v>44743</v>
      </c>
      <c r="W66" s="50">
        <f>'BGS PTY21 Cost Alloc'!W66</f>
        <v>547556.57998099993</v>
      </c>
      <c r="X66" s="50">
        <f>'BGS PTY21 Cost Alloc'!X66</f>
        <v>12231.271228000001</v>
      </c>
      <c r="Y66" s="55">
        <f t="shared" si="9"/>
        <v>535325.30875299987</v>
      </c>
      <c r="Z66" s="50">
        <f>'BGS PTY21 Cost Alloc'!Z66</f>
        <v>1185744.9074937</v>
      </c>
      <c r="AA66" s="50">
        <f>'BGS PTY21 Cost Alloc'!AA66</f>
        <v>15572.6355653378</v>
      </c>
      <c r="AB66" s="50">
        <f>'BGS PTY21 Cost Alloc'!AB66</f>
        <v>1076379.4022095399</v>
      </c>
      <c r="AC66" s="50">
        <f>'BGS PTY21 Cost Alloc'!AC66</f>
        <v>546754.19768368406</v>
      </c>
      <c r="AD66" s="50">
        <f>'BGS PTY21 Cost Alloc'!AD66</f>
        <v>605891.92268368404</v>
      </c>
      <c r="AG66" s="50">
        <f>'BGS PTY21 Cost Alloc'!AG66</f>
        <v>17457.719151044294</v>
      </c>
    </row>
    <row r="67" spans="1:34" x14ac:dyDescent="0.6">
      <c r="A67" s="22"/>
      <c r="B67" s="28" t="s">
        <v>8</v>
      </c>
      <c r="C67" s="49"/>
      <c r="D67" s="49"/>
      <c r="E67" s="50">
        <f>'BGS PTY21 Cost Alloc'!E67</f>
        <v>17627</v>
      </c>
      <c r="F67" s="50">
        <f>'BGS PTY21 Cost Alloc'!F67</f>
        <v>1129731</v>
      </c>
      <c r="G67" s="50">
        <f>'BGS PTY21 Cost Alloc'!G67</f>
        <v>571069</v>
      </c>
      <c r="H67" s="50">
        <f>'BGS PTY21 Cost Alloc'!H67</f>
        <v>17940</v>
      </c>
      <c r="I67" s="50">
        <f>'BGS PTY21 Cost Alloc'!I67</f>
        <v>9751</v>
      </c>
      <c r="J67" s="50">
        <f t="shared" si="7"/>
        <v>1746118</v>
      </c>
      <c r="K67" s="49"/>
      <c r="L67" s="49"/>
      <c r="M67" s="50">
        <f t="shared" si="8"/>
        <v>17142</v>
      </c>
      <c r="N67" s="57"/>
      <c r="O67" s="58"/>
      <c r="P67" s="114" t="s">
        <v>195</v>
      </c>
      <c r="Q67" s="53">
        <f>SUM(W65:W68)/1000</f>
        <v>2152.0655431923001</v>
      </c>
      <c r="R67" s="66"/>
      <c r="S67" s="58"/>
      <c r="T67" s="58"/>
      <c r="U67" s="59"/>
      <c r="V67" s="169">
        <f>'BGS PTY21 Cost Alloc'!V67</f>
        <v>44774</v>
      </c>
      <c r="W67" s="50">
        <f>'BGS PTY21 Cost Alloc'!W67</f>
        <v>485237.61095230002</v>
      </c>
      <c r="X67" s="50">
        <f>'BGS PTY21 Cost Alloc'!X67</f>
        <v>10069.392233</v>
      </c>
      <c r="Y67" s="55">
        <f t="shared" si="9"/>
        <v>475168.2187193</v>
      </c>
      <c r="Z67" s="50">
        <f>'BGS PTY21 Cost Alloc'!Z67</f>
        <v>1138133.0243519</v>
      </c>
      <c r="AA67" s="50">
        <f>'BGS PTY21 Cost Alloc'!AA67</f>
        <v>16003.5010895053</v>
      </c>
      <c r="AB67" s="50">
        <f>'BGS PTY21 Cost Alloc'!AB67</f>
        <v>1129730.54576704</v>
      </c>
      <c r="AC67" s="50">
        <f>'BGS PTY21 Cost Alloc'!AC67</f>
        <v>571078.65327639703</v>
      </c>
      <c r="AD67" s="50">
        <f>'BGS PTY21 Cost Alloc'!AD67</f>
        <v>631598.43527639704</v>
      </c>
      <c r="AG67" s="50">
        <f>'BGS PTY21 Cost Alloc'!AG67</f>
        <v>17939.859120135203</v>
      </c>
    </row>
    <row r="68" spans="1:34" x14ac:dyDescent="0.6">
      <c r="A68" s="22"/>
      <c r="B68" s="28" t="s">
        <v>9</v>
      </c>
      <c r="C68" s="49"/>
      <c r="D68" s="49"/>
      <c r="E68" s="50">
        <f>'BGS PTY21 Cost Alloc'!E68</f>
        <v>16257</v>
      </c>
      <c r="F68" s="50">
        <f>'BGS PTY21 Cost Alloc'!F68</f>
        <v>1023837</v>
      </c>
      <c r="G68" s="50">
        <f>'BGS PTY21 Cost Alloc'!G68</f>
        <v>527878</v>
      </c>
      <c r="H68" s="50">
        <f>'BGS PTY21 Cost Alloc'!H68</f>
        <v>15959</v>
      </c>
      <c r="I68" s="50">
        <f>'BGS PTY21 Cost Alloc'!I68</f>
        <v>9752</v>
      </c>
      <c r="J68" s="50">
        <f t="shared" si="7"/>
        <v>1593683</v>
      </c>
      <c r="K68" s="49"/>
      <c r="L68" s="49"/>
      <c r="M68" s="50">
        <f t="shared" si="8"/>
        <v>15771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PTY21 Cost Alloc'!V68</f>
        <v>44805</v>
      </c>
      <c r="W68" s="50">
        <f>'BGS PTY21 Cost Alloc'!W68</f>
        <v>485598.24774239998</v>
      </c>
      <c r="X68" s="50">
        <f>'BGS PTY21 Cost Alloc'!X68</f>
        <v>9940.5144476999994</v>
      </c>
      <c r="Y68" s="55">
        <f t="shared" si="9"/>
        <v>475657.73329469998</v>
      </c>
      <c r="Z68" s="50">
        <f>'BGS PTY21 Cost Alloc'!Z68</f>
        <v>1076675.5277853999</v>
      </c>
      <c r="AA68" s="50">
        <f>'BGS PTY21 Cost Alloc'!AA68</f>
        <v>14695.2480419529</v>
      </c>
      <c r="AB68" s="50">
        <f>'BGS PTY21 Cost Alloc'!AB68</f>
        <v>1023836.5653342101</v>
      </c>
      <c r="AC68" s="50">
        <f>'BGS PTY21 Cost Alloc'!AC68</f>
        <v>527887.66417638015</v>
      </c>
      <c r="AD68" s="50">
        <f>'BGS PTY21 Cost Alloc'!AD68</f>
        <v>588326.53317638009</v>
      </c>
      <c r="AG68" s="50">
        <f>'BGS PTY21 Cost Alloc'!AG68</f>
        <v>15959.183034768499</v>
      </c>
    </row>
    <row r="69" spans="1:34" x14ac:dyDescent="0.6">
      <c r="A69" s="22"/>
      <c r="B69" s="28" t="s">
        <v>10</v>
      </c>
      <c r="C69" s="49"/>
      <c r="D69" s="49"/>
      <c r="E69" s="50">
        <f>'BGS PTY21 Cost Alloc'!E69</f>
        <v>11201</v>
      </c>
      <c r="F69" s="50">
        <f>'BGS PTY21 Cost Alloc'!F69</f>
        <v>680164</v>
      </c>
      <c r="G69" s="50">
        <f>'BGS PTY21 Cost Alloc'!G69</f>
        <v>459634</v>
      </c>
      <c r="H69" s="50">
        <f>'BGS PTY21 Cost Alloc'!H69</f>
        <v>14499</v>
      </c>
      <c r="I69" s="50">
        <f>'BGS PTY21 Cost Alloc'!I69</f>
        <v>9752</v>
      </c>
      <c r="J69" s="50">
        <f t="shared" si="7"/>
        <v>1175250</v>
      </c>
      <c r="K69" s="49"/>
      <c r="L69" s="49"/>
      <c r="M69" s="50">
        <f t="shared" si="8"/>
        <v>10704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PTY21 Cost Alloc'!V69</f>
        <v>44835</v>
      </c>
      <c r="W69" s="50">
        <f>'BGS PTY21 Cost Alloc'!W69</f>
        <v>496544.46312099992</v>
      </c>
      <c r="X69" s="50">
        <f>'BGS PTY21 Cost Alloc'!X69</f>
        <v>13754.015775299998</v>
      </c>
      <c r="Y69" s="55">
        <f t="shared" si="9"/>
        <v>482790.44734569994</v>
      </c>
      <c r="Z69" s="50">
        <f>'BGS PTY21 Cost Alloc'!Z69</f>
        <v>843259.51747129997</v>
      </c>
      <c r="AA69" s="50">
        <f>'BGS PTY21 Cost Alloc'!AA69</f>
        <v>10703.6117188963</v>
      </c>
      <c r="AB69" s="50">
        <f>'BGS PTY21 Cost Alloc'!AB69</f>
        <v>679321.21747761301</v>
      </c>
      <c r="AC69" s="50">
        <f>'BGS PTY21 Cost Alloc'!AC69</f>
        <v>459648.06719561201</v>
      </c>
      <c r="AD69" s="50">
        <f>'BGS PTY21 Cost Alloc'!AD69</f>
        <v>514167.25719561201</v>
      </c>
      <c r="AG69" s="50">
        <f>'BGS PTY21 Cost Alloc'!AG69</f>
        <v>14498.941358434498</v>
      </c>
    </row>
    <row r="70" spans="1:34" x14ac:dyDescent="0.6">
      <c r="A70" s="22"/>
      <c r="B70" s="28" t="s">
        <v>11</v>
      </c>
      <c r="C70" s="49"/>
      <c r="D70" s="49"/>
      <c r="E70" s="50">
        <f>'BGS PTY21 Cost Alloc'!E70</f>
        <v>11606</v>
      </c>
      <c r="F70" s="50">
        <f>'BGS PTY21 Cost Alloc'!F70</f>
        <v>578223</v>
      </c>
      <c r="G70" s="50">
        <f>'BGS PTY21 Cost Alloc'!G70</f>
        <v>417652</v>
      </c>
      <c r="H70" s="50">
        <f>'BGS PTY21 Cost Alloc'!H70</f>
        <v>13829</v>
      </c>
      <c r="I70" s="50">
        <f>'BGS PTY21 Cost Alloc'!I70</f>
        <v>9752</v>
      </c>
      <c r="J70" s="50">
        <f t="shared" si="7"/>
        <v>1031062</v>
      </c>
      <c r="K70" s="49"/>
      <c r="L70" s="49"/>
      <c r="M70" s="50">
        <f t="shared" si="8"/>
        <v>11055</v>
      </c>
      <c r="N70" s="46"/>
      <c r="O70" s="47"/>
      <c r="P70" s="47"/>
      <c r="Q70" s="47"/>
      <c r="R70" s="47"/>
      <c r="S70" s="47"/>
      <c r="T70" s="47"/>
      <c r="U70" s="48"/>
      <c r="V70" s="169">
        <f>'BGS PTY21 Cost Alloc'!V70</f>
        <v>44866</v>
      </c>
      <c r="W70" s="50">
        <f>'BGS PTY21 Cost Alloc'!W70</f>
        <v>551029.81771500001</v>
      </c>
      <c r="X70" s="50">
        <f>'BGS PTY21 Cost Alloc'!X70</f>
        <v>12896.758878300001</v>
      </c>
      <c r="Y70" s="55">
        <f t="shared" si="9"/>
        <v>538133.05883670005</v>
      </c>
      <c r="Z70" s="50">
        <f>'BGS PTY21 Cost Alloc'!Z70</f>
        <v>971401.84155410004</v>
      </c>
      <c r="AA70" s="50">
        <f>'BGS PTY21 Cost Alloc'!AA70</f>
        <v>11054.7844559242</v>
      </c>
      <c r="AB70" s="50">
        <f>'BGS PTY21 Cost Alloc'!AB70</f>
        <v>577251.94740429602</v>
      </c>
      <c r="AC70" s="50">
        <f>'BGS PTY21 Cost Alloc'!AC70</f>
        <v>417665.25620759797</v>
      </c>
      <c r="AD70" s="50">
        <f>'BGS PTY21 Cost Alloc'!AD70</f>
        <v>466138.03320759797</v>
      </c>
      <c r="AE70" s="13">
        <f>'BGS PTY21 Cost Alloc'!AE70</f>
        <v>0</v>
      </c>
      <c r="AG70" s="50">
        <f>'BGS PTY21 Cost Alloc'!AG70</f>
        <v>13828.765692775205</v>
      </c>
      <c r="AH70" s="13">
        <f>'BGS PTY21 Cost Alloc'!AH70</f>
        <v>34421030.692775205</v>
      </c>
    </row>
    <row r="71" spans="1:34" x14ac:dyDescent="0.6">
      <c r="A71" s="22"/>
      <c r="B71" s="28" t="s">
        <v>12</v>
      </c>
      <c r="C71" s="49"/>
      <c r="D71" s="49"/>
      <c r="E71" s="50">
        <f>'BGS PTY21 Cost Alloc'!E71</f>
        <v>16071</v>
      </c>
      <c r="F71" s="50">
        <f>'BGS PTY21 Cost Alloc'!F71</f>
        <v>680488</v>
      </c>
      <c r="G71" s="50">
        <f>'BGS PTY21 Cost Alloc'!G71</f>
        <v>438038</v>
      </c>
      <c r="H71" s="50">
        <f>'BGS PTY21 Cost Alloc'!H71</f>
        <v>15512</v>
      </c>
      <c r="I71" s="50">
        <f>'BGS PTY21 Cost Alloc'!I71</f>
        <v>9752</v>
      </c>
      <c r="J71" s="50">
        <f t="shared" si="7"/>
        <v>1159861</v>
      </c>
      <c r="K71" s="49"/>
      <c r="L71" s="49"/>
      <c r="M71" s="50">
        <f t="shared" si="8"/>
        <v>15445</v>
      </c>
      <c r="N71" s="51"/>
      <c r="O71" s="52"/>
      <c r="P71" s="115" t="s">
        <v>148</v>
      </c>
      <c r="Q71" s="53">
        <f>SUM(E60:E64,E69:E71)</f>
        <v>131112</v>
      </c>
      <c r="R71" s="53"/>
      <c r="S71" s="115" t="s">
        <v>148</v>
      </c>
      <c r="T71" s="53">
        <f>SUM(H60:H64,H69:H71)</f>
        <v>124046</v>
      </c>
      <c r="U71" s="54"/>
      <c r="V71" s="169">
        <f>'BGS PTY21 Cost Alloc'!V71</f>
        <v>44896</v>
      </c>
      <c r="W71" s="50">
        <f>'BGS PTY21 Cost Alloc'!W71</f>
        <v>625590.04538609996</v>
      </c>
      <c r="X71" s="50">
        <f>'BGS PTY21 Cost Alloc'!X71</f>
        <v>13772.6687377</v>
      </c>
      <c r="Y71" s="55">
        <f t="shared" si="9"/>
        <v>611817.37664839998</v>
      </c>
      <c r="Z71" s="50">
        <f>'BGS PTY21 Cost Alloc'!Z71</f>
        <v>1357395.3621493001</v>
      </c>
      <c r="AA71" s="50">
        <f>'BGS PTY21 Cost Alloc'!AA71</f>
        <v>15444.604803661199</v>
      </c>
      <c r="AB71" s="50">
        <f>'BGS PTY21 Cost Alloc'!AB71</f>
        <v>679131.41428636201</v>
      </c>
      <c r="AC71" s="50">
        <f>'BGS PTY21 Cost Alloc'!AC71</f>
        <v>438052.08370553103</v>
      </c>
      <c r="AD71" s="50">
        <f>'BGS PTY21 Cost Alloc'!AD71</f>
        <v>488973.93170553102</v>
      </c>
      <c r="AE71" s="13">
        <f>'BGS PTY21 Cost Alloc'!AE71</f>
        <v>0</v>
      </c>
      <c r="AG71" s="50">
        <f>'BGS PTY21 Cost Alloc'!AG71</f>
        <v>15511.623791690796</v>
      </c>
      <c r="AH71" s="13">
        <f>'BGS PTY21 Cost Alloc'!AH71</f>
        <v>35535214.791690797</v>
      </c>
    </row>
    <row r="72" spans="1:34" x14ac:dyDescent="0.6">
      <c r="A72" s="22"/>
      <c r="B72" s="60" t="s">
        <v>13</v>
      </c>
      <c r="C72" s="55"/>
      <c r="D72" s="55"/>
      <c r="E72" s="55">
        <f>SUM(E60:E71)</f>
        <v>195897</v>
      </c>
      <c r="F72" s="55">
        <f>SUM(F60:F71)</f>
        <v>9492857</v>
      </c>
      <c r="G72" s="55">
        <f>SUM(G60:G71)</f>
        <v>5722744</v>
      </c>
      <c r="H72" s="55">
        <f>SUM(H60:H71)</f>
        <v>189040</v>
      </c>
      <c r="I72" s="55">
        <f>SUM(I60:I71)</f>
        <v>117012</v>
      </c>
      <c r="J72" s="55">
        <f t="shared" si="7"/>
        <v>15717550</v>
      </c>
      <c r="K72" s="55"/>
      <c r="L72" s="55"/>
      <c r="M72" s="55">
        <f>SUM(M60:M71)</f>
        <v>188470</v>
      </c>
      <c r="N72" s="51"/>
      <c r="O72" s="52"/>
      <c r="P72" s="114" t="s">
        <v>146</v>
      </c>
      <c r="Q72" s="53">
        <f>SUMPRODUCT(E15:E19,E60:E64)+SUMPRODUCT(E24:E26,E69:E71)</f>
        <v>62735.22</v>
      </c>
      <c r="R72" s="47">
        <f>Q72/Q71</f>
        <v>0.47848572213069746</v>
      </c>
      <c r="S72" s="114" t="s">
        <v>177</v>
      </c>
      <c r="T72" s="53">
        <f>SUMPRODUCT(H15:H19,H60:H64)+SUMPRODUCT(H24:H26,H69:H71)</f>
        <v>67369.473799999992</v>
      </c>
      <c r="U72" s="48">
        <f>T72/T71</f>
        <v>0.54310073521113134</v>
      </c>
      <c r="W72" s="55">
        <f t="shared" ref="W72:AD72" si="10">SUM(W60:W71)</f>
        <v>7426070.2424932001</v>
      </c>
      <c r="X72" s="55">
        <f t="shared" si="10"/>
        <v>167094.6262</v>
      </c>
      <c r="Y72" s="55">
        <f t="shared" si="10"/>
        <v>7258975.6162932003</v>
      </c>
      <c r="Z72" s="55">
        <f t="shared" si="10"/>
        <v>14798111.3015397</v>
      </c>
      <c r="AA72" s="55">
        <f t="shared" si="10"/>
        <v>184133.46539658142</v>
      </c>
      <c r="AB72" s="55">
        <f t="shared" si="10"/>
        <v>9482398.6547937188</v>
      </c>
      <c r="AC72" s="55">
        <f t="shared" si="10"/>
        <v>5722912.5309480904</v>
      </c>
      <c r="AD72" s="55">
        <f t="shared" si="10"/>
        <v>6354462.9989480907</v>
      </c>
      <c r="AE72" s="13">
        <f>'BGS PTY21 Cost Alloc'!AE72</f>
        <v>0</v>
      </c>
      <c r="AG72" s="55">
        <f>SUM(AG60:AG71)</f>
        <v>189038.52786224199</v>
      </c>
      <c r="AH72" s="13">
        <f>'BGS PTY21 Cost Alloc'!AH72</f>
        <v>464300964.86224198</v>
      </c>
    </row>
    <row r="73" spans="1:34" x14ac:dyDescent="0.6">
      <c r="A73" s="22"/>
      <c r="B73" s="28"/>
      <c r="J73" s="61"/>
      <c r="N73" s="51"/>
      <c r="O73" s="52"/>
      <c r="P73" s="114" t="s">
        <v>145</v>
      </c>
      <c r="Q73" s="53">
        <f>+Q71-Q72</f>
        <v>68376.78</v>
      </c>
      <c r="R73" s="47"/>
      <c r="S73" s="114" t="s">
        <v>178</v>
      </c>
      <c r="T73" s="53">
        <f>+T71-T72</f>
        <v>56676.526200000008</v>
      </c>
      <c r="U73" s="48"/>
    </row>
    <row r="74" spans="1:34" ht="15.5" x14ac:dyDescent="0.7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x14ac:dyDescent="0.6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64785</v>
      </c>
      <c r="R75" s="44"/>
      <c r="S75" s="116" t="s">
        <v>149</v>
      </c>
      <c r="T75" s="53">
        <f>+SUM(H65:H68)</f>
        <v>64994</v>
      </c>
      <c r="U75" s="45"/>
      <c r="V75" s="55">
        <f t="shared" ref="V75:V86" si="11">W60-W75</f>
        <v>299411.99999999988</v>
      </c>
      <c r="W75" s="55">
        <f t="shared" ref="W75:W86" si="12">SUM(X75:Z75)</f>
        <v>475774.66666660004</v>
      </c>
      <c r="X75" s="50">
        <f>'BGS PTY21 Cost Alloc'!X75</f>
        <v>13901.333333299999</v>
      </c>
      <c r="Y75" s="50">
        <f>'BGS PTY21 Cost Alloc'!Y75</f>
        <v>457026.33333330002</v>
      </c>
      <c r="Z75" s="50">
        <f>'BGS PTY21 Cost Alloc'!Z75</f>
        <v>4847</v>
      </c>
      <c r="AA75" s="55"/>
      <c r="AB75" s="13">
        <f t="shared" ref="AB75:AB86" si="13">(V75*$AA$94+W75*$AA$95)/1000</f>
        <v>170.98082951768555</v>
      </c>
      <c r="AC75" s="13">
        <f t="shared" ref="AC75:AC86" si="14">(W60/1000)-AB75</f>
        <v>604.20583714891427</v>
      </c>
    </row>
    <row r="76" spans="1:34" s="63" customFormat="1" x14ac:dyDescent="0.6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33558.612799999995</v>
      </c>
      <c r="R76" s="47">
        <f>Q76/Q75</f>
        <v>0.51799973450644432</v>
      </c>
      <c r="S76" s="131" t="s">
        <v>177</v>
      </c>
      <c r="T76" s="53">
        <f>+SUMPRODUCT(H20:H23,H65:H68)</f>
        <v>36163.386299999998</v>
      </c>
      <c r="U76" s="48">
        <f>T76/T75</f>
        <v>0.55641115026002397</v>
      </c>
      <c r="V76" s="55">
        <f t="shared" si="11"/>
        <v>281872.33333340002</v>
      </c>
      <c r="W76" s="55">
        <f t="shared" si="12"/>
        <v>445177.33333330002</v>
      </c>
      <c r="X76" s="50">
        <f>'BGS PTY21 Cost Alloc'!X76</f>
        <v>12583.333333299999</v>
      </c>
      <c r="Y76" s="50">
        <f>'BGS PTY21 Cost Alloc'!Y76</f>
        <v>428147.33333330002</v>
      </c>
      <c r="Z76" s="50">
        <f>'BGS PTY21 Cost Alloc'!Z76</f>
        <v>4446.6666667</v>
      </c>
      <c r="AA76" s="55"/>
      <c r="AB76" s="13">
        <f t="shared" si="13"/>
        <v>160.18920558607905</v>
      </c>
      <c r="AC76" s="13">
        <f t="shared" si="14"/>
        <v>566.86046108062101</v>
      </c>
      <c r="AD76" s="13"/>
    </row>
    <row r="77" spans="1:34" x14ac:dyDescent="0.6">
      <c r="A77" s="22"/>
      <c r="C77" s="26" t="s">
        <v>221</v>
      </c>
      <c r="D77" s="26" t="s">
        <v>218</v>
      </c>
      <c r="E77" s="26" t="s">
        <v>221</v>
      </c>
      <c r="F77" s="26" t="s">
        <v>218</v>
      </c>
      <c r="G77" s="26"/>
      <c r="N77" s="64"/>
      <c r="O77" s="65"/>
      <c r="P77" s="117" t="s">
        <v>145</v>
      </c>
      <c r="Q77" s="66">
        <f>Q75-Q76</f>
        <v>31226.387200000005</v>
      </c>
      <c r="R77" s="58"/>
      <c r="S77" s="132" t="s">
        <v>178</v>
      </c>
      <c r="T77" s="66">
        <f>T75-T76</f>
        <v>28830.613700000002</v>
      </c>
      <c r="U77" s="59"/>
      <c r="V77" s="55">
        <f t="shared" si="11"/>
        <v>276958.66666660004</v>
      </c>
      <c r="W77" s="55">
        <f t="shared" si="12"/>
        <v>440851.33333339996</v>
      </c>
      <c r="X77" s="50">
        <f>'BGS PTY21 Cost Alloc'!X77</f>
        <v>12335.666666700001</v>
      </c>
      <c r="Y77" s="50">
        <f>'BGS PTY21 Cost Alloc'!Y77</f>
        <v>423918</v>
      </c>
      <c r="Z77" s="50">
        <f>'BGS PTY21 Cost Alloc'!Z77</f>
        <v>4597.6666667</v>
      </c>
      <c r="AA77" s="55"/>
      <c r="AB77" s="13">
        <f t="shared" si="13"/>
        <v>158.37369238401592</v>
      </c>
      <c r="AC77" s="13">
        <f t="shared" si="14"/>
        <v>559.43630761598399</v>
      </c>
      <c r="AD77" s="55">
        <f>SUM(AB65:AB68)</f>
        <v>3957412.573844064</v>
      </c>
    </row>
    <row r="78" spans="1:34" x14ac:dyDescent="0.6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273712.66666660004</v>
      </c>
      <c r="W78" s="55">
        <f t="shared" si="12"/>
        <v>429642</v>
      </c>
      <c r="X78" s="50">
        <f>'BGS PTY21 Cost Alloc'!X78</f>
        <v>11813.666666700001</v>
      </c>
      <c r="Y78" s="50">
        <f>'BGS PTY21 Cost Alloc'!Y78</f>
        <v>413330.33333330002</v>
      </c>
      <c r="Z78" s="50">
        <f>'BGS PTY21 Cost Alloc'!Z78</f>
        <v>4498</v>
      </c>
      <c r="AA78" s="55"/>
      <c r="AB78" s="13">
        <f t="shared" si="13"/>
        <v>154.79871146214103</v>
      </c>
      <c r="AC78" s="13">
        <f t="shared" si="14"/>
        <v>548.555955204459</v>
      </c>
    </row>
    <row r="79" spans="1:34" x14ac:dyDescent="0.6">
      <c r="A79" s="22"/>
      <c r="B79" s="28" t="s">
        <v>1</v>
      </c>
      <c r="C79" s="67">
        <v>67.2</v>
      </c>
      <c r="D79" s="162">
        <f>ROUND(C79*$H$305,3)</f>
        <v>69.352999999999994</v>
      </c>
      <c r="E79" s="67">
        <v>51.854999999999997</v>
      </c>
      <c r="F79" s="162">
        <f>ROUND(E79*$H$305,3)</f>
        <v>53.515999999999998</v>
      </c>
      <c r="H79" s="33">
        <v>0.88229603353756847</v>
      </c>
      <c r="I79" s="33">
        <v>0.92470881863560739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274679.88255860005</v>
      </c>
      <c r="W79" s="55">
        <f t="shared" si="12"/>
        <v>402759.49052029999</v>
      </c>
      <c r="X79" s="50">
        <f>'BGS PTY21 Cost Alloc'!X79</f>
        <v>13513.913343300001</v>
      </c>
      <c r="Y79" s="50">
        <f>'BGS PTY21 Cost Alloc'!Y79</f>
        <v>385312.77243329998</v>
      </c>
      <c r="Z79" s="50">
        <f>'BGS PTY21 Cost Alloc'!Z79</f>
        <v>3932.8047437</v>
      </c>
      <c r="AA79" s="55"/>
      <c r="AB79" s="13">
        <f t="shared" si="13"/>
        <v>147.266988530665</v>
      </c>
      <c r="AC79" s="13">
        <f t="shared" si="14"/>
        <v>530.17238454823507</v>
      </c>
    </row>
    <row r="80" spans="1:34" x14ac:dyDescent="0.6">
      <c r="A80" s="22"/>
      <c r="B80" s="28" t="s">
        <v>2</v>
      </c>
      <c r="C80" s="67">
        <v>63</v>
      </c>
      <c r="D80" s="162">
        <f>ROUND(C80*$H$305,3)</f>
        <v>65.018000000000001</v>
      </c>
      <c r="E80" s="67">
        <v>48.613999999999997</v>
      </c>
      <c r="F80" s="162">
        <f>ROUND(E80*$H$305,3)</f>
        <v>50.171999999999997</v>
      </c>
      <c r="H80" s="176">
        <f>H79</f>
        <v>0.88229603353756847</v>
      </c>
      <c r="I80" s="176">
        <f>I79</f>
        <v>0.92470881863560739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257161.95086800004</v>
      </c>
      <c r="W80" s="55">
        <f t="shared" si="12"/>
        <v>376511.15364859998</v>
      </c>
      <c r="X80" s="50">
        <f>'BGS PTY21 Cost Alloc'!X80</f>
        <v>10980.895570000001</v>
      </c>
      <c r="Y80" s="50">
        <f>'BGS PTY21 Cost Alloc'!Y80</f>
        <v>361940.82693330001</v>
      </c>
      <c r="Z80" s="50">
        <f>'BGS PTY21 Cost Alloc'!Z80</f>
        <v>3589.4311453</v>
      </c>
      <c r="AA80" s="55"/>
      <c r="AB80" s="13">
        <f t="shared" si="13"/>
        <v>137.71504644224945</v>
      </c>
      <c r="AC80" s="13">
        <f t="shared" si="14"/>
        <v>495.95805807435056</v>
      </c>
    </row>
    <row r="81" spans="1:33" x14ac:dyDescent="0.6">
      <c r="A81" s="22"/>
      <c r="B81" s="28" t="s">
        <v>3</v>
      </c>
      <c r="C81" s="67">
        <v>45.2</v>
      </c>
      <c r="D81" s="162">
        <f>ROUND(C81*$H$305,3)</f>
        <v>46.648000000000003</v>
      </c>
      <c r="E81" s="67">
        <v>34.878999999999998</v>
      </c>
      <c r="F81" s="162">
        <f>ROUND(E81*$H$305,3)</f>
        <v>35.996000000000002</v>
      </c>
      <c r="H81" s="176">
        <f>H79</f>
        <v>0.88229603353756847</v>
      </c>
      <c r="I81" s="176">
        <f>I79</f>
        <v>0.92470881863560739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225226.12628599996</v>
      </c>
      <c r="W81" s="55">
        <f t="shared" si="12"/>
        <v>322330.45369499997</v>
      </c>
      <c r="X81" s="50">
        <f>'BGS PTY21 Cost Alloc'!X81</f>
        <v>9636.0560153000006</v>
      </c>
      <c r="Y81" s="50">
        <f>'BGS PTY21 Cost Alloc'!Y81</f>
        <v>309522.31126669998</v>
      </c>
      <c r="Z81" s="50">
        <f>'BGS PTY21 Cost Alloc'!Z81</f>
        <v>3172.086413</v>
      </c>
      <c r="AA81" s="55"/>
      <c r="AB81" s="13">
        <f t="shared" si="13"/>
        <v>118.50118461189501</v>
      </c>
      <c r="AC81" s="13">
        <f t="shared" si="14"/>
        <v>429.05539536910487</v>
      </c>
    </row>
    <row r="82" spans="1:33" x14ac:dyDescent="0.6">
      <c r="A82" s="22"/>
      <c r="B82" s="28" t="s">
        <v>4</v>
      </c>
      <c r="C82" s="67">
        <v>40.799999999999997</v>
      </c>
      <c r="D82" s="162">
        <f>ROUND(C82*$H$305,3)</f>
        <v>42.106999999999999</v>
      </c>
      <c r="E82" s="67">
        <v>31.484000000000002</v>
      </c>
      <c r="F82" s="162">
        <f>ROUND(E82*$H$305,3)</f>
        <v>32.493000000000002</v>
      </c>
      <c r="H82" s="176">
        <f>H79</f>
        <v>0.88229603353756847</v>
      </c>
      <c r="I82" s="176">
        <f>I79</f>
        <v>0.92470881863560739</v>
      </c>
      <c r="L82" s="139"/>
      <c r="N82" s="51"/>
      <c r="O82" s="52"/>
      <c r="P82" s="114" t="s">
        <v>147</v>
      </c>
      <c r="Q82" s="53">
        <f>Q72-Q61</f>
        <v>17398.821499999998</v>
      </c>
      <c r="R82" s="47"/>
      <c r="S82" s="114" t="s">
        <v>147</v>
      </c>
      <c r="T82" s="53">
        <f>T72-T61</f>
        <v>14337.822599999992</v>
      </c>
      <c r="U82" s="48"/>
      <c r="V82" s="55">
        <f t="shared" si="11"/>
        <v>199870.02928630006</v>
      </c>
      <c r="W82" s="55">
        <f t="shared" si="12"/>
        <v>285367.58166599995</v>
      </c>
      <c r="X82" s="50">
        <f>'BGS PTY21 Cost Alloc'!X82</f>
        <v>7676.6175767000004</v>
      </c>
      <c r="Y82" s="50">
        <f>'BGS PTY21 Cost Alloc'!Y82</f>
        <v>275257.51559999998</v>
      </c>
      <c r="Z82" s="50">
        <f>'BGS PTY21 Cost Alloc'!Z82</f>
        <v>2433.4484892999999</v>
      </c>
      <c r="AA82" s="55"/>
      <c r="AB82" s="13">
        <f t="shared" si="13"/>
        <v>104.96832313390131</v>
      </c>
      <c r="AC82" s="13">
        <f t="shared" si="14"/>
        <v>380.26928781839871</v>
      </c>
    </row>
    <row r="83" spans="1:33" x14ac:dyDescent="0.6">
      <c r="A83" s="22"/>
      <c r="B83" s="28" t="s">
        <v>5</v>
      </c>
      <c r="C83" s="67">
        <v>40.9</v>
      </c>
      <c r="D83" s="162">
        <f>ROUND(C83*$H$305,3)</f>
        <v>42.21</v>
      </c>
      <c r="E83" s="67">
        <v>31.561</v>
      </c>
      <c r="F83" s="162">
        <f>ROUND(E83*$H$305,3)</f>
        <v>32.572000000000003</v>
      </c>
      <c r="H83" s="176">
        <f>H79</f>
        <v>0.88229603353756847</v>
      </c>
      <c r="I83" s="176">
        <f>I79</f>
        <v>0.92470881863560739</v>
      </c>
      <c r="L83" s="139"/>
      <c r="N83" s="51"/>
      <c r="O83" s="52"/>
      <c r="P83" s="114" t="s">
        <v>150</v>
      </c>
      <c r="Q83" s="140">
        <f>Q82*(E117-E118)</f>
        <v>172630.89145005186</v>
      </c>
      <c r="R83" s="47"/>
      <c r="S83" s="114" t="s">
        <v>150</v>
      </c>
      <c r="T83" s="140">
        <f>T82*(H117-H118)</f>
        <v>138468.70820169235</v>
      </c>
      <c r="U83" s="48"/>
      <c r="V83" s="55">
        <f t="shared" si="11"/>
        <v>203316.42216039996</v>
      </c>
      <c r="W83" s="55">
        <f t="shared" si="12"/>
        <v>282281.82558200002</v>
      </c>
      <c r="X83" s="50">
        <f>'BGS PTY21 Cost Alloc'!X83</f>
        <v>7506.4973339999997</v>
      </c>
      <c r="Y83" s="50">
        <f>'BGS PTY21 Cost Alloc'!Y83</f>
        <v>272721.06</v>
      </c>
      <c r="Z83" s="50">
        <f>'BGS PTY21 Cost Alloc'!Z83</f>
        <v>2054.2682479999999</v>
      </c>
      <c r="AA83" s="55"/>
      <c r="AB83" s="13">
        <f t="shared" si="13"/>
        <v>104.50084885738164</v>
      </c>
      <c r="AC83" s="13">
        <f t="shared" si="14"/>
        <v>381.09739888501832</v>
      </c>
    </row>
    <row r="84" spans="1:33" x14ac:dyDescent="0.6">
      <c r="A84" s="22"/>
      <c r="B84" s="179" t="s">
        <v>6</v>
      </c>
      <c r="C84" s="212">
        <v>44.35</v>
      </c>
      <c r="D84" s="213">
        <f>ROUND(C84*$H$304,3)</f>
        <v>55.491999999999997</v>
      </c>
      <c r="E84" s="212">
        <v>29.641999999999999</v>
      </c>
      <c r="F84" s="214">
        <f>ROUND(E84*$H$304,3)</f>
        <v>37.088999999999999</v>
      </c>
      <c r="H84" s="128">
        <v>0.88422535211267606</v>
      </c>
      <c r="I84" s="129">
        <v>0.88824262567511425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205807.63204129995</v>
      </c>
      <c r="W84" s="55">
        <f t="shared" si="12"/>
        <v>290736.83107969997</v>
      </c>
      <c r="X84" s="50">
        <f>'BGS PTY21 Cost Alloc'!X84</f>
        <v>11362.484463999999</v>
      </c>
      <c r="Y84" s="50">
        <f>'BGS PTY21 Cost Alloc'!Y84</f>
        <v>276538.9648667</v>
      </c>
      <c r="Z84" s="50">
        <f>'BGS PTY21 Cost Alloc'!Z84</f>
        <v>2835.3817490000001</v>
      </c>
      <c r="AA84" s="55"/>
      <c r="AB84" s="13">
        <f t="shared" si="13"/>
        <v>107.20249113507398</v>
      </c>
      <c r="AC84" s="13">
        <f t="shared" si="14"/>
        <v>389.34197198592597</v>
      </c>
    </row>
    <row r="85" spans="1:33" x14ac:dyDescent="0.6">
      <c r="A85" s="22"/>
      <c r="B85" s="183" t="s">
        <v>7</v>
      </c>
      <c r="C85" s="215">
        <v>50.8</v>
      </c>
      <c r="D85" s="216">
        <f>ROUND(C85*$H$304,3)</f>
        <v>63.563000000000002</v>
      </c>
      <c r="E85" s="215">
        <v>33.953000000000003</v>
      </c>
      <c r="F85" s="217">
        <f>ROUND(E85*$H$304,3)</f>
        <v>42.482999999999997</v>
      </c>
      <c r="H85" s="174">
        <f t="shared" ref="H85:I87" si="15">H84</f>
        <v>0.88422535211267606</v>
      </c>
      <c r="I85" s="255">
        <f t="shared" si="15"/>
        <v>0.88824262567511425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225816.15350270004</v>
      </c>
      <c r="W85" s="55">
        <f t="shared" si="12"/>
        <v>325213.66421229998</v>
      </c>
      <c r="X85" s="50">
        <f>'BGS PTY21 Cost Alloc'!X85</f>
        <v>10349.2439123</v>
      </c>
      <c r="Y85" s="50">
        <f>'BGS PTY21 Cost Alloc'!Y85</f>
        <v>311608.48533330002</v>
      </c>
      <c r="Z85" s="50">
        <f>'BGS PTY21 Cost Alloc'!Z85</f>
        <v>3255.9349667000001</v>
      </c>
      <c r="AA85" s="55"/>
      <c r="AB85" s="13">
        <f t="shared" si="13"/>
        <v>119.39156996455741</v>
      </c>
      <c r="AC85" s="13">
        <f t="shared" si="14"/>
        <v>431.63824775044264</v>
      </c>
    </row>
    <row r="86" spans="1:33" x14ac:dyDescent="0.6">
      <c r="A86" s="22"/>
      <c r="B86" s="183" t="s">
        <v>8</v>
      </c>
      <c r="C86" s="215">
        <v>47.55</v>
      </c>
      <c r="D86" s="216">
        <f>ROUND(C86*$H$304,3)</f>
        <v>59.496000000000002</v>
      </c>
      <c r="E86" s="215">
        <v>31.780999999999999</v>
      </c>
      <c r="F86" s="217">
        <f>ROUND(E86*$H$304,3)</f>
        <v>39.765000000000001</v>
      </c>
      <c r="H86" s="174">
        <f t="shared" si="15"/>
        <v>0.88422535211267606</v>
      </c>
      <c r="I86" s="255">
        <f t="shared" si="15"/>
        <v>0.88824262567511425</v>
      </c>
      <c r="L86" s="139"/>
      <c r="N86" s="51"/>
      <c r="O86" s="52"/>
      <c r="P86" s="114" t="s">
        <v>147</v>
      </c>
      <c r="Q86" s="53">
        <f>Q76-Q65</f>
        <v>7398.8603999999978</v>
      </c>
      <c r="R86" s="47"/>
      <c r="S86" s="114" t="s">
        <v>147</v>
      </c>
      <c r="T86" s="53">
        <f>T76-T65</f>
        <v>6898.2169999999969</v>
      </c>
      <c r="U86" s="48"/>
      <c r="V86" s="55">
        <f t="shared" si="11"/>
        <v>250270.78271439997</v>
      </c>
      <c r="W86" s="55">
        <f t="shared" si="12"/>
        <v>375319.26267169998</v>
      </c>
      <c r="X86" s="50">
        <f>'BGS PTY21 Cost Alloc'!X86</f>
        <v>10297.922699999999</v>
      </c>
      <c r="Y86" s="50">
        <f>'BGS PTY21 Cost Alloc'!Y86</f>
        <v>360954.30176669999</v>
      </c>
      <c r="Z86" s="50">
        <f>'BGS PTY21 Cost Alloc'!Z86</f>
        <v>4067.0382049999998</v>
      </c>
      <c r="AA86" s="55"/>
      <c r="AB86" s="13">
        <f t="shared" si="13"/>
        <v>136.55562978046595</v>
      </c>
      <c r="AC86" s="13">
        <f t="shared" si="14"/>
        <v>489.03441560563402</v>
      </c>
    </row>
    <row r="87" spans="1:33" x14ac:dyDescent="0.6">
      <c r="A87" s="22"/>
      <c r="B87" s="186" t="s">
        <v>9</v>
      </c>
      <c r="C87" s="218">
        <v>45.45</v>
      </c>
      <c r="D87" s="219">
        <f>ROUND(C87*$H$304,3)</f>
        <v>56.869</v>
      </c>
      <c r="E87" s="218">
        <v>30.376999999999999</v>
      </c>
      <c r="F87" s="220">
        <f>ROUND(E87*$H$304,3)</f>
        <v>38.009</v>
      </c>
      <c r="H87" s="175">
        <f t="shared" si="15"/>
        <v>0.88422535211267606</v>
      </c>
      <c r="I87" s="256">
        <f t="shared" si="15"/>
        <v>0.88824262567511425</v>
      </c>
      <c r="L87" s="139"/>
      <c r="N87" s="64"/>
      <c r="O87" s="65"/>
      <c r="P87" s="117" t="s">
        <v>150</v>
      </c>
      <c r="Q87" s="141">
        <f>Q86*(E113-E114)</f>
        <v>142675.33634018208</v>
      </c>
      <c r="R87" s="58"/>
      <c r="S87" s="117" t="s">
        <v>150</v>
      </c>
      <c r="T87" s="141">
        <f>T86*(H113-H114)</f>
        <v>132396.84023196792</v>
      </c>
      <c r="U87" s="59"/>
      <c r="AA87" s="55"/>
    </row>
    <row r="88" spans="1:33" x14ac:dyDescent="0.6">
      <c r="A88" s="22"/>
      <c r="B88" s="28" t="s">
        <v>10</v>
      </c>
      <c r="C88" s="67">
        <v>45.05</v>
      </c>
      <c r="D88" s="162">
        <f>ROUND(C88*$H$305,3)</f>
        <v>46.493000000000002</v>
      </c>
      <c r="E88" s="67">
        <v>34.762999999999998</v>
      </c>
      <c r="F88" s="162">
        <f>ROUND(E88*$H$305,3)</f>
        <v>35.877000000000002</v>
      </c>
      <c r="H88" s="176">
        <f>H79</f>
        <v>0.88229603353756847</v>
      </c>
      <c r="I88" s="176">
        <f>I79</f>
        <v>0.92470881863560739</v>
      </c>
      <c r="L88" s="139"/>
    </row>
    <row r="89" spans="1:33" x14ac:dyDescent="0.6">
      <c r="A89" s="22"/>
      <c r="B89" s="28" t="s">
        <v>11</v>
      </c>
      <c r="C89" s="67">
        <v>46.6</v>
      </c>
      <c r="D89" s="162">
        <f>ROUND(C89*$H$305,3)</f>
        <v>48.093000000000004</v>
      </c>
      <c r="E89" s="67">
        <v>35.959000000000003</v>
      </c>
      <c r="F89" s="162">
        <f>ROUND(E89*$H$305,3)</f>
        <v>37.110999999999997</v>
      </c>
      <c r="H89" s="176">
        <f>H79</f>
        <v>0.88229603353756847</v>
      </c>
      <c r="I89" s="176">
        <f>I79</f>
        <v>0.92470881863560739</v>
      </c>
      <c r="L89" s="139"/>
    </row>
    <row r="90" spans="1:33" x14ac:dyDescent="0.6">
      <c r="A90" s="22"/>
      <c r="B90" s="28" t="s">
        <v>12</v>
      </c>
      <c r="C90" s="67">
        <v>48.9</v>
      </c>
      <c r="D90" s="162">
        <f>ROUND(C90*$H$305,3)</f>
        <v>50.466999999999999</v>
      </c>
      <c r="E90" s="67">
        <v>37.734000000000002</v>
      </c>
      <c r="F90" s="162">
        <f>ROUND(E90*$H$305,3)</f>
        <v>38.942999999999998</v>
      </c>
      <c r="G90" s="70"/>
      <c r="H90" s="176">
        <f>H79</f>
        <v>0.88229603353756847</v>
      </c>
      <c r="I90" s="176">
        <f>I79</f>
        <v>0.92470881863560739</v>
      </c>
      <c r="L90" s="139"/>
    </row>
    <row r="91" spans="1:33" x14ac:dyDescent="0.6">
      <c r="A91" s="22"/>
      <c r="B91" s="28"/>
      <c r="C91" s="69"/>
      <c r="D91" s="69"/>
      <c r="G91" s="70"/>
      <c r="K91" s="70"/>
      <c r="X91" s="13" t="s">
        <v>210</v>
      </c>
    </row>
    <row r="92" spans="1:33" x14ac:dyDescent="0.6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6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6">
      <c r="A94" s="22"/>
      <c r="B94" s="28" t="s">
        <v>23</v>
      </c>
      <c r="C94" s="72"/>
      <c r="D94" s="72"/>
      <c r="E94" s="154">
        <f>'BGS PTY21 Cost Alloc'!E94</f>
        <v>0.105545</v>
      </c>
      <c r="F94" s="154">
        <f>'BGS PTY21 Cost Alloc'!F94</f>
        <v>0.105545</v>
      </c>
      <c r="G94" s="154">
        <f>'BGS PTY21 Cost Alloc'!G94</f>
        <v>0.105545</v>
      </c>
      <c r="H94" s="154">
        <f>'BGS PTY21 Cost Alloc'!H94</f>
        <v>0.105545</v>
      </c>
      <c r="I94" s="154">
        <f>'BGS PTY21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6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33" x14ac:dyDescent="0.6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414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</row>
    <row r="97" spans="1:33" x14ac:dyDescent="0.6">
      <c r="A97" s="22"/>
      <c r="B97" s="226" t="s">
        <v>263</v>
      </c>
      <c r="C97" s="231"/>
      <c r="D97" s="231"/>
      <c r="E97" s="233">
        <f>ROUND(1-1/E98,6)</f>
        <v>9.8295999999999994E-2</v>
      </c>
      <c r="F97" s="233">
        <f>ROUND(1-1/F98,6)</f>
        <v>9.8295999999999994E-2</v>
      </c>
      <c r="G97" s="233">
        <f>ROUND(1-1/G98,6)</f>
        <v>9.8295999999999994E-2</v>
      </c>
      <c r="H97" s="233">
        <f>ROUND(1-1/H98,6)</f>
        <v>9.8295999999999994E-2</v>
      </c>
      <c r="I97" s="233">
        <f>ROUND(1-1/I98,6)</f>
        <v>9.8295999999999994E-2</v>
      </c>
      <c r="J97" s="73"/>
      <c r="K97" s="73"/>
      <c r="L97" s="73"/>
      <c r="M97" s="414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</row>
    <row r="98" spans="1:33" ht="12" customHeight="1" x14ac:dyDescent="0.6">
      <c r="A98" s="22"/>
      <c r="B98" s="226" t="s">
        <v>262</v>
      </c>
      <c r="C98" s="231"/>
      <c r="D98" s="231"/>
      <c r="E98" s="231">
        <v>1.1090110249154914</v>
      </c>
      <c r="F98" s="231">
        <v>1.1090110249154914</v>
      </c>
      <c r="G98" s="231">
        <v>1.1090110249154914</v>
      </c>
      <c r="H98" s="231">
        <v>1.1090110249154914</v>
      </c>
      <c r="I98" s="231">
        <v>1.1090110249154914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</row>
    <row r="99" spans="1:33" x14ac:dyDescent="0.6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</row>
    <row r="100" spans="1:33" x14ac:dyDescent="0.6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</row>
    <row r="101" spans="1:33" x14ac:dyDescent="0.6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</row>
    <row r="102" spans="1:33" x14ac:dyDescent="0.6">
      <c r="A102" s="22"/>
      <c r="B102" s="36" t="str">
        <f>'BGS PTY21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</row>
    <row r="103" spans="1:33" ht="15.5" x14ac:dyDescent="0.7">
      <c r="A103" s="22"/>
      <c r="B103" s="578" t="str">
        <f>$B$1</f>
        <v xml:space="preserve">Jersey Central Power &amp; Light </v>
      </c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</row>
    <row r="104" spans="1:33" ht="15.5" x14ac:dyDescent="0.7">
      <c r="A104" s="22"/>
      <c r="B104" s="578" t="str">
        <f>$B$2</f>
        <v>Attachment 2</v>
      </c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</row>
    <row r="105" spans="1:33" x14ac:dyDescent="0.6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</row>
    <row r="106" spans="1:33" x14ac:dyDescent="0.6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1:33" x14ac:dyDescent="0.6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</row>
    <row r="108" spans="1:33" x14ac:dyDescent="0.6">
      <c r="A108" s="22"/>
      <c r="B108" s="17" t="s">
        <v>171</v>
      </c>
      <c r="M108" s="47"/>
      <c r="N108" s="47"/>
      <c r="O108" s="47"/>
      <c r="P108" s="47"/>
      <c r="Q108" s="47"/>
      <c r="R108" s="47"/>
      <c r="S108" s="536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</row>
    <row r="109" spans="1:33" x14ac:dyDescent="0.6">
      <c r="A109" s="22"/>
      <c r="B109" s="17" t="s">
        <v>21</v>
      </c>
      <c r="M109" s="47"/>
      <c r="N109" s="47"/>
      <c r="O109" s="47"/>
      <c r="P109" s="47"/>
      <c r="Q109" s="47"/>
      <c r="R109" s="47"/>
      <c r="S109" s="391"/>
      <c r="T109" s="47"/>
      <c r="U109" s="47"/>
      <c r="V109" s="47"/>
      <c r="W109" s="47"/>
      <c r="X109" s="47"/>
      <c r="Y109" s="47"/>
      <c r="Z109" s="47"/>
      <c r="AA109" s="47"/>
      <c r="AB109" s="47"/>
      <c r="AC109" s="536"/>
      <c r="AD109" s="47"/>
      <c r="AE109" s="47"/>
      <c r="AF109" s="47"/>
      <c r="AG109" s="47"/>
    </row>
    <row r="110" spans="1:33" x14ac:dyDescent="0.6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543"/>
      <c r="O110" s="47"/>
      <c r="P110" s="131"/>
      <c r="Q110" s="47"/>
      <c r="R110" s="47"/>
      <c r="S110" s="47"/>
      <c r="T110" s="47"/>
      <c r="U110" s="47"/>
      <c r="V110" s="47"/>
      <c r="W110" s="537"/>
      <c r="X110" s="47"/>
      <c r="Y110" s="47"/>
      <c r="Z110" s="47"/>
      <c r="AA110" s="47"/>
      <c r="AB110" s="47"/>
      <c r="AC110" s="538"/>
      <c r="AD110" s="47"/>
      <c r="AE110" s="47"/>
      <c r="AF110" s="47"/>
      <c r="AG110" s="47"/>
    </row>
    <row r="111" spans="1:33" x14ac:dyDescent="0.6">
      <c r="A111" s="22"/>
      <c r="M111" s="47"/>
      <c r="N111" s="47"/>
      <c r="O111" s="47"/>
      <c r="P111" s="47"/>
      <c r="Q111" s="47"/>
      <c r="R111" s="114"/>
      <c r="S111" s="544"/>
      <c r="T111" s="47"/>
      <c r="U111" s="47"/>
      <c r="V111" s="47"/>
      <c r="W111" s="44"/>
      <c r="X111" s="543"/>
      <c r="Y111" s="47"/>
      <c r="Z111" s="131"/>
      <c r="AA111" s="47"/>
      <c r="AB111" s="47"/>
      <c r="AC111" s="47"/>
      <c r="AD111" s="47"/>
      <c r="AE111" s="47"/>
      <c r="AF111" s="47"/>
      <c r="AG111" s="47"/>
    </row>
    <row r="112" spans="1:33" x14ac:dyDescent="0.6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49.16535823691278</v>
      </c>
      <c r="F112" s="75">
        <f>(SUMPRODUCT(F20:F23,F65:F68,$D84:$D87,$H84:$H87)*F95+SUMPRODUCT(R20:R23,F65:F68,$F84:$F87,$I84:$I87)*F95)/SUM(F65:F68)</f>
        <v>49.306212866050373</v>
      </c>
      <c r="G112" s="75">
        <f>(SUMPRODUCT(G20:G23,G65:G68,$D84:$D87,$H84:$H87)*G95+SUMPRODUCT(S20:S23,G65:G68,$F84:$F87,$I84:$I87)*G95)/SUM(G65:G68)</f>
        <v>50.270213013481332</v>
      </c>
      <c r="H112" s="75">
        <f>(SUMPRODUCT(H20:H23,H65:H68,$D84:$D87,$H84:$H87)*H95+SUMPRODUCT(T20:T23,H65:H68,$F84:$F87,$I84:$I87)*H95)/SUM(H65:H68)</f>
        <v>49.910113831760974</v>
      </c>
      <c r="I112" s="75">
        <f>(SUMPRODUCT(I20:I23,I65:I68,$D84:$D87,$H84:$H87)*I95+SUMPRODUCT(U20:U23,I65:I68,$F84:$F87,$I84:$I87)*I95)/SUM(I65:I68)</f>
        <v>44.838919508231101</v>
      </c>
      <c r="J112" s="76"/>
      <c r="K112" s="74"/>
      <c r="L112" s="74"/>
      <c r="M112" s="53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51"/>
      <c r="AA112" s="47"/>
      <c r="AB112" s="114"/>
      <c r="AC112" s="544"/>
      <c r="AD112" s="47"/>
      <c r="AE112" s="47"/>
      <c r="AF112" s="47"/>
      <c r="AG112" s="47"/>
    </row>
    <row r="113" spans="1:33" x14ac:dyDescent="0.6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58.459972039242416</v>
      </c>
      <c r="F113" s="75">
        <f>(SUMPRODUCT(F20:F23,F65:F68,$D84:$D87,$H84:$H87)*F95)/SUMPRODUCT(F20:F23,F65:F68)</f>
        <v>58.541175141521698</v>
      </c>
      <c r="G113" s="75">
        <f>(SUMPRODUCT(G20:G23,G65:G68,$D84:$D87,$H84:$H87)*G95)/SUMPRODUCT(G20:G23,G65:G68)</f>
        <v>58.300119396716063</v>
      </c>
      <c r="H113" s="75">
        <f>(SUMPRODUCT(H20:H23,H65:H68,$D84:$D87,$H84:$H87)*H95)/SUMPRODUCT(H20:H23,H65:H68)</f>
        <v>58.423873556586393</v>
      </c>
      <c r="I113" s="75">
        <f>(SUMPRODUCT(I20:I23,I65:I68,$D84:$D87,$H84:$H87)*I95)/SUMPRODUCT(I20:I23,I65:I68)</f>
        <v>58.14747823322837</v>
      </c>
      <c r="J113" s="76"/>
      <c r="K113" s="74"/>
      <c r="L113" s="74"/>
      <c r="M113" s="539"/>
      <c r="N113" s="47"/>
      <c r="O113" s="47"/>
      <c r="P113" s="47"/>
      <c r="Q113" s="47"/>
      <c r="R113" s="47"/>
      <c r="S113" s="540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</row>
    <row r="114" spans="1:33" x14ac:dyDescent="0.6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39.176551535703503</v>
      </c>
      <c r="F114" s="75">
        <f>(SUMPRODUCT(R20:R23,F65:F68,$F84:$F87,$I84:$I87)*F95)/SUMPRODUCT(R20:R23,F65:F68)</f>
        <v>39.260255537814366</v>
      </c>
      <c r="G114" s="75">
        <f>(SUMPRODUCT(S20:S23,G65:G68,$F84:$F87,$I84:$I87)*G95)/SUMPRODUCT(S20:S23,G65:G68)</f>
        <v>39.145525943516262</v>
      </c>
      <c r="H114" s="75">
        <f>(SUMPRODUCT(T20:T23,H65:H68,$F84:$F87,$I84:$I87)*H95)/SUMPRODUCT(T20:T23,H65:H68)</f>
        <v>39.230966138340783</v>
      </c>
      <c r="I114" s="75">
        <f>(SUMPRODUCT(U20:U23,I65:I68,$F84:$F87,$I84:$I87)*I95)/SUMPRODUCT(U20:U23,I65:I68)</f>
        <v>39.073252687864652</v>
      </c>
      <c r="J114" s="76"/>
      <c r="K114" s="74"/>
      <c r="L114" s="74"/>
      <c r="M114" s="44"/>
      <c r="N114" s="543"/>
      <c r="O114" s="47"/>
      <c r="P114" s="131"/>
      <c r="Q114" s="47"/>
      <c r="R114" s="47"/>
      <c r="S114" s="47"/>
      <c r="T114" s="47"/>
      <c r="U114" s="47"/>
      <c r="V114" s="47"/>
      <c r="W114" s="537"/>
      <c r="X114" s="47"/>
      <c r="Y114" s="47"/>
      <c r="Z114" s="47"/>
      <c r="AA114" s="47"/>
      <c r="AB114" s="47"/>
      <c r="AC114" s="538"/>
      <c r="AD114" s="47"/>
      <c r="AE114" s="47"/>
      <c r="AF114" s="47"/>
      <c r="AG114" s="47"/>
    </row>
    <row r="115" spans="1:33" x14ac:dyDescent="0.6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544"/>
      <c r="T115" s="47"/>
      <c r="U115" s="47"/>
      <c r="V115" s="47"/>
      <c r="W115" s="44"/>
      <c r="X115" s="543"/>
      <c r="Y115" s="47"/>
      <c r="Z115" s="131"/>
      <c r="AA115" s="47"/>
      <c r="AB115" s="47"/>
      <c r="AC115" s="47"/>
      <c r="AD115" s="47"/>
      <c r="AE115" s="47"/>
      <c r="AF115" s="47"/>
      <c r="AG115" s="47"/>
    </row>
    <row r="116" spans="1:33" x14ac:dyDescent="0.6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47.057592389828905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46.610115408578686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46.871929647507088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46.467940956506965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44.031606746169658</v>
      </c>
      <c r="J116" s="76"/>
      <c r="K116" s="74"/>
      <c r="L116" s="74"/>
      <c r="M116" s="541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51"/>
      <c r="AA116" s="47"/>
      <c r="AB116" s="114"/>
      <c r="AC116" s="544"/>
      <c r="AD116" s="47"/>
      <c r="AE116" s="47"/>
      <c r="AF116" s="47"/>
      <c r="AG116" s="47"/>
    </row>
    <row r="117" spans="1:33" x14ac:dyDescent="0.6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52.23205059623718</v>
      </c>
      <c r="F117" s="75">
        <f>(SUMPRODUCT(F15:F19,F60:F64,$D79:$D83,$H79:$H83)*F95+SUMPRODUCT(F24:F26,F69:F71,$D88:$D90,$H88:$H90)*F95)/(SUMPRODUCT(F15:F19,F60:F64)+SUMPRODUCT(F24:F26,F69:F71))</f>
        <v>51.491779060338537</v>
      </c>
      <c r="G117" s="75">
        <f>(SUMPRODUCT(G15:G19,G60:G64,$D79:$D83,$H79:$H83)*G95+SUMPRODUCT(G24:G26,G69:G71,$D88:$D90,$H88:$H90)*G95)/(SUMPRODUCT(G15:G19,G60:G64)+SUMPRODUCT(G24:G26,G69:G71))</f>
        <v>50.883665376797488</v>
      </c>
      <c r="H117" s="75">
        <f>(SUMPRODUCT(H15:H19,H60:H64,$D79:$D83,$H79:$H83)*H95+SUMPRODUCT(H24:H26,H69:H71,$D88:$D90,$H88:$H90)*H95)/(SUMPRODUCT(H15:H19,H60:H64)+SUMPRODUCT(H24:H26,H69:H71))</f>
        <v>50.880483414217224</v>
      </c>
      <c r="I117" s="75">
        <f>(SUMPRODUCT(I15:I19,I60:I64,$D79:$D83,$H79:$H83)*I95+SUMPRODUCT(I24:I26,I69:I71,$D88:$D90,$H88:$H90)*I95)/(SUMPRODUCT(I15:I19,I60:I64)+SUMPRODUCT(I24:I26,I69:I71))</f>
        <v>50.732761702134823</v>
      </c>
      <c r="J117" s="76"/>
      <c r="K117" s="74"/>
      <c r="L117" s="74"/>
      <c r="M117" s="539"/>
      <c r="N117" s="47"/>
      <c r="O117" s="47"/>
      <c r="P117" s="47"/>
      <c r="Q117" s="47"/>
      <c r="R117" s="47"/>
      <c r="S117" s="538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</row>
    <row r="118" spans="1:33" x14ac:dyDescent="0.6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42.310062980578735</v>
      </c>
      <c r="F118" s="75">
        <f>(SUMPRODUCT(R15:R19,F60:F64,$F79:$F83,$I79:$I83)*F95+SUMPRODUCT(R24:R26,F69:F71,$F88:$F90,$I88:$I90)*F95)/(SUMPRODUCT(R15:R19,F60:F64)+SUMPRODUCT(R24:R26,F69:F71))</f>
        <v>41.684922511382879</v>
      </c>
      <c r="G118" s="75">
        <f>(SUMPRODUCT(S15:S19,G60:G64,$F79:$F83,$I79:$I83)*G95+SUMPRODUCT(S24:S26,G69:G71,$F88:$F90,$I88:$I90)*G95)/(SUMPRODUCT(S15:S19,G60:G64)+SUMPRODUCT(S24:S26,G69:G71))</f>
        <v>41.423260366364069</v>
      </c>
      <c r="H118" s="75">
        <f>(SUMPRODUCT(T15:T19,H60:H64,$F79:$F83,$I79:$I83)*H95+SUMPRODUCT(T24:T26,H69:H71,$F88:$F90,$I88:$I90)*H95)/(SUMPRODUCT(T15:T19,H60:H64)+SUMPRODUCT(T24:T26,H69:H71))</f>
        <v>41.222900665097953</v>
      </c>
      <c r="I118" s="75">
        <f>(SUMPRODUCT(U15:U19,I60:I64,$F79:$F83,$I79:$I83)*I95+SUMPRODUCT(U24:U26,I69:I71,$F88:$F90,$I88:$I90)*I95)/(SUMPRODUCT(U15:U19,I60:I64)+SUMPRODUCT(U24:U26,I69:I71))</f>
        <v>40.873401237715669</v>
      </c>
      <c r="J118" s="76"/>
      <c r="K118" s="74"/>
      <c r="L118" s="74"/>
      <c r="M118" s="44"/>
      <c r="N118" s="543"/>
      <c r="O118" s="47"/>
      <c r="P118" s="131"/>
      <c r="Q118" s="47"/>
      <c r="R118" s="47"/>
      <c r="S118" s="47"/>
      <c r="T118" s="47"/>
      <c r="U118" s="47"/>
      <c r="V118" s="47"/>
      <c r="W118" s="537"/>
      <c r="X118" s="47"/>
      <c r="Y118" s="47"/>
      <c r="Z118" s="47"/>
      <c r="AA118" s="47"/>
      <c r="AB118" s="47"/>
      <c r="AC118" s="538"/>
      <c r="AD118" s="47"/>
      <c r="AE118" s="47"/>
      <c r="AF118" s="47"/>
      <c r="AG118" s="47"/>
    </row>
    <row r="119" spans="1:33" x14ac:dyDescent="0.6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544"/>
      <c r="T119" s="47"/>
      <c r="U119" s="47"/>
      <c r="V119" s="47"/>
      <c r="W119" s="44"/>
      <c r="X119" s="543"/>
      <c r="Y119" s="47"/>
      <c r="Z119" s="131"/>
      <c r="AA119" s="47"/>
      <c r="AB119" s="47"/>
      <c r="AC119" s="47"/>
      <c r="AD119" s="47"/>
      <c r="AE119" s="47"/>
      <c r="AF119" s="47"/>
      <c r="AG119" s="47"/>
    </row>
    <row r="120" spans="1:33" x14ac:dyDescent="0.6">
      <c r="A120" s="22"/>
      <c r="B120" s="13" t="s">
        <v>16</v>
      </c>
      <c r="C120" s="74"/>
      <c r="D120" s="78"/>
      <c r="E120" s="79">
        <f>(E112*SUM(E65:E68)+E116*SUM(E60:E64,E69:E71))/E72</f>
        <v>47.754650590839276</v>
      </c>
      <c r="F120" s="79">
        <f>(F112*SUM(F65:F68)+F116*SUM(F60:F64,F69:F71))/F72</f>
        <v>47.734073256828736</v>
      </c>
      <c r="G120" s="79">
        <f>(G112*SUM(G65:G68)+G116*SUM(G60:G64,G69:G71))/G72</f>
        <v>48.137521711279277</v>
      </c>
      <c r="H120" s="79">
        <f>(H112*SUM(H65:H68)+H116*SUM(H60:H64,H69:H71))/H72</f>
        <v>47.651397282439348</v>
      </c>
      <c r="I120" s="79">
        <f>(I112*SUM(I65:I68)+I116*SUM(I60:I64,I69:I71))/I72</f>
        <v>44.300717899591582</v>
      </c>
      <c r="J120" s="76"/>
      <c r="K120" s="78"/>
      <c r="L120" s="78"/>
      <c r="M120" s="539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351"/>
      <c r="AA120" s="47"/>
      <c r="AB120" s="114"/>
      <c r="AC120" s="544"/>
      <c r="AD120" s="47"/>
      <c r="AE120" s="47"/>
      <c r="AF120" s="47"/>
      <c r="AG120" s="47"/>
    </row>
    <row r="121" spans="1:33" x14ac:dyDescent="0.6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539"/>
      <c r="N121" s="47"/>
      <c r="O121" s="47"/>
      <c r="P121" s="47"/>
      <c r="Q121" s="47"/>
      <c r="R121" s="47"/>
      <c r="S121" s="538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</row>
    <row r="122" spans="1:33" x14ac:dyDescent="0.6">
      <c r="A122" s="22"/>
      <c r="B122" s="13" t="s">
        <v>44</v>
      </c>
      <c r="C122" s="80">
        <f>SUMPRODUCT(C120:I120,C72:I72)/SUM(C72:I72)</f>
        <v>47.854670322959088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543"/>
      <c r="O122" s="47"/>
      <c r="P122" s="131"/>
      <c r="Q122" s="47"/>
      <c r="R122" s="47"/>
      <c r="S122" s="47"/>
      <c r="T122" s="47"/>
      <c r="U122" s="47"/>
      <c r="V122" s="47"/>
      <c r="W122" s="537"/>
      <c r="X122" s="47"/>
      <c r="Y122" s="47"/>
      <c r="Z122" s="47"/>
      <c r="AA122" s="47"/>
      <c r="AB122" s="47"/>
      <c r="AC122" s="538"/>
      <c r="AD122" s="47"/>
      <c r="AE122" s="47"/>
      <c r="AF122" s="47"/>
      <c r="AG122" s="47"/>
    </row>
    <row r="123" spans="1:33" x14ac:dyDescent="0.6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544"/>
      <c r="T123" s="47"/>
      <c r="U123" s="47"/>
      <c r="V123" s="47"/>
      <c r="W123" s="44"/>
      <c r="X123" s="543"/>
      <c r="Y123" s="47"/>
      <c r="Z123" s="131"/>
      <c r="AA123" s="47"/>
      <c r="AB123" s="47"/>
      <c r="AC123" s="47"/>
      <c r="AD123" s="47"/>
      <c r="AE123" s="47"/>
      <c r="AF123" s="47"/>
      <c r="AG123" s="47"/>
    </row>
    <row r="124" spans="1:33" x14ac:dyDescent="0.6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539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351"/>
      <c r="AA124" s="47"/>
      <c r="AB124" s="114"/>
      <c r="AC124" s="544"/>
      <c r="AD124" s="351"/>
      <c r="AE124" s="47"/>
      <c r="AF124" s="47"/>
      <c r="AG124" s="47"/>
    </row>
    <row r="125" spans="1:33" x14ac:dyDescent="0.6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537"/>
      <c r="N125" s="47"/>
      <c r="O125" s="47"/>
      <c r="P125" s="47"/>
      <c r="Q125" s="47"/>
      <c r="R125" s="47"/>
      <c r="S125" s="538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</row>
    <row r="126" spans="1:33" x14ac:dyDescent="0.6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543"/>
      <c r="O126" s="47"/>
      <c r="P126" s="131"/>
      <c r="Q126" s="47"/>
      <c r="R126" s="47"/>
      <c r="S126" s="47"/>
      <c r="T126" s="47"/>
      <c r="U126" s="47"/>
      <c r="V126" s="47"/>
      <c r="W126" s="537"/>
      <c r="X126" s="47"/>
      <c r="Y126" s="47"/>
      <c r="Z126" s="47"/>
      <c r="AA126" s="47"/>
      <c r="AB126" s="47"/>
      <c r="AC126" s="538"/>
      <c r="AD126" s="47"/>
      <c r="AE126" s="47"/>
      <c r="AF126" s="47"/>
      <c r="AG126" s="47"/>
    </row>
    <row r="127" spans="1:33" x14ac:dyDescent="0.6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544"/>
      <c r="T127" s="47"/>
      <c r="U127" s="47"/>
      <c r="V127" s="47"/>
      <c r="W127" s="44"/>
      <c r="X127" s="543"/>
      <c r="Y127" s="47"/>
      <c r="Z127" s="131"/>
      <c r="AA127" s="47"/>
      <c r="AB127" s="47"/>
      <c r="AC127" s="47"/>
      <c r="AD127" s="47"/>
      <c r="AE127" s="47"/>
      <c r="AF127" s="47"/>
      <c r="AG127" s="47"/>
    </row>
    <row r="128" spans="1:33" x14ac:dyDescent="0.6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351"/>
      <c r="AA128" s="47"/>
      <c r="AB128" s="114"/>
      <c r="AC128" s="544"/>
      <c r="AD128" s="351"/>
      <c r="AE128" s="47"/>
      <c r="AF128" s="47"/>
      <c r="AG128" s="47"/>
    </row>
    <row r="129" spans="1:33" x14ac:dyDescent="0.6">
      <c r="A129" s="22"/>
      <c r="C129" s="81"/>
      <c r="M129" s="537"/>
      <c r="N129" s="47"/>
      <c r="O129" s="47"/>
      <c r="P129" s="47"/>
      <c r="Q129" s="47"/>
      <c r="R129" s="47"/>
      <c r="S129" s="538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</row>
    <row r="130" spans="1:33" x14ac:dyDescent="0.6">
      <c r="A130" s="22"/>
      <c r="B130" s="28" t="s">
        <v>17</v>
      </c>
      <c r="C130" s="76"/>
      <c r="D130" s="76"/>
      <c r="E130" s="76">
        <f>SUM(E65:E68)*E112/1000</f>
        <v>3185.1777333783944</v>
      </c>
      <c r="F130" s="76">
        <f>SUM(F65:F68)*F112/1000</f>
        <v>195125.04777687503</v>
      </c>
      <c r="G130" s="76">
        <f>SUM(G65:G68)*G112/1000</f>
        <v>107139.39688924236</v>
      </c>
      <c r="H130" s="76">
        <f>SUM(H65:H68)*H112/1000</f>
        <v>3243.8579383814726</v>
      </c>
      <c r="I130" s="76">
        <f>SUM(I65:I68)*I112/1000</f>
        <v>1748.942055418554</v>
      </c>
      <c r="J130" s="76">
        <f>SUM(E130:I130)</f>
        <v>310442.42239329586</v>
      </c>
      <c r="K130" s="76"/>
      <c r="L130" s="76"/>
      <c r="M130" s="44"/>
      <c r="N130" s="543"/>
      <c r="O130" s="47"/>
      <c r="P130" s="131"/>
      <c r="Q130" s="47"/>
      <c r="R130" s="47"/>
      <c r="S130" s="47"/>
      <c r="T130" s="47"/>
      <c r="U130" s="47"/>
      <c r="V130" s="47"/>
      <c r="W130" s="537"/>
      <c r="X130" s="47"/>
      <c r="Y130" s="47"/>
      <c r="Z130" s="47"/>
      <c r="AA130" s="47"/>
      <c r="AB130" s="47"/>
      <c r="AC130" s="538"/>
      <c r="AD130" s="47"/>
      <c r="AE130" s="47"/>
      <c r="AF130" s="47"/>
      <c r="AG130" s="47"/>
    </row>
    <row r="131" spans="1:33" x14ac:dyDescent="0.6">
      <c r="A131" s="22"/>
      <c r="B131" s="77" t="s">
        <v>41</v>
      </c>
      <c r="C131" s="76"/>
      <c r="D131" s="76"/>
      <c r="E131" s="76">
        <f>SUMPRODUCT(E65:E68,E20:E23)*E113/1000</f>
        <v>1961.8355659637623</v>
      </c>
      <c r="F131" s="76">
        <f>SUMPRODUCT(F65:F68,F20:F23)*F113/1000</f>
        <v>120708.09543060066</v>
      </c>
      <c r="G131" s="76">
        <f>SUMPRODUCT(G65:G68,G20:G23)*G113/1000</f>
        <v>72164.362707857756</v>
      </c>
      <c r="H131" s="76">
        <f>SUMPRODUCT(H65:H68,H20:H23)*H113/1000</f>
        <v>2112.8051085691886</v>
      </c>
      <c r="I131" s="76">
        <f>SUMPRODUCT(I65:I68,I20:I23)*I113/1000</f>
        <v>685.57314242638176</v>
      </c>
      <c r="J131" s="76">
        <f>SUM(E131:I131)</f>
        <v>197632.67195541775</v>
      </c>
      <c r="K131" s="76"/>
      <c r="L131" s="76"/>
      <c r="M131" s="47"/>
      <c r="N131" s="47"/>
      <c r="O131" s="47"/>
      <c r="P131" s="47"/>
      <c r="Q131" s="47"/>
      <c r="R131" s="114"/>
      <c r="S131" s="544"/>
      <c r="T131" s="47"/>
      <c r="U131" s="47"/>
      <c r="V131" s="47"/>
      <c r="W131" s="44"/>
      <c r="X131" s="543"/>
      <c r="Y131" s="47"/>
      <c r="Z131" s="131"/>
      <c r="AA131" s="47"/>
      <c r="AB131" s="47"/>
      <c r="AC131" s="47"/>
      <c r="AD131" s="47"/>
      <c r="AE131" s="47"/>
      <c r="AF131" s="47"/>
      <c r="AG131" s="47"/>
    </row>
    <row r="132" spans="1:33" x14ac:dyDescent="0.6">
      <c r="A132" s="22"/>
      <c r="B132" s="77" t="s">
        <v>42</v>
      </c>
      <c r="C132" s="76"/>
      <c r="D132" s="76"/>
      <c r="E132" s="76">
        <f>SUMPRODUCT(E65:E68,Q20:Q23)*E114/1000</f>
        <v>1223.3421674146323</v>
      </c>
      <c r="F132" s="76">
        <f>SUMPRODUCT(F65:F68,R20:R23)*F114/1000</f>
        <v>74416.952346274367</v>
      </c>
      <c r="G132" s="76">
        <f>SUMPRODUCT(G65:G68,S20:S23)*G114/1000</f>
        <v>34975.034181384588</v>
      </c>
      <c r="H132" s="76">
        <f>SUMPRODUCT(H65:H68,T20:T23)*H114/1000</f>
        <v>1131.0528298122838</v>
      </c>
      <c r="I132" s="76">
        <f>SUMPRODUCT(I65:I68,U20:U23)*I114/1000</f>
        <v>1063.3689129921722</v>
      </c>
      <c r="J132" s="76">
        <f>SUM(E132:I132)</f>
        <v>112809.75043787804</v>
      </c>
      <c r="K132" s="76"/>
      <c r="L132" s="76"/>
      <c r="M132" s="542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351"/>
      <c r="AA132" s="47"/>
      <c r="AB132" s="114"/>
      <c r="AC132" s="544"/>
      <c r="AD132" s="351"/>
      <c r="AE132" s="47"/>
      <c r="AF132" s="47"/>
      <c r="AG132" s="47"/>
    </row>
    <row r="133" spans="1:33" x14ac:dyDescent="0.6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537"/>
      <c r="N133" s="47"/>
      <c r="O133" s="47"/>
      <c r="P133" s="47"/>
      <c r="Q133" s="47"/>
      <c r="R133" s="47"/>
      <c r="S133" s="538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33" x14ac:dyDescent="0.6">
      <c r="A134" s="22"/>
      <c r="B134" s="28" t="s">
        <v>18</v>
      </c>
      <c r="C134" s="82"/>
      <c r="D134" s="82"/>
      <c r="E134" s="82">
        <f>SUM(E60:E64,E69:E71)*E116/1000</f>
        <v>6169.8150534152473</v>
      </c>
      <c r="F134" s="82">
        <f>SUM(F60:F64,F69:F71)*F116/1000</f>
        <v>258007.68367772442</v>
      </c>
      <c r="G134" s="82">
        <f>SUM(G60:G64,G69:G71)*G116/1000</f>
        <v>168339.31665885088</v>
      </c>
      <c r="H134" s="82">
        <f>SUM(H60:H64,H69:H71)*H116/1000</f>
        <v>5764.1622038908627</v>
      </c>
      <c r="I134" s="82">
        <f>SUM(I60:I64,I69:I71)*I116/1000</f>
        <v>3434.7735474484562</v>
      </c>
      <c r="J134" s="76">
        <f>SUM(E134:I134)</f>
        <v>441715.75114132982</v>
      </c>
      <c r="K134" s="82"/>
      <c r="L134" s="82"/>
      <c r="M134" s="44"/>
      <c r="N134" s="543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</row>
    <row r="135" spans="1:33" x14ac:dyDescent="0.6">
      <c r="A135" s="22"/>
      <c r="B135" s="77" t="s">
        <v>41</v>
      </c>
      <c r="C135" s="76"/>
      <c r="D135" s="76"/>
      <c r="E135" s="76">
        <f>(SUMPRODUCT(E60:E64,E15:E19)+SUMPRODUCT(E69:E71,E24:E26))*E117/1000</f>
        <v>3276.7891852060707</v>
      </c>
      <c r="F135" s="76">
        <f>(SUMPRODUCT(F60:F64,F15:F19)+SUMPRODUCT(F69:F71,F24:F26))*F117/1000</f>
        <v>143147.50422201518</v>
      </c>
      <c r="G135" s="76">
        <f>(SUMPRODUCT(G60:G64,G15:G19)+SUMPRODUCT(G69:G71,G24:G26))*G117/1000</f>
        <v>105252.35782411168</v>
      </c>
      <c r="H135" s="76">
        <f>(SUMPRODUCT(H60:H64,H15:H19)+SUMPRODUCT(H69:H71,H24:H26))*H117/1000</f>
        <v>3427.7913943054414</v>
      </c>
      <c r="I135" s="76">
        <f>(SUMPRODUCT(I60:I64,I15:I19)+SUMPRODUCT(I69:I71,I24:I26))*I117/1000</f>
        <v>1267.691919666142</v>
      </c>
      <c r="J135" s="76">
        <f>SUM(E135:I135)</f>
        <v>256372.13454530449</v>
      </c>
      <c r="K135" s="76"/>
      <c r="L135" s="76"/>
      <c r="M135" s="47"/>
      <c r="N135" s="47"/>
      <c r="O135" s="47"/>
      <c r="P135" s="351"/>
      <c r="Q135" s="47"/>
      <c r="R135" s="114"/>
      <c r="S135" s="54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</row>
    <row r="136" spans="1:33" x14ac:dyDescent="0.6">
      <c r="A136" s="22"/>
      <c r="B136" s="77" t="s">
        <v>42</v>
      </c>
      <c r="C136" s="76"/>
      <c r="D136" s="76"/>
      <c r="E136" s="76">
        <f>+(SUMPRODUCT(E60:E64,Q15:Q19)+SUMPRODUCT(E69:E71,Q24:Q26))*E118/1000</f>
        <v>2893.0258682091762</v>
      </c>
      <c r="F136" s="76">
        <f>+(SUMPRODUCT(F60:F64,R15:R19)+SUMPRODUCT(F69:F71,R24:R26))*F118/1000</f>
        <v>114860.17945570928</v>
      </c>
      <c r="G136" s="76">
        <f>+(SUMPRODUCT(G60:G64,S15:S19)+SUMPRODUCT(G69:G71,S24:S26))*G118/1000</f>
        <v>63086.958834739205</v>
      </c>
      <c r="H136" s="76">
        <f>+(SUMPRODUCT(H60:H64,T15:T19)+SUMPRODUCT(H69:H71,T24:T26))*H118/1000</f>
        <v>2336.3708095854213</v>
      </c>
      <c r="I136" s="76">
        <f>+(SUMPRODUCT(I60:I64,U15:U19)+SUMPRODUCT(I69:I71,U24:U26))*I118/1000</f>
        <v>2167.0816277823142</v>
      </c>
      <c r="J136" s="76">
        <f>SUM(E136:I136)</f>
        <v>185343.61659602539</v>
      </c>
      <c r="K136" s="76"/>
      <c r="L136" s="76"/>
      <c r="M136" s="542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</row>
    <row r="137" spans="1:33" x14ac:dyDescent="0.6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537"/>
      <c r="N137" s="47"/>
      <c r="O137" s="47"/>
      <c r="P137" s="47"/>
      <c r="Q137" s="47"/>
      <c r="R137" s="47"/>
      <c r="S137" s="538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</row>
    <row r="138" spans="1:33" x14ac:dyDescent="0.6">
      <c r="A138" s="22"/>
      <c r="B138" s="13" t="s">
        <v>16</v>
      </c>
      <c r="C138" s="82"/>
      <c r="D138" s="82"/>
      <c r="E138" s="82">
        <f>+E130+E134</f>
        <v>9354.9927867936422</v>
      </c>
      <c r="F138" s="82">
        <f>+F130+F134</f>
        <v>453132.73145459942</v>
      </c>
      <c r="G138" s="82">
        <f>+G130+G134</f>
        <v>275478.71354809322</v>
      </c>
      <c r="H138" s="82">
        <f>+H130+H134</f>
        <v>9008.0201422723349</v>
      </c>
      <c r="I138" s="82">
        <f>+I130+I134</f>
        <v>5183.7156028670106</v>
      </c>
      <c r="J138" s="76">
        <f>SUM(E138:I138)</f>
        <v>752158.17353462556</v>
      </c>
      <c r="K138" s="82"/>
      <c r="L138" s="82"/>
      <c r="M138" s="44"/>
      <c r="N138" s="543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</row>
    <row r="139" spans="1:33" x14ac:dyDescent="0.6">
      <c r="A139" s="22"/>
      <c r="M139" s="47"/>
      <c r="N139" s="47"/>
      <c r="O139" s="47"/>
      <c r="P139" s="351"/>
      <c r="Q139" s="47"/>
      <c r="R139" s="114"/>
      <c r="S139" s="54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</row>
    <row r="140" spans="1:33" x14ac:dyDescent="0.6">
      <c r="A140" s="22"/>
      <c r="B140" s="13" t="s">
        <v>44</v>
      </c>
      <c r="C140" s="76">
        <f>SUM(C138:I138)</f>
        <v>752158.17353462556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</row>
    <row r="141" spans="1:33" x14ac:dyDescent="0.6">
      <c r="A141" s="22"/>
      <c r="M141" s="537"/>
      <c r="N141" s="47"/>
      <c r="O141" s="47"/>
      <c r="P141" s="47"/>
      <c r="Q141" s="47"/>
      <c r="R141" s="47"/>
      <c r="S141" s="538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</row>
    <row r="142" spans="1:33" x14ac:dyDescent="0.6">
      <c r="A142" s="22"/>
      <c r="M142" s="44"/>
      <c r="N142" s="543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</row>
    <row r="143" spans="1:33" ht="15.5" x14ac:dyDescent="0.7">
      <c r="A143" s="22"/>
      <c r="B143" s="578" t="str">
        <f>$B$1</f>
        <v xml:space="preserve">Jersey Central Power &amp; Light </v>
      </c>
      <c r="C143" s="578"/>
      <c r="D143" s="578"/>
      <c r="E143" s="578"/>
      <c r="F143" s="578"/>
      <c r="G143" s="578"/>
      <c r="H143" s="578"/>
      <c r="I143" s="578"/>
      <c r="J143" s="578"/>
      <c r="K143" s="578"/>
      <c r="L143" s="578"/>
      <c r="M143" s="47"/>
      <c r="N143" s="47"/>
      <c r="O143" s="47"/>
      <c r="P143" s="351"/>
      <c r="Q143" s="47"/>
      <c r="R143" s="114"/>
      <c r="S143" s="54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</row>
    <row r="144" spans="1:33" ht="15.5" x14ac:dyDescent="0.7">
      <c r="A144" s="22"/>
      <c r="B144" s="578" t="str">
        <f>$B$2</f>
        <v>Attachment 2</v>
      </c>
      <c r="C144" s="578"/>
      <c r="D144" s="578"/>
      <c r="E144" s="578"/>
      <c r="F144" s="578"/>
      <c r="G144" s="578"/>
      <c r="H144" s="578"/>
      <c r="I144" s="578"/>
      <c r="J144" s="578"/>
      <c r="K144" s="578"/>
      <c r="L144" s="578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</row>
    <row r="145" spans="1:51" x14ac:dyDescent="0.6">
      <c r="A145" s="22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</row>
    <row r="146" spans="1:51" x14ac:dyDescent="0.6">
      <c r="A146" s="18" t="s">
        <v>70</v>
      </c>
      <c r="B146" s="16" t="s">
        <v>71</v>
      </c>
      <c r="C146" s="78"/>
    </row>
    <row r="147" spans="1:51" x14ac:dyDescent="0.6">
      <c r="A147" s="22"/>
      <c r="B147" s="17" t="s">
        <v>173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6">
      <c r="A148" s="22"/>
      <c r="B148" s="17" t="s">
        <v>21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6">
      <c r="A149" s="22"/>
      <c r="B149" s="16"/>
      <c r="C149" s="26"/>
      <c r="D149" s="26"/>
      <c r="E149" s="26" t="str">
        <f>+E$13</f>
        <v>RT{1}</v>
      </c>
      <c r="F149" s="26" t="str">
        <f>+F$13</f>
        <v>RS{2}</v>
      </c>
      <c r="G149" s="26" t="str">
        <f>+G$13</f>
        <v>GS{3}</v>
      </c>
      <c r="H149" s="26" t="str">
        <f>+H$58</f>
        <v>GST {4}</v>
      </c>
      <c r="I149" s="26" t="str">
        <f>+I$13</f>
        <v>OL/SL</v>
      </c>
      <c r="J149" s="26"/>
      <c r="K149" s="26"/>
      <c r="L149" s="26"/>
    </row>
    <row r="150" spans="1:51" x14ac:dyDescent="0.6">
      <c r="A150" s="22"/>
      <c r="C150" s="81"/>
      <c r="M150" s="26"/>
      <c r="Q150" s="26" t="str">
        <f>+$H149</f>
        <v>GST {4}</v>
      </c>
      <c r="R150" s="26"/>
      <c r="S150" s="26"/>
      <c r="T150" s="26" t="str">
        <f>+$H149</f>
        <v>GST {4}</v>
      </c>
      <c r="U150" s="26"/>
      <c r="V150" s="26"/>
      <c r="W150" s="26" t="str">
        <f>+$H149</f>
        <v>GST {4}</v>
      </c>
      <c r="X150" s="26"/>
      <c r="Z150" s="26" t="str">
        <f>+$H149</f>
        <v>GST {4}</v>
      </c>
      <c r="AA150" s="26"/>
      <c r="AC150" s="26" t="str">
        <f>+$H149</f>
        <v>GST {4}</v>
      </c>
      <c r="AD150" s="26"/>
      <c r="AU150" s="26"/>
      <c r="AV150" s="26"/>
      <c r="AW150" s="26"/>
      <c r="AX150" s="26"/>
      <c r="AY150" s="26"/>
    </row>
    <row r="151" spans="1:51" x14ac:dyDescent="0.6">
      <c r="A151" s="22"/>
      <c r="B151" s="28" t="s">
        <v>17</v>
      </c>
      <c r="C151" s="80"/>
      <c r="D151" s="80"/>
      <c r="E151" s="75">
        <f>+E130/SUM(E65:E68)*1000</f>
        <v>49.16535823691278</v>
      </c>
      <c r="F151" s="75">
        <f>+F130/SUM(F65:F68)*1000</f>
        <v>49.30621286605038</v>
      </c>
      <c r="G151" s="75">
        <f>+G130/SUM(G65:G68)*1000</f>
        <v>50.270213013481339</v>
      </c>
      <c r="H151" s="75">
        <f>+H130/SUM(H65:H68)*1000</f>
        <v>49.910113831760974</v>
      </c>
      <c r="I151" s="75">
        <f>+I130/SUM(I65:I68)*1000</f>
        <v>44.838919508231101</v>
      </c>
      <c r="J151" s="80"/>
      <c r="K151" s="80"/>
      <c r="L151" s="80"/>
    </row>
    <row r="152" spans="1:51" x14ac:dyDescent="0.6">
      <c r="A152" s="22"/>
      <c r="B152" s="77" t="s">
        <v>72</v>
      </c>
      <c r="C152" s="76"/>
      <c r="D152" s="76"/>
      <c r="E152" s="75">
        <f>+(E131*1000-X165*AVERAGE(E$113,E$114))/R165</f>
        <v>60.782006352733895</v>
      </c>
      <c r="F152" s="75"/>
      <c r="G152" s="75"/>
      <c r="H152" s="75">
        <f>+(H131*1000-W153*AVERAGE(H$113,H$114))/Q153</f>
        <v>60.685894303412688</v>
      </c>
      <c r="I152" s="75"/>
      <c r="J152" s="76"/>
      <c r="K152" s="76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6">
      <c r="A153" s="22"/>
      <c r="B153" s="77" t="s">
        <v>73</v>
      </c>
      <c r="C153" s="76"/>
      <c r="D153" s="76"/>
      <c r="E153" s="75">
        <f>+(E132*1000-X166*AVERAGE(E$113,E$114))/R166</f>
        <v>40.833695355240728</v>
      </c>
      <c r="F153" s="75"/>
      <c r="G153" s="75"/>
      <c r="H153" s="75">
        <f>+(H132*1000-W154*AVERAGE(H$113,H$114))/Q154</f>
        <v>41.083767330515926</v>
      </c>
      <c r="I153" s="75"/>
      <c r="J153" s="76"/>
      <c r="K153" s="76"/>
      <c r="L153" s="80"/>
      <c r="M153" s="80"/>
      <c r="P153" s="13" t="s">
        <v>14</v>
      </c>
      <c r="Q153" s="55">
        <f>T65</f>
        <v>29265.169300000001</v>
      </c>
      <c r="R153" s="55"/>
      <c r="T153" s="55">
        <f>T76</f>
        <v>36163.386299999998</v>
      </c>
      <c r="U153" s="55"/>
      <c r="W153" s="55">
        <f>+T153-Q153</f>
        <v>6898.2169999999969</v>
      </c>
      <c r="X153" s="55"/>
      <c r="Z153" s="144">
        <f>+H152*Q153/1000</f>
        <v>1775.982970911278</v>
      </c>
      <c r="AA153" s="144"/>
      <c r="AX153" s="55"/>
    </row>
    <row r="154" spans="1:51" ht="15.25" x14ac:dyDescent="1.05">
      <c r="A154" s="22"/>
      <c r="C154" s="82"/>
      <c r="D154" s="82"/>
      <c r="E154" s="79"/>
      <c r="F154" s="79"/>
      <c r="G154" s="79"/>
      <c r="H154" s="79"/>
      <c r="I154" s="79"/>
      <c r="J154" s="82"/>
      <c r="K154" s="82"/>
      <c r="L154" s="82"/>
      <c r="M154" s="80"/>
      <c r="P154" s="13" t="s">
        <v>15</v>
      </c>
      <c r="Q154" s="55">
        <f>T66</f>
        <v>35728.830699999999</v>
      </c>
      <c r="R154" s="55"/>
      <c r="T154" s="55">
        <f>T77</f>
        <v>28830.613700000002</v>
      </c>
      <c r="U154" s="55"/>
      <c r="W154" s="55">
        <f>+T154-Q154</f>
        <v>-6898.2169999999969</v>
      </c>
      <c r="X154" s="55"/>
      <c r="Z154" s="85">
        <f>+H153*Q154/1000</f>
        <v>1467.8749674701944</v>
      </c>
      <c r="AA154" s="85"/>
      <c r="AX154" s="55"/>
    </row>
    <row r="155" spans="1:51" x14ac:dyDescent="0.6">
      <c r="A155" s="22"/>
      <c r="B155" s="28" t="s">
        <v>18</v>
      </c>
      <c r="C155" s="78"/>
      <c r="D155" s="78"/>
      <c r="E155" s="79">
        <f>+E134/SUM(E60:E64,E69:E71)*1000</f>
        <v>47.057592389828905</v>
      </c>
      <c r="F155" s="79">
        <f>+F134/SUM(F60:F64,F69:F71)*1000</f>
        <v>46.610115408578686</v>
      </c>
      <c r="G155" s="79">
        <f>+G134/SUM(G60:G64,G69:G71)*1000</f>
        <v>46.871929647507088</v>
      </c>
      <c r="H155" s="79">
        <f>+H134/SUM(H60:H64,H69:H71)*1000</f>
        <v>46.467940956506965</v>
      </c>
      <c r="I155" s="79">
        <f>+I134/SUM(I60:I64,I69:I71)*1000</f>
        <v>44.031606746169658</v>
      </c>
      <c r="J155" s="78"/>
      <c r="K155" s="78"/>
      <c r="L155" s="78"/>
      <c r="M155" s="82"/>
      <c r="Q155" s="55"/>
      <c r="R155" s="55"/>
      <c r="T155" s="55"/>
      <c r="U155" s="55"/>
      <c r="W155" s="55"/>
      <c r="X155" s="55"/>
      <c r="Z155" s="144">
        <f>+Z154+Z153</f>
        <v>3243.8579383814722</v>
      </c>
      <c r="AA155" s="144"/>
      <c r="AC155" s="81">
        <f>+H130</f>
        <v>3243.8579383814726</v>
      </c>
      <c r="AD155" s="81"/>
    </row>
    <row r="156" spans="1:51" x14ac:dyDescent="0.6">
      <c r="A156" s="22"/>
      <c r="B156" s="77" t="s">
        <v>72</v>
      </c>
      <c r="C156" s="76"/>
      <c r="D156" s="76"/>
      <c r="E156" s="75">
        <f>+(E135*1000-X170*AVERAGE(E$113,E$114))/R170</f>
        <v>53.344692464311258</v>
      </c>
      <c r="F156" s="75"/>
      <c r="G156" s="75"/>
      <c r="H156" s="75">
        <f>+(H135*1000-W157*AVERAGE(H$117,H$118))/Q157</f>
        <v>52.186012330142177</v>
      </c>
      <c r="I156" s="75"/>
      <c r="J156" s="76"/>
      <c r="K156" s="76"/>
      <c r="L156" s="80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6">
      <c r="A157" s="22"/>
      <c r="B157" s="77" t="s">
        <v>73</v>
      </c>
      <c r="C157" s="76"/>
      <c r="D157" s="76"/>
      <c r="E157" s="75">
        <f>+(E136*1000-X171*AVERAGE(E$113,E$114))/R171</f>
        <v>43.516091059302468</v>
      </c>
      <c r="F157" s="75"/>
      <c r="G157" s="75"/>
      <c r="H157" s="75">
        <f>+(H136*1000-W158*AVERAGE(H$117,H$118))/Q158</f>
        <v>42.197835382810176</v>
      </c>
      <c r="I157" s="75"/>
      <c r="J157" s="76"/>
      <c r="K157" s="76"/>
      <c r="L157" s="80"/>
      <c r="M157" s="80"/>
      <c r="P157" s="13" t="s">
        <v>14</v>
      </c>
      <c r="Q157" s="55">
        <f>T61</f>
        <v>53031.6512</v>
      </c>
      <c r="R157" s="55"/>
      <c r="T157" s="55">
        <f>T72</f>
        <v>67369.473799999992</v>
      </c>
      <c r="U157" s="55"/>
      <c r="W157" s="55">
        <f>+T157-Q157</f>
        <v>14337.822599999992</v>
      </c>
      <c r="X157" s="55"/>
      <c r="Z157" s="144">
        <f>+H156*Q157/1000</f>
        <v>2767.5104034109991</v>
      </c>
      <c r="AA157" s="144"/>
      <c r="AC157" s="81"/>
      <c r="AX157" s="55"/>
    </row>
    <row r="158" spans="1:51" ht="15.25" x14ac:dyDescent="1.05">
      <c r="A158" s="22"/>
      <c r="C158" s="142"/>
      <c r="D158" s="142"/>
      <c r="E158" s="143"/>
      <c r="F158" s="143"/>
      <c r="G158" s="143"/>
      <c r="H158" s="143"/>
      <c r="I158" s="143"/>
      <c r="J158" s="142"/>
      <c r="K158" s="142"/>
      <c r="L158" s="142"/>
      <c r="M158" s="80"/>
      <c r="P158" s="13" t="s">
        <v>15</v>
      </c>
      <c r="Q158" s="55">
        <f>T62</f>
        <v>71014.348800000007</v>
      </c>
      <c r="R158" s="55"/>
      <c r="T158" s="55">
        <f>T73</f>
        <v>56676.526200000008</v>
      </c>
      <c r="U158" s="55"/>
      <c r="W158" s="55">
        <f>+T158-Q158</f>
        <v>-14337.8226</v>
      </c>
      <c r="X158" s="55"/>
      <c r="Z158" s="85">
        <f>+H157*Q158/1000</f>
        <v>2996.6518004798636</v>
      </c>
      <c r="AA158" s="85"/>
      <c r="AC158" s="81"/>
      <c r="AX158" s="55"/>
    </row>
    <row r="159" spans="1:51" x14ac:dyDescent="0.6">
      <c r="A159" s="22"/>
      <c r="B159" s="13" t="s">
        <v>74</v>
      </c>
      <c r="C159" s="74"/>
      <c r="D159" s="74"/>
      <c r="E159" s="75">
        <f>(E151*SUM(E65:E68)+E155*SUM(E60:E64,E69:E71))/E72</f>
        <v>47.754650590839276</v>
      </c>
      <c r="F159" s="75">
        <f>(F151*SUM(F65:F68)+F155*SUM(F60:F64,F69:F71))/F72</f>
        <v>47.734073256828736</v>
      </c>
      <c r="G159" s="75">
        <f>(G151*SUM(G65:G68)+G155*SUM(G60:G64,G69:G71))/G72</f>
        <v>48.137521711279284</v>
      </c>
      <c r="H159" s="75">
        <f>(H151*SUM(H65:H68)+H155*SUM(H60:H64,H69:H71))/H72</f>
        <v>47.651397282439348</v>
      </c>
      <c r="I159" s="75">
        <f>(I151*SUM(I65:I68)+I155*SUM(I60:I64,I69:I71))/I72</f>
        <v>44.300717899591582</v>
      </c>
      <c r="J159" s="74"/>
      <c r="K159" s="74"/>
      <c r="L159" s="74"/>
      <c r="M159" s="142"/>
      <c r="Z159" s="144">
        <f>+Z158+Z157</f>
        <v>5764.1622038908627</v>
      </c>
      <c r="AA159" s="144"/>
      <c r="AC159" s="81">
        <f>+H134</f>
        <v>5764.1622038908627</v>
      </c>
      <c r="AD159" s="81"/>
    </row>
    <row r="160" spans="1:51" x14ac:dyDescent="0.6">
      <c r="A160" s="22"/>
      <c r="B160" s="13" t="s">
        <v>75</v>
      </c>
      <c r="C160" s="80">
        <f>+C140/SUM(C72:I72)*1000</f>
        <v>47.854670322959088</v>
      </c>
      <c r="M160" s="74"/>
      <c r="AU160" s="55"/>
      <c r="AV160" s="55"/>
      <c r="AW160" s="55"/>
      <c r="AX160" s="55"/>
      <c r="AY160" s="55"/>
    </row>
    <row r="161" spans="1:51" x14ac:dyDescent="0.6">
      <c r="A161" s="22"/>
    </row>
    <row r="162" spans="1:51" x14ac:dyDescent="0.6">
      <c r="A162" s="18" t="s">
        <v>76</v>
      </c>
      <c r="B162" s="16" t="s">
        <v>139</v>
      </c>
      <c r="Q162" s="26" t="str">
        <f>+$E149</f>
        <v>RT{1}</v>
      </c>
      <c r="R162" s="26"/>
      <c r="S162" s="26"/>
      <c r="T162" s="26" t="str">
        <f>+$E149</f>
        <v>RT{1}</v>
      </c>
      <c r="U162" s="26"/>
      <c r="V162" s="26"/>
      <c r="W162" s="26" t="str">
        <f>+$E149</f>
        <v>RT{1}</v>
      </c>
      <c r="X162" s="26"/>
      <c r="Z162" s="26" t="str">
        <f>+$E149</f>
        <v>RT{1}</v>
      </c>
      <c r="AA162" s="26"/>
      <c r="AC162" s="26" t="str">
        <f>+$E149</f>
        <v>RT{1}</v>
      </c>
    </row>
    <row r="163" spans="1:51" x14ac:dyDescent="0.6">
      <c r="A163" s="22"/>
      <c r="B163" s="17" t="str">
        <f>'BGS PTY21 Cost Alloc'!$B$161</f>
        <v>obligations - annual average forecasted for 2022; costs are market estimates</v>
      </c>
      <c r="J163" s="26" t="s">
        <v>302</v>
      </c>
    </row>
    <row r="164" spans="1:51" x14ac:dyDescent="0.6">
      <c r="A164" s="22"/>
      <c r="B164" s="17" t="s">
        <v>77</v>
      </c>
      <c r="C164" s="26"/>
      <c r="D164" s="26"/>
      <c r="E164" s="26" t="str">
        <f>+E$13</f>
        <v>RT{1}</v>
      </c>
      <c r="F164" s="26" t="str">
        <f>+F$13</f>
        <v>RS{2}</v>
      </c>
      <c r="G164" s="26" t="str">
        <f>+G$13</f>
        <v>GS{3}</v>
      </c>
      <c r="H164" s="26" t="str">
        <f>+H$58</f>
        <v>GST {4}</v>
      </c>
      <c r="I164" s="26" t="str">
        <f>+I$13</f>
        <v>OL/SL</v>
      </c>
      <c r="J164" s="26" t="s">
        <v>165</v>
      </c>
      <c r="K164" s="26"/>
      <c r="L164" s="26"/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6">
      <c r="A165" s="22"/>
      <c r="P165" s="13" t="s">
        <v>14</v>
      </c>
      <c r="Q165" s="55">
        <f>SUMPRODUCT(E38:E41,M65:M68)</f>
        <v>26159.752399999998</v>
      </c>
      <c r="R165" s="55">
        <f>SUMPRODUCT(E38:E41,E65:E68)</f>
        <v>27055.982899999995</v>
      </c>
      <c r="T165" s="55">
        <f>Q76</f>
        <v>33558.612799999995</v>
      </c>
      <c r="U165" s="55">
        <f>T165-($Q$167*$Q165/($Q$165+$Q$166))</f>
        <v>32659.751167631843</v>
      </c>
      <c r="W165" s="55">
        <f>+T165-Q165</f>
        <v>7398.8603999999978</v>
      </c>
      <c r="X165" s="55">
        <f>-Q165+U165</f>
        <v>6499.9987676318451</v>
      </c>
      <c r="Z165" s="144">
        <f>+E152*Q165/1000</f>
        <v>1590.0422365627458</v>
      </c>
      <c r="AA165" s="144"/>
      <c r="AU165" s="82"/>
      <c r="AV165" s="82"/>
      <c r="AW165" s="82"/>
      <c r="AX165" s="82"/>
      <c r="AY165" s="82"/>
    </row>
    <row r="166" spans="1:51" ht="15.25" x14ac:dyDescent="1.05">
      <c r="A166" s="22"/>
      <c r="B166" s="13" t="s">
        <v>78</v>
      </c>
      <c r="C166" s="87"/>
      <c r="D166" s="87"/>
      <c r="E166" s="87">
        <f>'BGS PTY21 Cost Alloc'!E164</f>
        <v>45.363674999999986</v>
      </c>
      <c r="F166" s="87">
        <f>'BGS PTY21 Cost Alloc'!F164</f>
        <v>3120.6010289999999</v>
      </c>
      <c r="G166" s="87">
        <f>'BGS PTY21 Cost Alloc'!G164</f>
        <v>1402.7064789999999</v>
      </c>
      <c r="H166" s="87">
        <f>'BGS PTY21 Cost Alloc'!H164</f>
        <v>26.353576999999991</v>
      </c>
      <c r="I166" s="87">
        <f>'BGS PTY21 Cost Alloc'!I164</f>
        <v>0.50636199999999998</v>
      </c>
      <c r="J166" s="87">
        <f>SUM(E166:I166)</f>
        <v>4595.5311220000003</v>
      </c>
      <c r="K166" s="87"/>
      <c r="L166" s="87"/>
      <c r="M166" s="26"/>
      <c r="P166" s="13" t="s">
        <v>15</v>
      </c>
      <c r="Q166" s="55">
        <f>SUMPRODUCT(Q38:Q41,M65:M68)</f>
        <v>36472.247600000002</v>
      </c>
      <c r="R166" s="55">
        <f>SUMPRODUCT(Q38:Q41,E65:E68)</f>
        <v>37729.017099999997</v>
      </c>
      <c r="T166" s="55">
        <f>Q77</f>
        <v>31226.387200000005</v>
      </c>
      <c r="U166" s="55">
        <f>T166-($Q$167*$Q166/($Q$165+$Q$166))</f>
        <v>29973.183289175857</v>
      </c>
      <c r="W166" s="55">
        <f>+T166-Q166</f>
        <v>-5245.8603999999978</v>
      </c>
      <c r="X166" s="55">
        <f>-Q166+U166</f>
        <v>-6499.0643108241457</v>
      </c>
      <c r="Z166" s="144">
        <f>+E153*Q166/1000</f>
        <v>1489.2966474193099</v>
      </c>
      <c r="AA166" s="85"/>
      <c r="AU166" s="82"/>
      <c r="AV166" s="82"/>
      <c r="AW166" s="82"/>
      <c r="AX166" s="82"/>
      <c r="AY166" s="82"/>
    </row>
    <row r="167" spans="1:51" ht="15.25" x14ac:dyDescent="1.05">
      <c r="A167" s="22"/>
      <c r="P167" s="13" t="s">
        <v>191</v>
      </c>
      <c r="Q167" s="55">
        <f>SUM(W65:W68)/1000</f>
        <v>2152.0655431923001</v>
      </c>
      <c r="R167" s="55"/>
      <c r="T167" s="55">
        <v>0</v>
      </c>
      <c r="U167" s="55">
        <v>0</v>
      </c>
      <c r="W167" s="55">
        <f>+T167-Q167</f>
        <v>-2152.0655431923001</v>
      </c>
      <c r="X167" s="55"/>
      <c r="Z167" s="85">
        <f>+E151*Q167/1000</f>
        <v>105.80707338036574</v>
      </c>
      <c r="AU167" s="82"/>
      <c r="AV167" s="82"/>
      <c r="AW167" s="82"/>
      <c r="AX167" s="82"/>
      <c r="AY167" s="82"/>
    </row>
    <row r="168" spans="1:51" x14ac:dyDescent="0.6">
      <c r="A168" s="22"/>
      <c r="B168" s="13" t="s">
        <v>79</v>
      </c>
      <c r="C168" s="88" t="s">
        <v>80</v>
      </c>
      <c r="D168" s="86"/>
      <c r="E168" s="67"/>
      <c r="F168" s="67"/>
      <c r="G168" s="67"/>
      <c r="H168" s="67"/>
      <c r="I168" s="67"/>
      <c r="J168" s="86"/>
      <c r="K168" s="86"/>
      <c r="L168" s="86"/>
      <c r="M168" s="87"/>
      <c r="Z168" s="144">
        <f>SUM(Z165:Z167)</f>
        <v>3185.1459573624211</v>
      </c>
      <c r="AA168" s="144"/>
      <c r="AC168" s="81">
        <f>+E130</f>
        <v>3185.1777333783944</v>
      </c>
      <c r="AU168" s="82"/>
      <c r="AV168" s="82"/>
      <c r="AW168" s="82"/>
      <c r="AX168" s="82"/>
      <c r="AY168" s="82"/>
    </row>
    <row r="169" spans="1:51" x14ac:dyDescent="0.6">
      <c r="A169" s="22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6">
      <c r="A170" s="22"/>
      <c r="B170" s="13" t="s">
        <v>81</v>
      </c>
      <c r="I170" s="86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45336.398500000003</v>
      </c>
      <c r="R170" s="55">
        <f>SUMPRODUCT(E33:E37,E60:E64)+SUMPRODUCT(E42:E44,E69:E71)</f>
        <v>47243.095199999996</v>
      </c>
      <c r="T170" s="55">
        <f>Q72</f>
        <v>62735.22</v>
      </c>
      <c r="U170" s="55">
        <f>T170-($Q$172*$Q170/($Q$170+$Q$171))</f>
        <v>60835.123218913381</v>
      </c>
      <c r="W170" s="55">
        <f>+T170-Q170</f>
        <v>17398.821499999998</v>
      </c>
      <c r="X170" s="55">
        <f>-Q170+U170</f>
        <v>15498.724718913378</v>
      </c>
      <c r="Z170" s="144">
        <f>+E156*Q170/1000</f>
        <v>2418.4562354219624</v>
      </c>
      <c r="AA170" s="144"/>
      <c r="AC170" s="81"/>
      <c r="AU170" s="82"/>
      <c r="AV170" s="82"/>
      <c r="AW170" s="82"/>
      <c r="AX170" s="82"/>
      <c r="AY170" s="82"/>
    </row>
    <row r="171" spans="1:51" ht="15.25" x14ac:dyDescent="1.05">
      <c r="A171" s="22"/>
      <c r="D171" s="89" t="s">
        <v>82</v>
      </c>
      <c r="E171" s="136">
        <v>122</v>
      </c>
      <c r="G171" s="89" t="s">
        <v>83</v>
      </c>
      <c r="H171" s="90">
        <v>4</v>
      </c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80501.601500000004</v>
      </c>
      <c r="R171" s="55">
        <f>SUMPRODUCT(Q33:Q37,E60:E64)+SUMPRODUCT(Q42:Q44,E69:E71)</f>
        <v>83868.904800000004</v>
      </c>
      <c r="T171" s="55">
        <f>Q73</f>
        <v>68376.78</v>
      </c>
      <c r="U171" s="55">
        <f>T171-($Q$172*$Q171/($Q$170+$Q$171))</f>
        <v>65002.872081785717</v>
      </c>
      <c r="W171" s="55">
        <f>+T171-Q171</f>
        <v>-12124.821500000005</v>
      </c>
      <c r="X171" s="55">
        <f>-Q171+U171</f>
        <v>-15498.729418214287</v>
      </c>
      <c r="Z171" s="144">
        <f>+E157*Q171/1000</f>
        <v>3503.11502129368</v>
      </c>
      <c r="AA171" s="85"/>
      <c r="AC171" s="81"/>
      <c r="AU171" s="82"/>
      <c r="AV171" s="82"/>
      <c r="AW171" s="82"/>
      <c r="AX171" s="82"/>
      <c r="AY171" s="82"/>
    </row>
    <row r="172" spans="1:51" ht="15.25" x14ac:dyDescent="1.05">
      <c r="A172" s="22"/>
      <c r="D172" s="91" t="s">
        <v>84</v>
      </c>
      <c r="E172" s="90">
        <v>244</v>
      </c>
      <c r="G172" s="91" t="s">
        <v>85</v>
      </c>
      <c r="H172" s="90">
        <v>8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5274.0046993009</v>
      </c>
      <c r="T172" s="13">
        <v>0</v>
      </c>
      <c r="U172" s="55">
        <v>0</v>
      </c>
      <c r="W172" s="55">
        <f>+T172-Q172</f>
        <v>-5274.0046993009</v>
      </c>
      <c r="X172" s="55"/>
      <c r="Z172" s="85">
        <f>+E155*Q172/1000</f>
        <v>248.1819634017439</v>
      </c>
      <c r="AU172" s="82"/>
      <c r="AV172" s="82"/>
      <c r="AW172" s="82"/>
      <c r="AX172" s="82"/>
      <c r="AY172" s="82"/>
    </row>
    <row r="173" spans="1:51" x14ac:dyDescent="0.6">
      <c r="A173" s="22"/>
      <c r="G173" s="89" t="s">
        <v>86</v>
      </c>
      <c r="H173" s="13">
        <f>+H171+H172</f>
        <v>12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6169.7532201173863</v>
      </c>
      <c r="AA173" s="144"/>
      <c r="AC173" s="81">
        <f>+E134</f>
        <v>6169.8150534152473</v>
      </c>
      <c r="AU173" s="81"/>
      <c r="AV173" s="81"/>
      <c r="AW173" s="81"/>
      <c r="AX173" s="81"/>
      <c r="AY173" s="81"/>
    </row>
    <row r="174" spans="1:51" ht="15.25" x14ac:dyDescent="1.05">
      <c r="A174" s="22"/>
      <c r="B174" s="21" t="s">
        <v>158</v>
      </c>
      <c r="C174" s="92"/>
      <c r="D174" s="93"/>
      <c r="K174" s="94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6">
      <c r="A175" s="22"/>
      <c r="B175" s="307"/>
      <c r="C175" s="92"/>
      <c r="D175" s="373"/>
      <c r="E175" s="93"/>
      <c r="G175" s="346"/>
      <c r="H175" s="84"/>
      <c r="K175" s="94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9354.9927867936422</v>
      </c>
    </row>
    <row r="176" spans="1:51" x14ac:dyDescent="0.6">
      <c r="A176" s="22"/>
      <c r="D176" s="38" t="s">
        <v>221</v>
      </c>
      <c r="E176" s="38" t="s">
        <v>218</v>
      </c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6">
      <c r="A177" s="22"/>
      <c r="B177" s="21" t="s">
        <v>87</v>
      </c>
      <c r="C177" s="13" t="s">
        <v>25</v>
      </c>
      <c r="D177" s="11">
        <v>97.75</v>
      </c>
      <c r="E177" s="162">
        <f>ROUND(D177*$H$305,3)</f>
        <v>100.88200000000001</v>
      </c>
      <c r="F177" s="93" t="s">
        <v>88</v>
      </c>
      <c r="G177" s="89" t="s">
        <v>162</v>
      </c>
      <c r="H177" s="81">
        <f>ROUND(E177*E171*J$166,0)</f>
        <v>56559977</v>
      </c>
      <c r="I177" s="89"/>
      <c r="J177" s="89"/>
      <c r="K177" s="142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ht="15.25" x14ac:dyDescent="1.05">
      <c r="A178" s="22"/>
      <c r="B178" s="21"/>
      <c r="C178" s="13" t="s">
        <v>26</v>
      </c>
      <c r="D178" s="11">
        <f>D177</f>
        <v>97.75</v>
      </c>
      <c r="E178" s="162">
        <f>ROUND(D178*$H$305,3)</f>
        <v>100.88200000000001</v>
      </c>
      <c r="F178" s="93" t="s">
        <v>88</v>
      </c>
      <c r="G178" s="121" t="s">
        <v>163</v>
      </c>
      <c r="H178" s="122">
        <f>ROUND(E178*E172*J$166,0)</f>
        <v>113119954</v>
      </c>
      <c r="I178" s="89"/>
      <c r="J178" s="89"/>
      <c r="K178" s="142"/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.25" x14ac:dyDescent="1.05">
      <c r="A179" s="22"/>
      <c r="B179" s="400"/>
      <c r="C179" s="400"/>
      <c r="D179" s="400"/>
      <c r="E179" s="400"/>
      <c r="F179" s="400"/>
      <c r="G179" s="89" t="s">
        <v>164</v>
      </c>
      <c r="H179" s="81">
        <f>SUM(H177:H178)</f>
        <v>169679931</v>
      </c>
      <c r="I179" s="89"/>
      <c r="J179" s="453">
        <f>H179/(C289*1000)</f>
        <v>0.13575360042448747</v>
      </c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x14ac:dyDescent="0.6">
      <c r="A180" s="22"/>
      <c r="B180" s="400"/>
      <c r="C180" s="400"/>
      <c r="D180" s="400"/>
      <c r="E180" s="400"/>
      <c r="F180" s="400"/>
      <c r="G180" s="89"/>
      <c r="H180" s="81"/>
      <c r="I180" s="89"/>
      <c r="J180" s="89"/>
      <c r="K180" s="142"/>
      <c r="Z180" s="144"/>
      <c r="AA180" s="144"/>
      <c r="AC180" s="81"/>
    </row>
    <row r="181" spans="1:50" x14ac:dyDescent="0.6">
      <c r="A181" s="22"/>
      <c r="B181" s="13" t="s">
        <v>153</v>
      </c>
      <c r="I181" s="89"/>
      <c r="J181" s="89"/>
      <c r="K181" s="142"/>
    </row>
    <row r="182" spans="1:50" x14ac:dyDescent="0.6">
      <c r="A182" s="22"/>
      <c r="B182" s="17" t="s">
        <v>154</v>
      </c>
      <c r="I182" s="89"/>
      <c r="J182" s="89"/>
      <c r="K182" s="142"/>
    </row>
    <row r="183" spans="1:50" x14ac:dyDescent="0.6">
      <c r="A183" s="22"/>
      <c r="B183" s="17"/>
      <c r="C183" s="105" t="str">
        <f>" ---------- Rate "&amp;C30&amp;" ----------"</f>
        <v xml:space="preserve"> ---------- Rate  ----------</v>
      </c>
      <c r="D183" s="106"/>
      <c r="E183" s="106"/>
      <c r="I183" s="89"/>
      <c r="J183" s="89"/>
      <c r="K183" s="142"/>
    </row>
    <row r="184" spans="1:50" x14ac:dyDescent="0.6">
      <c r="A184" s="22"/>
      <c r="C184" s="38" t="s">
        <v>140</v>
      </c>
      <c r="E184" s="38" t="s">
        <v>141</v>
      </c>
      <c r="I184" s="89"/>
      <c r="J184" s="89"/>
      <c r="K184" s="142"/>
    </row>
    <row r="185" spans="1:50" x14ac:dyDescent="0.6">
      <c r="A185" s="22"/>
      <c r="B185" s="89" t="s">
        <v>142</v>
      </c>
      <c r="C185" s="107"/>
      <c r="E185" s="118">
        <f>SUM(R65/(R65+R66))</f>
        <v>0.52422952981238513</v>
      </c>
      <c r="F185" s="112"/>
      <c r="I185" s="89"/>
      <c r="J185" s="89"/>
      <c r="K185" s="142"/>
    </row>
    <row r="186" spans="1:50" x14ac:dyDescent="0.6">
      <c r="A186" s="22"/>
      <c r="B186" s="89" t="s">
        <v>144</v>
      </c>
      <c r="C186" s="108"/>
      <c r="E186" s="109">
        <f>1-E185</f>
        <v>0.47577047018761487</v>
      </c>
      <c r="G186" s="53"/>
      <c r="I186" s="89"/>
      <c r="J186" s="89"/>
      <c r="K186" s="142"/>
    </row>
    <row r="187" spans="1:50" x14ac:dyDescent="0.6">
      <c r="A187" s="22"/>
      <c r="B187" s="110" t="s">
        <v>155</v>
      </c>
      <c r="C187" s="111">
        <v>0.86519999999999997</v>
      </c>
      <c r="D187" s="13" t="s">
        <v>143</v>
      </c>
      <c r="J187" s="89"/>
      <c r="K187" s="142"/>
      <c r="AX187" s="118"/>
    </row>
    <row r="188" spans="1:50" x14ac:dyDescent="0.6">
      <c r="A188" s="13"/>
      <c r="J188" s="89"/>
      <c r="K188" s="142"/>
    </row>
    <row r="189" spans="1:50" x14ac:dyDescent="0.6">
      <c r="A189" s="18" t="s">
        <v>89</v>
      </c>
      <c r="B189" s="16" t="s">
        <v>90</v>
      </c>
      <c r="D189" s="38" t="s">
        <v>221</v>
      </c>
      <c r="E189" s="38" t="s">
        <v>218</v>
      </c>
    </row>
    <row r="190" spans="1:50" x14ac:dyDescent="0.6">
      <c r="A190" s="22"/>
      <c r="B190" s="17" t="s">
        <v>309</v>
      </c>
      <c r="D190" s="375">
        <v>2</v>
      </c>
    </row>
    <row r="191" spans="1:50" x14ac:dyDescent="0.6">
      <c r="A191" s="22"/>
      <c r="B191" s="17" t="s">
        <v>312</v>
      </c>
      <c r="D191" s="376">
        <v>16.09</v>
      </c>
      <c r="F191" s="93"/>
    </row>
    <row r="192" spans="1:50" x14ac:dyDescent="0.6">
      <c r="A192" s="22"/>
      <c r="B192" s="17" t="s">
        <v>91</v>
      </c>
      <c r="D192" s="374">
        <f>D190+D191</f>
        <v>18.09</v>
      </c>
      <c r="E192" s="162">
        <f>ROUND(D192*$H$305,3)</f>
        <v>18.670000000000002</v>
      </c>
      <c r="F192" s="13" t="s">
        <v>92</v>
      </c>
    </row>
    <row r="193" spans="1:13" x14ac:dyDescent="0.6">
      <c r="A193" s="22"/>
      <c r="B193" s="17"/>
      <c r="E193" s="92"/>
      <c r="F193" s="93"/>
    </row>
    <row r="194" spans="1:13" x14ac:dyDescent="0.6">
      <c r="A194" s="18" t="s">
        <v>93</v>
      </c>
      <c r="B194" s="16" t="s">
        <v>167</v>
      </c>
    </row>
    <row r="195" spans="1:13" x14ac:dyDescent="0.6">
      <c r="A195" s="18"/>
      <c r="B195" s="16"/>
    </row>
    <row r="196" spans="1:13" x14ac:dyDescent="0.6">
      <c r="A196" s="18"/>
      <c r="B196" s="16"/>
      <c r="C196" s="26"/>
      <c r="D196" s="26"/>
      <c r="E196" s="26" t="str">
        <f>+E$13</f>
        <v>RT{1}</v>
      </c>
      <c r="F196" s="26" t="str">
        <f>+F$13</f>
        <v>RS{2}</v>
      </c>
      <c r="G196" s="26" t="str">
        <f>+G$13</f>
        <v>GS{3}</v>
      </c>
      <c r="H196" s="155" t="str">
        <f>+H$58</f>
        <v>GST {4}</v>
      </c>
      <c r="I196" s="26" t="str">
        <f>+I$13</f>
        <v>OL/SL</v>
      </c>
      <c r="J196" s="26"/>
    </row>
    <row r="197" spans="1:13" x14ac:dyDescent="0.6">
      <c r="A197" s="18"/>
      <c r="B197" s="16"/>
    </row>
    <row r="198" spans="1:13" x14ac:dyDescent="0.6">
      <c r="A198" s="22"/>
      <c r="B198" s="89" t="s">
        <v>94</v>
      </c>
      <c r="C198" s="145"/>
      <c r="D198" s="145"/>
      <c r="E198" s="146">
        <v>0</v>
      </c>
      <c r="F198" s="146">
        <v>0</v>
      </c>
      <c r="G198" s="146">
        <v>0</v>
      </c>
      <c r="H198" s="146">
        <v>0</v>
      </c>
      <c r="I198" s="146">
        <v>0</v>
      </c>
      <c r="J198" s="145"/>
      <c r="K198" s="145" t="s">
        <v>251</v>
      </c>
      <c r="L198" s="145"/>
    </row>
    <row r="199" spans="1:13" x14ac:dyDescent="0.6">
      <c r="A199" s="22"/>
      <c r="B199" s="89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1:13" x14ac:dyDescent="0.6">
      <c r="A200" s="22"/>
      <c r="B200" s="89" t="s">
        <v>131</v>
      </c>
      <c r="C200" s="145"/>
      <c r="D200" s="145"/>
      <c r="E200" s="146">
        <f>$H$179*(E$166/$J$166)/E$72</f>
        <v>8.5501791102529872</v>
      </c>
      <c r="F200" s="146">
        <f>$H$179*(F$166/$J$166)/F$72</f>
        <v>12.137690968496013</v>
      </c>
      <c r="G200" s="146">
        <f>$H$179*(G$166/$J$166)/G$72</f>
        <v>9.0501807200410465</v>
      </c>
      <c r="H200" s="146">
        <f>$H$179*(H$166/$J$166)/H$72</f>
        <v>5.147313612603444</v>
      </c>
      <c r="I200" s="146">
        <f>$H$179*(I$166/$J$166)/I$72</f>
        <v>0.15978112379472847</v>
      </c>
      <c r="J200" s="145"/>
      <c r="K200" s="145"/>
      <c r="L200" s="145"/>
      <c r="M200" s="309">
        <f>E198*SUM(E255:H255)/1000000</f>
        <v>0</v>
      </c>
    </row>
    <row r="201" spans="1:13" x14ac:dyDescent="0.6">
      <c r="A201" s="22"/>
      <c r="B201" s="89" t="s">
        <v>198</v>
      </c>
      <c r="C201" s="145"/>
      <c r="D201" s="145"/>
      <c r="E201" s="146">
        <f>$H$177*(E$166/$J$166)/SUM(E65:E68)</f>
        <v>8.6180156783269251</v>
      </c>
      <c r="F201" s="146">
        <f>$H$177*(F$166/$J$166)/SUM(F65:F68)</f>
        <v>9.7051082507793307</v>
      </c>
      <c r="G201" s="146">
        <f>$H$177*(G$166/$J$166)/SUM(G65:G68)</f>
        <v>8.1003138057794288</v>
      </c>
      <c r="H201" s="146"/>
      <c r="I201" s="146">
        <f>$H$177*(I$166/$J$166)/SUM(I65:I68)</f>
        <v>0.15977702736801924</v>
      </c>
      <c r="J201" s="145"/>
      <c r="K201" s="145"/>
      <c r="L201" s="145"/>
      <c r="M201" s="309" t="e">
        <f>J276-#REF!</f>
        <v>#REF!</v>
      </c>
    </row>
    <row r="202" spans="1:13" x14ac:dyDescent="0.6">
      <c r="A202" s="22"/>
      <c r="B202" s="89" t="s">
        <v>199</v>
      </c>
      <c r="C202" s="145"/>
      <c r="D202" s="145"/>
      <c r="E202" s="146">
        <f>$H$177*(E$166/$J$166)/R165</f>
        <v>20.635663017084841</v>
      </c>
      <c r="F202" s="146"/>
      <c r="G202" s="146"/>
      <c r="H202" s="146">
        <f>$H$177*(H$166/$J$166)/Q153</f>
        <v>11.083120180076492</v>
      </c>
      <c r="I202" s="146"/>
      <c r="J202" s="145"/>
      <c r="K202" s="145"/>
      <c r="L202" s="145"/>
      <c r="M202" s="145"/>
    </row>
    <row r="203" spans="1:13" x14ac:dyDescent="0.6">
      <c r="A203" s="22"/>
      <c r="B203" s="89" t="s">
        <v>201</v>
      </c>
      <c r="C203" s="145"/>
      <c r="D203" s="145"/>
      <c r="E203" s="146">
        <f>$H$178*(E$166/$J$166)/(E72-SUM(E65:E68))</f>
        <v>8.5166597370249839</v>
      </c>
      <c r="F203" s="146">
        <f>$H$178*(F$166/$J$166)/(F72-SUM(F65:F68))</f>
        <v>13.876798882995253</v>
      </c>
      <c r="G203" s="146">
        <f>$H$178*(G$166/$J$166)/(G72-SUM(G65:G68))</f>
        <v>9.61385537238667</v>
      </c>
      <c r="H203" s="146"/>
      <c r="I203" s="146">
        <f>$H$178*(I$166/$J$166)/(I72-SUM(I65:I68))</f>
        <v>0.1597831720868535</v>
      </c>
      <c r="J203" s="145"/>
      <c r="K203" s="145"/>
      <c r="L203" s="145"/>
      <c r="M203" s="145"/>
    </row>
    <row r="204" spans="1:13" x14ac:dyDescent="0.6">
      <c r="A204" s="22"/>
      <c r="B204" s="89" t="s">
        <v>200</v>
      </c>
      <c r="C204" s="145"/>
      <c r="D204" s="145"/>
      <c r="E204" s="146">
        <f>$H$178*(E$166/$J$166)/R170</f>
        <v>23.635968107373703</v>
      </c>
      <c r="F204" s="147"/>
      <c r="G204" s="147"/>
      <c r="H204" s="146">
        <f>$H$178*(H$166/$J$166)/Q157</f>
        <v>12.232294529881996</v>
      </c>
      <c r="I204" s="146"/>
      <c r="J204" s="145"/>
      <c r="K204" s="145"/>
      <c r="L204" s="145"/>
      <c r="M204" s="145"/>
    </row>
    <row r="205" spans="1:13" x14ac:dyDescent="0.6">
      <c r="A205" s="22"/>
      <c r="B205" s="89"/>
      <c r="C205" s="145"/>
      <c r="D205" s="145"/>
      <c r="E205" s="146"/>
      <c r="F205" s="146"/>
      <c r="G205" s="146"/>
      <c r="H205" s="146"/>
      <c r="I205" s="146"/>
      <c r="J205" s="145"/>
      <c r="K205" s="145"/>
      <c r="L205" s="145"/>
      <c r="M205" s="145"/>
    </row>
    <row r="206" spans="1:13" ht="15.5" x14ac:dyDescent="0.7">
      <c r="A206" s="22"/>
      <c r="B206" s="578" t="str">
        <f>$B$1</f>
        <v xml:space="preserve">Jersey Central Power &amp; Light </v>
      </c>
      <c r="C206" s="578"/>
      <c r="D206" s="578"/>
      <c r="E206" s="578"/>
      <c r="F206" s="578"/>
      <c r="G206" s="578"/>
      <c r="H206" s="578"/>
      <c r="I206" s="578"/>
      <c r="J206" s="578"/>
      <c r="K206" s="578"/>
      <c r="L206" s="578"/>
      <c r="M206" s="145"/>
    </row>
    <row r="207" spans="1:13" ht="15.5" x14ac:dyDescent="0.7">
      <c r="A207" s="22"/>
      <c r="B207" s="578" t="str">
        <f>$B$2</f>
        <v>Attachment 2</v>
      </c>
      <c r="C207" s="578"/>
      <c r="D207" s="578"/>
      <c r="E207" s="578"/>
      <c r="F207" s="578"/>
      <c r="G207" s="578"/>
      <c r="H207" s="578"/>
      <c r="I207" s="578"/>
      <c r="J207" s="578"/>
      <c r="K207" s="578"/>
      <c r="L207" s="578"/>
      <c r="M207" s="145"/>
    </row>
    <row r="208" spans="1:13" x14ac:dyDescent="0.6">
      <c r="A208" s="22"/>
      <c r="E208" s="145"/>
      <c r="F208" s="145"/>
      <c r="G208" s="145"/>
      <c r="H208" s="145"/>
      <c r="K208" s="145"/>
      <c r="L208" s="145"/>
      <c r="M208" s="145"/>
    </row>
    <row r="209" spans="1:18" x14ac:dyDescent="0.6">
      <c r="A209" s="22"/>
      <c r="M209" s="145"/>
      <c r="N209" s="145"/>
      <c r="O209" s="145"/>
      <c r="P209" s="145"/>
      <c r="Q209" s="145"/>
      <c r="R209" s="145"/>
    </row>
    <row r="210" spans="1:18" x14ac:dyDescent="0.6">
      <c r="A210" s="18" t="s">
        <v>95</v>
      </c>
      <c r="B210" s="16" t="s">
        <v>96</v>
      </c>
      <c r="M210" s="145"/>
      <c r="N210" s="145"/>
      <c r="O210" s="145"/>
      <c r="P210" s="145"/>
      <c r="Q210" s="145"/>
      <c r="R210" s="145"/>
    </row>
    <row r="211" spans="1:18" x14ac:dyDescent="0.6">
      <c r="A211" s="22"/>
      <c r="B211" s="16"/>
      <c r="M211" s="145"/>
      <c r="N211" s="145"/>
      <c r="O211" s="145"/>
      <c r="P211" s="145"/>
      <c r="Q211" s="145"/>
      <c r="R211" s="145"/>
    </row>
    <row r="212" spans="1:18" x14ac:dyDescent="0.6">
      <c r="A212" s="22"/>
      <c r="B212" s="16" t="s">
        <v>97</v>
      </c>
      <c r="M212" s="145"/>
      <c r="N212" s="145"/>
      <c r="O212" s="145"/>
      <c r="P212" s="145"/>
      <c r="Q212" s="145"/>
      <c r="R212" s="145"/>
    </row>
    <row r="213" spans="1:18" x14ac:dyDescent="0.6">
      <c r="A213" s="22"/>
      <c r="B213" s="17" t="s">
        <v>401</v>
      </c>
      <c r="M213" s="145"/>
      <c r="N213" s="145"/>
      <c r="O213" s="145"/>
      <c r="P213" s="145"/>
      <c r="Q213" s="145"/>
      <c r="R213" s="145"/>
    </row>
    <row r="214" spans="1:18" x14ac:dyDescent="0.6">
      <c r="A214" s="22"/>
      <c r="B214" s="17" t="s">
        <v>21</v>
      </c>
      <c r="M214" s="145"/>
      <c r="N214" s="145"/>
      <c r="O214" s="145"/>
      <c r="P214" s="145"/>
      <c r="Q214" s="145"/>
      <c r="R214" s="145"/>
    </row>
    <row r="215" spans="1:18" x14ac:dyDescent="0.6">
      <c r="A215" s="22"/>
      <c r="C215" s="26"/>
      <c r="D215" s="26"/>
      <c r="E215" s="26" t="str">
        <f>+E$13</f>
        <v>RT{1}</v>
      </c>
      <c r="F215" s="26" t="str">
        <f>+F$13</f>
        <v>RS{2}</v>
      </c>
      <c r="G215" s="26" t="str">
        <f>+G$13</f>
        <v>GS{3}</v>
      </c>
      <c r="H215" s="155" t="str">
        <f>+H$58</f>
        <v>GST {4}</v>
      </c>
      <c r="I215" s="26" t="str">
        <f>+I$13</f>
        <v>OL/SL</v>
      </c>
      <c r="J215" s="26"/>
      <c r="M215" s="145"/>
      <c r="N215" s="145"/>
      <c r="O215" s="145"/>
      <c r="P215" s="145"/>
      <c r="Q215" s="145"/>
      <c r="R215" s="145"/>
    </row>
    <row r="216" spans="1:18" x14ac:dyDescent="0.6">
      <c r="A216" s="22"/>
      <c r="C216" s="26"/>
      <c r="D216" s="26"/>
      <c r="E216" s="74"/>
      <c r="F216" s="26"/>
      <c r="G216" s="26"/>
      <c r="M216" s="145"/>
      <c r="N216" s="145"/>
      <c r="O216" s="145"/>
      <c r="P216" s="145"/>
      <c r="Q216" s="145"/>
      <c r="R216" s="145"/>
    </row>
    <row r="217" spans="1:18" x14ac:dyDescent="0.6">
      <c r="A217" s="22"/>
      <c r="B217" s="28" t="s">
        <v>17</v>
      </c>
      <c r="C217" s="74"/>
      <c r="D217" s="74"/>
      <c r="E217" s="74">
        <f>+E151+(E$95*$E$192)+E$198+E201</f>
        <v>78.656419512838241</v>
      </c>
      <c r="F217" s="74">
        <f>+F151+(F$95*$E$192)+F$198+F201</f>
        <v>79.884366714428253</v>
      </c>
      <c r="G217" s="74">
        <f>+G151+(G$95*$E$192)+G$198+G201</f>
        <v>79.243572416859308</v>
      </c>
      <c r="H217" s="74"/>
      <c r="I217" s="74">
        <f>+I151+(I$95*$E$192)+I$198+I201</f>
        <v>65.871742133197657</v>
      </c>
      <c r="J217" s="74"/>
      <c r="K217" s="74"/>
      <c r="M217" s="145"/>
      <c r="N217" s="145"/>
      <c r="O217" s="145"/>
      <c r="P217" s="145"/>
      <c r="Q217" s="145"/>
      <c r="R217" s="145"/>
    </row>
    <row r="218" spans="1:18" x14ac:dyDescent="0.6">
      <c r="A218" s="22"/>
      <c r="B218" s="77" t="s">
        <v>72</v>
      </c>
      <c r="C218" s="74"/>
      <c r="D218" s="74"/>
      <c r="E218" s="74">
        <f>+E152+(E$95*$E$192)+E$198+E$202</f>
        <v>102.29071496741727</v>
      </c>
      <c r="F218" s="74"/>
      <c r="G218" s="74"/>
      <c r="H218" s="74">
        <f>+H152+(H$95*$E$192)+H$198+H$202</f>
        <v>92.64206008108772</v>
      </c>
      <c r="I218" s="74"/>
      <c r="J218" s="74"/>
      <c r="M218" s="145"/>
      <c r="N218" s="145"/>
      <c r="O218" s="145"/>
      <c r="P218" s="145"/>
      <c r="Q218" s="145"/>
      <c r="R218" s="145"/>
    </row>
    <row r="219" spans="1:18" x14ac:dyDescent="0.6">
      <c r="A219" s="22"/>
      <c r="B219" s="77" t="s">
        <v>73</v>
      </c>
      <c r="C219" s="74"/>
      <c r="D219" s="74"/>
      <c r="E219" s="74">
        <f>+E153+(E$95*$E$192)+E$198</f>
        <v>61.706740952839269</v>
      </c>
      <c r="F219" s="74"/>
      <c r="G219" s="74"/>
      <c r="H219" s="74">
        <f>+H153+(H$95*$E$192)+H$198</f>
        <v>61.956812928114459</v>
      </c>
      <c r="I219" s="74"/>
      <c r="J219" s="74"/>
      <c r="M219" s="145"/>
      <c r="N219" s="145"/>
      <c r="O219" s="145"/>
      <c r="P219" s="145"/>
      <c r="Q219" s="145"/>
      <c r="R219" s="145"/>
    </row>
    <row r="220" spans="1:18" x14ac:dyDescent="0.6">
      <c r="A220" s="22"/>
      <c r="B220" s="89" t="s">
        <v>142</v>
      </c>
      <c r="C220" s="74"/>
      <c r="D220" s="74"/>
      <c r="E220" s="74"/>
      <c r="F220" s="74">
        <f>(F217*SUM(F65:F68)-C187*10*E186*SUM(F65:F68))/SUM(F65:F68)</f>
        <v>75.768000606365021</v>
      </c>
      <c r="G220" s="74"/>
      <c r="H220" s="74"/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6">
      <c r="A221" s="22"/>
      <c r="B221" s="89" t="s">
        <v>144</v>
      </c>
      <c r="C221" s="74"/>
      <c r="D221" s="74"/>
      <c r="E221" s="74"/>
      <c r="F221" s="74">
        <f>+F220+C187*10</f>
        <v>84.420000606365022</v>
      </c>
      <c r="G221" s="119"/>
      <c r="H221" s="74"/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6">
      <c r="A222" s="22"/>
      <c r="C222" s="74"/>
      <c r="D222" s="74"/>
      <c r="E222" s="74"/>
      <c r="F222" s="74"/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6">
      <c r="A223" s="22"/>
      <c r="B223" s="28" t="s">
        <v>18</v>
      </c>
      <c r="C223" s="74"/>
      <c r="D223" s="74"/>
      <c r="E223" s="74">
        <f>+E155+(E$95*$E$192)+E$198+E203</f>
        <v>76.447297724452426</v>
      </c>
      <c r="F223" s="74">
        <f>+F155+(F$95*$E$192)+F$198+F203</f>
        <v>81.359959889172472</v>
      </c>
      <c r="G223" s="74">
        <f>+G155+(G$95*$E$192)+G$198+G203</f>
        <v>77.358830617492288</v>
      </c>
      <c r="H223" s="74"/>
      <c r="I223" s="74">
        <f>+I155+(I$95*$E$192)+I$198+I203</f>
        <v>65.064435515855038</v>
      </c>
      <c r="J223" s="74"/>
      <c r="K223" s="74"/>
      <c r="M223" s="145"/>
      <c r="N223" s="145"/>
      <c r="O223" s="145"/>
      <c r="P223" s="145"/>
      <c r="Q223" s="145"/>
      <c r="R223" s="145"/>
    </row>
    <row r="224" spans="1:18" x14ac:dyDescent="0.6">
      <c r="A224" s="22"/>
      <c r="B224" s="77" t="s">
        <v>72</v>
      </c>
      <c r="C224" s="74"/>
      <c r="D224" s="74"/>
      <c r="E224" s="74">
        <f>+E156+(E$95*$E$192)+E$198+E$204</f>
        <v>97.853706169283498</v>
      </c>
      <c r="F224" s="74"/>
      <c r="G224" s="74"/>
      <c r="H224" s="74">
        <f>+H156+(H$95*$E$192)+H$198+H$204</f>
        <v>85.291352457622708</v>
      </c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6">
      <c r="A225" s="22"/>
      <c r="B225" s="77" t="s">
        <v>73</v>
      </c>
      <c r="C225" s="74"/>
      <c r="D225" s="74"/>
      <c r="E225" s="74">
        <f>+E157+(E$95*$E$192)+E$198</f>
        <v>64.389136656901002</v>
      </c>
      <c r="F225" s="74"/>
      <c r="G225" s="74"/>
      <c r="H225" s="74">
        <f>+H157+(H$95*$E$192)+H$198</f>
        <v>63.070880980408717</v>
      </c>
      <c r="I225" s="74"/>
      <c r="J225" s="74"/>
      <c r="M225" s="145"/>
      <c r="N225" s="145"/>
      <c r="O225" s="145"/>
      <c r="P225" s="145"/>
      <c r="Q225" s="145"/>
      <c r="R225" s="145"/>
    </row>
    <row r="226" spans="1:18" x14ac:dyDescent="0.6">
      <c r="A226" s="22"/>
      <c r="C226" s="74"/>
      <c r="D226" s="74"/>
      <c r="E226" s="74"/>
      <c r="F226" s="74"/>
      <c r="G226" s="74"/>
      <c r="H226" s="74"/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6">
      <c r="A227" s="22"/>
      <c r="B227" s="13" t="s">
        <v>98</v>
      </c>
      <c r="C227" s="74"/>
      <c r="D227" s="74"/>
      <c r="E227" s="74">
        <f>+E159+(E$95*$E$192)+E$198+E200</f>
        <v>77.177875298690793</v>
      </c>
      <c r="F227" s="74">
        <f>+F159+(F$95*$E$192)+F$198+F200</f>
        <v>80.744809822923287</v>
      </c>
      <c r="G227" s="74">
        <f>+G159+(G$95*$E$192)+G$198+G200</f>
        <v>78.060748028918866</v>
      </c>
      <c r="H227" s="74">
        <f>((H218*SUMPRODUCT(H38:H41,H65:H68)+H219*SUMPRODUCT(T38:T41,H65:H68))+(H224*(SUMPRODUCT(H33:H37,H60:H64)+SUMPRODUCT(H42:H44,H69:H71))+H225*(SUMPRODUCT(T33:T37,H60:H64)+SUMPRODUCT(T42:T44,H69:H71))))/H72</f>
        <v>73.671756492641336</v>
      </c>
      <c r="I227" s="74">
        <f>+I159+(I$95*$E$192)+I$198+I200</f>
        <v>65.333544620984853</v>
      </c>
      <c r="J227" s="74"/>
      <c r="K227" s="74"/>
      <c r="M227" s="145"/>
      <c r="N227" s="145"/>
      <c r="O227" s="145"/>
      <c r="P227" s="145"/>
      <c r="Q227" s="145"/>
      <c r="R227" s="145"/>
    </row>
    <row r="228" spans="1:18" x14ac:dyDescent="0.6">
      <c r="A228" s="22"/>
      <c r="C228" s="74"/>
      <c r="D228" s="74"/>
      <c r="E228" s="74"/>
      <c r="F228" s="74"/>
      <c r="G228" s="74"/>
      <c r="H228" s="74"/>
      <c r="I228" s="74"/>
      <c r="J228" s="74"/>
      <c r="K228" s="74"/>
      <c r="M228" s="145"/>
      <c r="N228" s="145"/>
      <c r="O228" s="145"/>
      <c r="P228" s="145"/>
      <c r="Q228" s="145"/>
      <c r="R228" s="145"/>
    </row>
    <row r="229" spans="1:18" x14ac:dyDescent="0.6">
      <c r="A229" s="22"/>
      <c r="B229" s="16" t="s">
        <v>99</v>
      </c>
      <c r="M229" s="145"/>
      <c r="N229" s="145"/>
      <c r="O229" s="145"/>
      <c r="P229" s="145"/>
      <c r="Q229" s="145"/>
      <c r="R229" s="145"/>
    </row>
    <row r="230" spans="1:18" x14ac:dyDescent="0.6">
      <c r="A230" s="22"/>
      <c r="B230" s="17" t="s">
        <v>100</v>
      </c>
      <c r="M230" s="145"/>
      <c r="N230" s="145"/>
      <c r="O230" s="145"/>
      <c r="P230" s="145"/>
      <c r="Q230" s="145"/>
      <c r="R230" s="145"/>
    </row>
    <row r="231" spans="1:18" x14ac:dyDescent="0.6">
      <c r="A231" s="22"/>
      <c r="B231" s="17" t="s">
        <v>21</v>
      </c>
      <c r="M231" s="145"/>
      <c r="N231" s="145"/>
      <c r="O231" s="145"/>
      <c r="P231" s="145"/>
      <c r="Q231" s="145"/>
      <c r="R231" s="145"/>
    </row>
    <row r="232" spans="1:18" x14ac:dyDescent="0.6">
      <c r="A232" s="22"/>
      <c r="B232" s="77"/>
      <c r="C232" s="74"/>
      <c r="D232" s="74"/>
      <c r="I232" s="89"/>
      <c r="J232" s="80"/>
      <c r="K232" s="93"/>
      <c r="M232" s="145"/>
      <c r="N232" s="145"/>
      <c r="O232" s="145"/>
      <c r="P232" s="145"/>
      <c r="Q232" s="145"/>
      <c r="R232" s="145"/>
    </row>
    <row r="233" spans="1:18" x14ac:dyDescent="0.6">
      <c r="A233" s="22"/>
      <c r="C233" s="74"/>
      <c r="D233" s="74"/>
      <c r="M233" s="145"/>
      <c r="N233" s="145"/>
      <c r="O233" s="145"/>
      <c r="P233" s="145"/>
      <c r="Q233" s="145"/>
      <c r="R233" s="145"/>
    </row>
    <row r="234" spans="1:18" x14ac:dyDescent="0.6">
      <c r="A234" s="22"/>
      <c r="B234" s="37" t="s">
        <v>101</v>
      </c>
      <c r="C234" s="74"/>
      <c r="D234" s="74"/>
      <c r="I234" s="96"/>
      <c r="K234" s="93"/>
    </row>
    <row r="235" spans="1:18" x14ac:dyDescent="0.6">
      <c r="A235" s="22"/>
      <c r="B235" s="77"/>
      <c r="C235" s="74"/>
      <c r="D235" s="74"/>
      <c r="I235" s="89"/>
      <c r="J235" s="97"/>
      <c r="K235" s="93"/>
    </row>
    <row r="236" spans="1:18" ht="15.5" x14ac:dyDescent="0.7">
      <c r="A236" s="22"/>
      <c r="B236" s="578" t="str">
        <f>$B$1</f>
        <v xml:space="preserve">Jersey Central Power &amp; Light </v>
      </c>
      <c r="C236" s="578"/>
      <c r="D236" s="578"/>
      <c r="E236" s="578"/>
      <c r="F236" s="578"/>
      <c r="G236" s="578"/>
      <c r="H236" s="578"/>
      <c r="I236" s="578"/>
      <c r="J236" s="578"/>
      <c r="K236" s="578"/>
      <c r="L236" s="578"/>
    </row>
    <row r="237" spans="1:18" ht="15.5" x14ac:dyDescent="0.7">
      <c r="A237" s="22"/>
      <c r="B237" s="578" t="str">
        <f>$B$2</f>
        <v>Attachment 2</v>
      </c>
      <c r="C237" s="578"/>
      <c r="D237" s="578"/>
      <c r="E237" s="578"/>
      <c r="F237" s="578"/>
      <c r="G237" s="578"/>
      <c r="H237" s="578"/>
      <c r="I237" s="578"/>
      <c r="J237" s="578"/>
      <c r="K237" s="578"/>
      <c r="L237" s="578"/>
    </row>
    <row r="238" spans="1:18" ht="15.5" x14ac:dyDescent="0.7">
      <c r="A238" s="22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</row>
    <row r="239" spans="1:18" ht="15.5" x14ac:dyDescent="0.7">
      <c r="A239" s="18" t="s">
        <v>106</v>
      </c>
      <c r="B239" s="163" t="s">
        <v>238</v>
      </c>
      <c r="C239" s="20"/>
      <c r="E239" s="165"/>
      <c r="F239" s="38"/>
      <c r="K239" s="166"/>
      <c r="L239" s="166"/>
    </row>
    <row r="240" spans="1:18" ht="15.5" x14ac:dyDescent="0.7">
      <c r="B240" s="13" t="s">
        <v>239</v>
      </c>
      <c r="K240" s="166"/>
      <c r="L240" s="166"/>
    </row>
    <row r="241" spans="1:12" ht="15.5" x14ac:dyDescent="0.7">
      <c r="E241" s="26" t="s">
        <v>61</v>
      </c>
      <c r="F241" s="26" t="s">
        <v>62</v>
      </c>
      <c r="G241" s="26" t="s">
        <v>65</v>
      </c>
      <c r="H241" s="26" t="s">
        <v>203</v>
      </c>
      <c r="I241" s="26" t="s">
        <v>55</v>
      </c>
      <c r="K241" s="166"/>
      <c r="L241" s="166"/>
    </row>
    <row r="242" spans="1:12" ht="15.5" x14ac:dyDescent="0.7">
      <c r="K242" s="166"/>
      <c r="L242" s="166"/>
    </row>
    <row r="243" spans="1:12" ht="15.5" x14ac:dyDescent="0.7">
      <c r="B243" s="28" t="s">
        <v>17</v>
      </c>
      <c r="E243" s="55">
        <f>'Composite Cost Allocation'!E110</f>
        <v>2152065.5431923</v>
      </c>
      <c r="G243" s="55">
        <f>'Composite Cost Allocation'!G110</f>
        <v>2131270000</v>
      </c>
      <c r="I243" s="55">
        <f>'Composite Cost Allocation'!I110</f>
        <v>39005000</v>
      </c>
      <c r="K243" s="166"/>
      <c r="L243" s="166"/>
    </row>
    <row r="244" spans="1:12" ht="15.5" x14ac:dyDescent="0.7">
      <c r="B244" s="77" t="s">
        <v>72</v>
      </c>
      <c r="E244" s="55">
        <f>'Composite Cost Allocation'!E111</f>
        <v>26158679</v>
      </c>
      <c r="H244" s="55">
        <f>'Composite Cost Allocation'!H111</f>
        <v>29265169.300000001</v>
      </c>
      <c r="K244" s="166"/>
      <c r="L244" s="166"/>
    </row>
    <row r="245" spans="1:12" ht="15.5" x14ac:dyDescent="0.7">
      <c r="B245" s="77" t="s">
        <v>73</v>
      </c>
      <c r="E245" s="55">
        <f>'Composite Cost Allocation'!E112</f>
        <v>36474255.456807703</v>
      </c>
      <c r="H245" s="55">
        <f>'Composite Cost Allocation'!H112</f>
        <v>35728830.700000003</v>
      </c>
      <c r="K245" s="166"/>
      <c r="L245" s="166"/>
    </row>
    <row r="246" spans="1:12" ht="15.5" x14ac:dyDescent="0.7">
      <c r="B246" s="89" t="s">
        <v>142</v>
      </c>
      <c r="F246" s="55">
        <f>'Composite Cost Allocation'!F113</f>
        <v>2074593000</v>
      </c>
      <c r="K246" s="166"/>
      <c r="L246" s="166"/>
    </row>
    <row r="247" spans="1:12" ht="15.5" x14ac:dyDescent="0.7">
      <c r="B247" s="89" t="s">
        <v>144</v>
      </c>
      <c r="F247" s="55">
        <f>'Composite Cost Allocation'!F114</f>
        <v>1882820000</v>
      </c>
      <c r="K247" s="166"/>
      <c r="L247" s="166"/>
    </row>
    <row r="248" spans="1:12" ht="15.5" x14ac:dyDescent="0.7">
      <c r="K248" s="166"/>
      <c r="L248" s="166"/>
    </row>
    <row r="249" spans="1:12" ht="15.5" x14ac:dyDescent="0.7">
      <c r="B249" s="28" t="s">
        <v>18</v>
      </c>
      <c r="E249" s="55">
        <f>'Composite Cost Allocation'!E116</f>
        <v>5274004.6993009001</v>
      </c>
      <c r="F249" s="55">
        <f>'Composite Cost Allocation'!F116</f>
        <v>5535444000</v>
      </c>
      <c r="G249" s="55">
        <f>'Composite Cost Allocation'!G116</f>
        <v>3591474000</v>
      </c>
      <c r="I249" s="55">
        <f>'Composite Cost Allocation'!I116</f>
        <v>78007000</v>
      </c>
      <c r="K249" s="166"/>
      <c r="L249" s="166"/>
    </row>
    <row r="250" spans="1:12" ht="15.5" x14ac:dyDescent="0.7">
      <c r="B250" s="77" t="s">
        <v>72</v>
      </c>
      <c r="E250" s="55">
        <f>'Composite Cost Allocation'!E117</f>
        <v>45337857.591087818</v>
      </c>
      <c r="H250" s="55">
        <f>'Composite Cost Allocation'!H117</f>
        <v>53031651.199999988</v>
      </c>
      <c r="K250" s="166"/>
      <c r="L250" s="166"/>
    </row>
    <row r="251" spans="1:12" ht="15.5" x14ac:dyDescent="0.7">
      <c r="B251" s="77" t="s">
        <v>73</v>
      </c>
      <c r="E251" s="55">
        <f>'Composite Cost Allocation'!E118</f>
        <v>80500137.709611282</v>
      </c>
      <c r="H251" s="55">
        <f>'Composite Cost Allocation'!H118</f>
        <v>71014348.799999997</v>
      </c>
      <c r="K251" s="166"/>
      <c r="L251" s="166"/>
    </row>
    <row r="252" spans="1:12" ht="15.5" x14ac:dyDescent="0.7">
      <c r="J252" s="26" t="s">
        <v>13</v>
      </c>
      <c r="K252" s="166"/>
      <c r="L252" s="166"/>
    </row>
    <row r="253" spans="1:12" ht="15.5" x14ac:dyDescent="0.7">
      <c r="B253" s="89" t="s">
        <v>162</v>
      </c>
      <c r="E253" s="55">
        <f>SUM(E243:E247)</f>
        <v>64785000</v>
      </c>
      <c r="F253" s="55">
        <f>SUM(F243:F247)</f>
        <v>3957413000</v>
      </c>
      <c r="G253" s="55">
        <f>SUM(G243:G247)</f>
        <v>2131270000</v>
      </c>
      <c r="H253" s="55">
        <f>SUM(H243:H247)</f>
        <v>64994000</v>
      </c>
      <c r="I253" s="55">
        <f>SUM(I243:I247)</f>
        <v>39005000</v>
      </c>
      <c r="J253" s="55">
        <f>SUM(E253:I253)</f>
        <v>6257467000</v>
      </c>
      <c r="K253" s="166"/>
      <c r="L253" s="166"/>
    </row>
    <row r="254" spans="1:12" ht="15.5" x14ac:dyDescent="0.7">
      <c r="B254" s="89" t="s">
        <v>163</v>
      </c>
      <c r="E254" s="138">
        <f>SUM(E249:E251)</f>
        <v>131112000</v>
      </c>
      <c r="F254" s="138">
        <f>SUM(F249:F251)</f>
        <v>5535444000</v>
      </c>
      <c r="G254" s="133">
        <f>SUM(G249:G251)</f>
        <v>3591474000</v>
      </c>
      <c r="H254" s="133">
        <f>SUM(H249:H251)</f>
        <v>124045999.99999999</v>
      </c>
      <c r="I254" s="133">
        <f>SUM(I249:I251)</f>
        <v>78007000</v>
      </c>
      <c r="J254" s="138">
        <f>SUM(E254:I254)</f>
        <v>9460083000</v>
      </c>
      <c r="K254" s="166"/>
      <c r="L254" s="166"/>
    </row>
    <row r="255" spans="1:12" ht="15.5" x14ac:dyDescent="0.7">
      <c r="B255" s="89" t="s">
        <v>164</v>
      </c>
      <c r="E255" s="55">
        <f>SUM(E253:E254)</f>
        <v>195897000</v>
      </c>
      <c r="F255" s="55">
        <f>SUM(F253:F254)</f>
        <v>9492857000</v>
      </c>
      <c r="G255" s="55">
        <f>SUM(G253:G254)</f>
        <v>5722744000</v>
      </c>
      <c r="H255" s="55">
        <f>SUM(H253:H254)</f>
        <v>189040000</v>
      </c>
      <c r="I255" s="55">
        <f>SUM(I253:I254)</f>
        <v>117012000</v>
      </c>
      <c r="J255" s="55">
        <f>SUM(E255:I255)</f>
        <v>15717550000</v>
      </c>
      <c r="K255" s="166"/>
      <c r="L255" s="166"/>
    </row>
    <row r="256" spans="1:12" ht="15.5" x14ac:dyDescent="0.7">
      <c r="A256" s="22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</row>
    <row r="257" spans="1:15" ht="15.5" x14ac:dyDescent="0.7">
      <c r="A257" s="22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</row>
    <row r="259" spans="1:15" x14ac:dyDescent="0.6">
      <c r="A259" s="6" t="s">
        <v>133</v>
      </c>
      <c r="B259" s="1" t="s">
        <v>168</v>
      </c>
      <c r="C259"/>
      <c r="D259"/>
      <c r="E259"/>
      <c r="F259"/>
      <c r="G259"/>
      <c r="H259"/>
      <c r="I259"/>
      <c r="J259"/>
      <c r="K259"/>
      <c r="L259"/>
    </row>
    <row r="260" spans="1:15" x14ac:dyDescent="0.6">
      <c r="A260" s="7"/>
      <c r="B260" s="1"/>
      <c r="C260"/>
      <c r="D260"/>
      <c r="E260"/>
      <c r="F260"/>
      <c r="G260"/>
      <c r="H260"/>
      <c r="I260"/>
      <c r="J260"/>
      <c r="K260"/>
      <c r="L260"/>
    </row>
    <row r="261" spans="1:15" x14ac:dyDescent="0.6">
      <c r="A261" s="7"/>
      <c r="B261"/>
      <c r="C261" s="2"/>
      <c r="D261" s="2"/>
      <c r="E261" s="26" t="str">
        <f>+E$13</f>
        <v>RT{1}</v>
      </c>
      <c r="F261" s="26" t="str">
        <f>+F$13</f>
        <v>RS{2}</v>
      </c>
      <c r="G261" s="26" t="str">
        <f>+G$13</f>
        <v>GS{3}</v>
      </c>
      <c r="H261" s="155" t="str">
        <f>+H$58</f>
        <v>GST {4}</v>
      </c>
      <c r="I261" s="26" t="str">
        <f>+I$13</f>
        <v>OL/SL</v>
      </c>
      <c r="J261" s="2" t="s">
        <v>13</v>
      </c>
      <c r="K261" s="2"/>
      <c r="L261" s="2"/>
    </row>
    <row r="262" spans="1:15" x14ac:dyDescent="0.6">
      <c r="A262" s="7"/>
      <c r="B262" t="s">
        <v>134</v>
      </c>
      <c r="C262"/>
      <c r="D262"/>
      <c r="E262"/>
      <c r="F262"/>
      <c r="G262"/>
      <c r="H262"/>
      <c r="I262"/>
      <c r="J262"/>
      <c r="K262"/>
      <c r="L262"/>
    </row>
    <row r="263" spans="1:15" x14ac:dyDescent="0.6">
      <c r="A263" s="7"/>
      <c r="B263" s="28" t="s">
        <v>17</v>
      </c>
      <c r="C263" s="149"/>
      <c r="D263" s="149"/>
      <c r="E263" s="149">
        <f>+E217*E243/1000000</f>
        <v>169.27377018445765</v>
      </c>
      <c r="F263" s="149"/>
      <c r="G263" s="149">
        <f>+G217*G243/1000000</f>
        <v>168889.44858487972</v>
      </c>
      <c r="H263" s="144"/>
      <c r="I263" s="149">
        <f>+I217*I243/1000000</f>
        <v>2569.3273019053745</v>
      </c>
      <c r="J263" s="149"/>
      <c r="K263" s="149"/>
      <c r="L263" s="149"/>
    </row>
    <row r="264" spans="1:15" x14ac:dyDescent="0.6">
      <c r="A264" s="7"/>
      <c r="B264" s="77" t="s">
        <v>72</v>
      </c>
      <c r="C264" s="149"/>
      <c r="D264" s="149"/>
      <c r="E264" s="149">
        <f>+E218*E244/1000000</f>
        <v>2675.7899775131641</v>
      </c>
      <c r="F264" s="149"/>
      <c r="G264" s="149"/>
      <c r="H264" s="149">
        <f>+H218*H244/1000000</f>
        <v>2711.1855725738037</v>
      </c>
      <c r="I264" s="149"/>
      <c r="J264" s="149"/>
      <c r="K264" s="149"/>
      <c r="L264" s="149"/>
    </row>
    <row r="265" spans="1:15" x14ac:dyDescent="0.6">
      <c r="A265" s="7"/>
      <c r="B265" s="77" t="s">
        <v>73</v>
      </c>
      <c r="C265" s="149"/>
      <c r="D265" s="149"/>
      <c r="E265" s="149">
        <f>+E219*E245/1000000</f>
        <v>2250.7074329209172</v>
      </c>
      <c r="F265" s="149"/>
      <c r="G265" s="149"/>
      <c r="H265" s="149">
        <f>+H219*H245/1000000</f>
        <v>2213.6444798201728</v>
      </c>
      <c r="I265" s="149"/>
      <c r="J265" s="149"/>
      <c r="K265" s="81"/>
      <c r="L265" s="81"/>
    </row>
    <row r="266" spans="1:15" x14ac:dyDescent="0.6">
      <c r="A266" s="7"/>
      <c r="B266" s="89" t="s">
        <v>142</v>
      </c>
      <c r="C266" s="149"/>
      <c r="D266" s="149"/>
      <c r="E266" s="149"/>
      <c r="F266" s="149">
        <f>+F220*F246/1000000</f>
        <v>157187.76368196064</v>
      </c>
      <c r="G266" s="149"/>
      <c r="H266" s="144"/>
      <c r="I266" s="149"/>
      <c r="J266" s="149"/>
      <c r="K266" s="149"/>
      <c r="L266" s="149"/>
    </row>
    <row r="267" spans="1:15" x14ac:dyDescent="0.6">
      <c r="A267" s="7"/>
      <c r="B267" s="89" t="s">
        <v>144</v>
      </c>
      <c r="C267" s="149"/>
      <c r="D267" s="149"/>
      <c r="E267" s="149"/>
      <c r="F267" s="149">
        <f>+F221*F247/1000000</f>
        <v>158947.66554167616</v>
      </c>
      <c r="G267" s="149"/>
      <c r="H267" s="144"/>
      <c r="I267" s="149"/>
      <c r="J267" s="149"/>
      <c r="K267" s="149"/>
      <c r="L267" s="149"/>
      <c r="M267" s="81"/>
      <c r="N267" s="81"/>
      <c r="O267" s="81"/>
    </row>
    <row r="268" spans="1:15" x14ac:dyDescent="0.6">
      <c r="A268" s="7"/>
      <c r="C268" s="149"/>
      <c r="D268" s="149"/>
      <c r="E268" s="149"/>
      <c r="F268" s="149"/>
      <c r="G268" s="149"/>
      <c r="H268" s="144"/>
      <c r="I268" s="149"/>
      <c r="J268" s="149"/>
      <c r="K268" s="149"/>
      <c r="L268" s="149"/>
    </row>
    <row r="269" spans="1:15" x14ac:dyDescent="0.6">
      <c r="A269" s="7"/>
      <c r="B269" s="28" t="s">
        <v>18</v>
      </c>
      <c r="C269" s="149"/>
      <c r="D269" s="149"/>
      <c r="E269" s="149">
        <f>+E223*E249/1000000</f>
        <v>403.18340744761713</v>
      </c>
      <c r="F269" s="149">
        <f>+F223*F249/1000000</f>
        <v>450363.50180876045</v>
      </c>
      <c r="G269" s="149">
        <f>+G223*G249/1000000</f>
        <v>277832.22883312748</v>
      </c>
      <c r="I269" s="149">
        <f>+I223*I249/1000000</f>
        <v>5075.4814212853044</v>
      </c>
      <c r="J269" s="149"/>
      <c r="K269" s="149"/>
      <c r="L269" s="149"/>
    </row>
    <row r="270" spans="1:15" x14ac:dyDescent="0.6">
      <c r="A270" s="7"/>
      <c r="B270" s="77" t="s">
        <v>72</v>
      </c>
      <c r="C270" s="149"/>
      <c r="D270" s="149"/>
      <c r="E270" s="149">
        <f>+E224*E250/1000000</f>
        <v>4436.477395063127</v>
      </c>
      <c r="F270" s="3"/>
      <c r="G270" s="3"/>
      <c r="H270" s="149">
        <f>+H224*H250/1000000</f>
        <v>4523.1412539089088</v>
      </c>
      <c r="I270" s="3"/>
      <c r="J270" s="149"/>
      <c r="K270" s="149"/>
      <c r="L270" s="149"/>
    </row>
    <row r="271" spans="1:15" x14ac:dyDescent="0.6">
      <c r="A271" s="7"/>
      <c r="B271" s="77" t="s">
        <v>73</v>
      </c>
      <c r="C271" s="3"/>
      <c r="D271" s="3"/>
      <c r="E271" s="149">
        <f>+E225*E251/1000000</f>
        <v>5183.3343678835108</v>
      </c>
      <c r="H271" s="149">
        <f>+H225*H251/1000000</f>
        <v>4478.9375410660305</v>
      </c>
      <c r="J271" s="149"/>
      <c r="K271" s="149"/>
      <c r="L271" s="149"/>
    </row>
    <row r="272" spans="1:15" x14ac:dyDescent="0.6">
      <c r="A272" s="7"/>
      <c r="B272" s="5"/>
      <c r="C272"/>
      <c r="D272"/>
      <c r="E272"/>
      <c r="F272"/>
      <c r="G272"/>
      <c r="H272"/>
      <c r="I272"/>
      <c r="J272"/>
      <c r="K272"/>
      <c r="L272"/>
    </row>
    <row r="273" spans="1:12" x14ac:dyDescent="0.6">
      <c r="A273" s="7"/>
      <c r="B273" t="s">
        <v>135</v>
      </c>
      <c r="C273"/>
      <c r="D273"/>
      <c r="E273"/>
      <c r="F273"/>
      <c r="G273"/>
      <c r="H273"/>
      <c r="I273"/>
      <c r="J273"/>
      <c r="K273"/>
      <c r="L273"/>
    </row>
    <row r="274" spans="1:12" x14ac:dyDescent="0.6">
      <c r="A274" s="7"/>
      <c r="B274" s="5" t="s">
        <v>25</v>
      </c>
      <c r="D274"/>
      <c r="E274" s="3">
        <f>SUM(E263:E267)</f>
        <v>5095.7711806185389</v>
      </c>
      <c r="F274" s="3">
        <f>SUM(F263:F267)</f>
        <v>316135.42922363681</v>
      </c>
      <c r="G274" s="3">
        <f>SUM(G263:G267)</f>
        <v>168889.44858487972</v>
      </c>
      <c r="H274" s="3">
        <f>SUM(H263:H267)</f>
        <v>4924.8300523939761</v>
      </c>
      <c r="I274" s="3">
        <f>SUM(I263:I267)</f>
        <v>2569.3273019053745</v>
      </c>
      <c r="J274" s="151">
        <f>SUM(E274:I274)</f>
        <v>497614.80634343438</v>
      </c>
      <c r="K274"/>
      <c r="L274"/>
    </row>
    <row r="275" spans="1:12" x14ac:dyDescent="0.6">
      <c r="A275" s="7"/>
      <c r="B275" s="5" t="s">
        <v>26</v>
      </c>
      <c r="D275"/>
      <c r="E275" s="3">
        <f>SUM(E269:E271)</f>
        <v>10022.995170394255</v>
      </c>
      <c r="F275" s="3">
        <f>SUM(F269:F271)</f>
        <v>450363.50180876045</v>
      </c>
      <c r="G275" s="3">
        <f>SUM(G269:G271)</f>
        <v>277832.22883312748</v>
      </c>
      <c r="H275" s="3">
        <f>SUM(H269:H271)</f>
        <v>9002.0787949749392</v>
      </c>
      <c r="I275" s="3">
        <f>SUM(I269:I271)</f>
        <v>5075.4814212853044</v>
      </c>
      <c r="J275" s="151">
        <f>SUM(E275:I275)</f>
        <v>752296.28602854244</v>
      </c>
      <c r="K275"/>
      <c r="L275"/>
    </row>
    <row r="276" spans="1:12" x14ac:dyDescent="0.6">
      <c r="A276" s="7"/>
      <c r="B276" s="5" t="s">
        <v>13</v>
      </c>
      <c r="D276"/>
      <c r="E276" s="3">
        <f>SUM(E274:E275)</f>
        <v>15118.766351012793</v>
      </c>
      <c r="F276" s="3">
        <f>SUM(F274:F275)</f>
        <v>766498.93103239732</v>
      </c>
      <c r="G276" s="3">
        <f>SUM(G274:G275)</f>
        <v>446721.67741800717</v>
      </c>
      <c r="H276" s="3">
        <f>SUM(H274:H275)</f>
        <v>13926.908847368915</v>
      </c>
      <c r="I276" s="3">
        <f>SUM(I274:I275)</f>
        <v>7644.8087231906793</v>
      </c>
      <c r="J276" s="3">
        <f>SUM(E276:I276)</f>
        <v>1249911.0923719769</v>
      </c>
      <c r="L276"/>
    </row>
    <row r="277" spans="1:12" x14ac:dyDescent="0.6">
      <c r="A277" s="7"/>
      <c r="B277"/>
      <c r="C277"/>
      <c r="D277"/>
      <c r="E277"/>
      <c r="F277"/>
      <c r="G277"/>
      <c r="H277"/>
      <c r="J277"/>
      <c r="L277"/>
    </row>
    <row r="278" spans="1:12" x14ac:dyDescent="0.6">
      <c r="A278" s="7"/>
      <c r="B278" t="s">
        <v>136</v>
      </c>
      <c r="C278"/>
      <c r="D278"/>
      <c r="E278"/>
      <c r="F278"/>
      <c r="G278"/>
      <c r="H278"/>
      <c r="J278"/>
      <c r="L278"/>
    </row>
    <row r="279" spans="1:12" x14ac:dyDescent="0.6">
      <c r="A279" s="7"/>
      <c r="B279" s="5" t="s">
        <v>25</v>
      </c>
      <c r="C279"/>
      <c r="D279"/>
      <c r="E279" s="150">
        <f t="shared" ref="E279:J279" si="16">+E274/E276</f>
        <v>0.33704940352340174</v>
      </c>
      <c r="F279" s="150">
        <f t="shared" si="16"/>
        <v>0.41244079596801791</v>
      </c>
      <c r="G279" s="150">
        <f t="shared" si="16"/>
        <v>0.37806414401252841</v>
      </c>
      <c r="H279" s="150">
        <f t="shared" si="16"/>
        <v>0.35361975197564244</v>
      </c>
      <c r="I279" s="150">
        <f t="shared" si="16"/>
        <v>0.33608784666008307</v>
      </c>
      <c r="J279" s="150">
        <f t="shared" si="16"/>
        <v>0.39812016181015125</v>
      </c>
      <c r="L279"/>
    </row>
    <row r="280" spans="1:12" x14ac:dyDescent="0.6">
      <c r="A280" s="7"/>
      <c r="B280" s="5" t="s">
        <v>26</v>
      </c>
      <c r="C280"/>
      <c r="D280"/>
      <c r="E280" s="150">
        <f t="shared" ref="E280:J280" si="17">+E275/E276</f>
        <v>0.66295059647659837</v>
      </c>
      <c r="F280" s="150">
        <f t="shared" si="17"/>
        <v>0.58755920403198203</v>
      </c>
      <c r="G280" s="150">
        <f t="shared" si="17"/>
        <v>0.6219358559874717</v>
      </c>
      <c r="H280" s="150">
        <f t="shared" si="17"/>
        <v>0.64638024802435756</v>
      </c>
      <c r="I280" s="150">
        <f t="shared" si="17"/>
        <v>0.66391215333991682</v>
      </c>
      <c r="J280" s="150">
        <f t="shared" si="17"/>
        <v>0.60187983818984869</v>
      </c>
      <c r="L280"/>
    </row>
    <row r="281" spans="1:12" x14ac:dyDescent="0.6">
      <c r="A281" s="7"/>
      <c r="B281" s="5"/>
      <c r="C281"/>
      <c r="D281"/>
      <c r="E281" s="150"/>
      <c r="F281" s="150"/>
      <c r="G281" s="150"/>
      <c r="H281" s="150"/>
      <c r="I281" s="150"/>
      <c r="J281" s="150"/>
      <c r="L281"/>
    </row>
    <row r="282" spans="1:12" x14ac:dyDescent="0.6">
      <c r="A282" s="7"/>
      <c r="B282" s="5"/>
      <c r="C282"/>
      <c r="D282"/>
      <c r="E282" s="150"/>
      <c r="F282" s="150"/>
      <c r="G282" s="150"/>
      <c r="H282" s="150"/>
      <c r="I282" s="150"/>
      <c r="J282" s="150"/>
      <c r="L282"/>
    </row>
    <row r="283" spans="1:12" ht="15.5" x14ac:dyDescent="0.7">
      <c r="A283" s="22"/>
      <c r="B283" s="578" t="str">
        <f>$B$1</f>
        <v xml:space="preserve">Jersey Central Power &amp; Light </v>
      </c>
      <c r="C283" s="578"/>
      <c r="D283" s="578"/>
      <c r="E283" s="578"/>
      <c r="F283" s="578"/>
      <c r="G283" s="578"/>
      <c r="H283" s="578"/>
      <c r="I283" s="578"/>
      <c r="J283" s="578"/>
      <c r="K283" s="578"/>
      <c r="L283" s="578"/>
    </row>
    <row r="284" spans="1:12" ht="15.5" x14ac:dyDescent="0.7">
      <c r="A284" s="22"/>
      <c r="B284" s="578" t="str">
        <f>$B$2</f>
        <v>Attachment 2</v>
      </c>
      <c r="C284" s="578"/>
      <c r="D284" s="578"/>
      <c r="E284" s="578"/>
      <c r="F284" s="578"/>
      <c r="G284" s="578"/>
      <c r="H284" s="578"/>
      <c r="I284" s="578"/>
      <c r="J284" s="578"/>
      <c r="K284" s="578"/>
      <c r="L284" s="578"/>
    </row>
    <row r="285" spans="1:12" x14ac:dyDescent="0.6">
      <c r="A285" s="7"/>
      <c r="B285" s="5"/>
      <c r="C285"/>
      <c r="D285"/>
      <c r="E285" s="150"/>
      <c r="F285" s="150"/>
      <c r="G285" s="150"/>
      <c r="H285" s="150"/>
      <c r="I285" s="150"/>
      <c r="J285" s="150"/>
      <c r="L285"/>
    </row>
    <row r="286" spans="1:12" x14ac:dyDescent="0.6">
      <c r="A286" s="6" t="s">
        <v>138</v>
      </c>
      <c r="B286" s="1" t="s">
        <v>245</v>
      </c>
      <c r="C286"/>
      <c r="D286"/>
      <c r="E286"/>
      <c r="G286" s="81"/>
      <c r="J286"/>
      <c r="L286"/>
    </row>
    <row r="287" spans="1:12" x14ac:dyDescent="0.6">
      <c r="A287" s="7"/>
      <c r="C287" s="74"/>
      <c r="D287" s="74"/>
      <c r="J287"/>
      <c r="L287"/>
    </row>
    <row r="288" spans="1:12" x14ac:dyDescent="0.6">
      <c r="A288" s="7"/>
      <c r="B288" s="16" t="s">
        <v>231</v>
      </c>
      <c r="C288" s="74"/>
      <c r="D288" s="74"/>
      <c r="J288"/>
      <c r="L288"/>
    </row>
    <row r="289" spans="1:12" x14ac:dyDescent="0.6">
      <c r="A289" s="7"/>
      <c r="B289" s="89" t="s">
        <v>103</v>
      </c>
      <c r="C289" s="144">
        <f>J276</f>
        <v>1249911.0923719769</v>
      </c>
      <c r="J289"/>
      <c r="L289"/>
    </row>
    <row r="290" spans="1:12" x14ac:dyDescent="0.6">
      <c r="A290" s="7"/>
      <c r="B290" s="16"/>
      <c r="C290" s="144"/>
      <c r="J290"/>
      <c r="L290"/>
    </row>
    <row r="291" spans="1:12" x14ac:dyDescent="0.6">
      <c r="A291" s="7"/>
      <c r="B291" s="16" t="s">
        <v>229</v>
      </c>
      <c r="C291" s="144"/>
      <c r="E291" s="26" t="str">
        <f>+E$13</f>
        <v>RT{1}</v>
      </c>
      <c r="F291" s="26" t="str">
        <f>+F$13</f>
        <v>RS{2}</v>
      </c>
      <c r="G291" s="26" t="str">
        <f>+G$13</f>
        <v>GS{3}</v>
      </c>
      <c r="H291" s="155" t="str">
        <f>+H$58</f>
        <v>GST {4}</v>
      </c>
      <c r="I291" s="26" t="str">
        <f>+I$13</f>
        <v>OL/SL</v>
      </c>
      <c r="J291" s="2" t="s">
        <v>13</v>
      </c>
      <c r="L291"/>
    </row>
    <row r="292" spans="1:12" x14ac:dyDescent="0.6">
      <c r="A292" s="7"/>
      <c r="B292" s="21" t="s">
        <v>25</v>
      </c>
      <c r="C292" s="144"/>
      <c r="E292" s="161">
        <f>ROUND(SUM(E65:E68)*E95,0)</f>
        <v>72430</v>
      </c>
      <c r="F292" s="161">
        <f>ROUND(SUM(F65:F68)*F95,0)</f>
        <v>4424385</v>
      </c>
      <c r="G292" s="161">
        <f>ROUND(SUM(G65:G68)*G95,0)</f>
        <v>2382758</v>
      </c>
      <c r="H292" s="161">
        <f>ROUND(SUM(H65:H68)*H95,0)</f>
        <v>72663</v>
      </c>
      <c r="I292" s="161">
        <f>ROUND(SUM(I65:I68)*I95,0)</f>
        <v>43608</v>
      </c>
      <c r="J292" s="161">
        <f>SUM(E292:I292)</f>
        <v>6995844</v>
      </c>
      <c r="L292"/>
    </row>
    <row r="293" spans="1:12" x14ac:dyDescent="0.6">
      <c r="A293" s="7"/>
      <c r="B293" s="12" t="s">
        <v>26</v>
      </c>
      <c r="C293" s="144"/>
      <c r="E293" s="161">
        <f>ROUND((E72-SUM(E65:E68))*E95,0)</f>
        <v>146583</v>
      </c>
      <c r="F293" s="161">
        <f>ROUND((F72-SUM(F65:F68))*F95,0)</f>
        <v>6188622</v>
      </c>
      <c r="G293" s="161">
        <f>ROUND((G72-SUM(G65:G68))*G95,0)</f>
        <v>4015265</v>
      </c>
      <c r="H293" s="161">
        <f>ROUND((H72-SUM(H65:H68))*H95,0)</f>
        <v>138683</v>
      </c>
      <c r="I293" s="161">
        <f>ROUND((I72-SUM(I65:I68))*I95,0)</f>
        <v>87212</v>
      </c>
      <c r="J293" s="161">
        <f>SUM(E293:I293)</f>
        <v>10576365</v>
      </c>
      <c r="L293"/>
    </row>
    <row r="294" spans="1:12" x14ac:dyDescent="0.6">
      <c r="A294" s="7"/>
      <c r="C294" s="89"/>
      <c r="D294" s="145"/>
      <c r="J294" s="4"/>
      <c r="L294"/>
    </row>
    <row r="295" spans="1:12" x14ac:dyDescent="0.6">
      <c r="A295" s="7"/>
      <c r="B295" s="16" t="s">
        <v>232</v>
      </c>
      <c r="C295" s="89"/>
      <c r="D295" s="160" t="s">
        <v>220</v>
      </c>
      <c r="E295" s="133" t="s">
        <v>226</v>
      </c>
      <c r="J295"/>
      <c r="L295"/>
    </row>
    <row r="296" spans="1:12" x14ac:dyDescent="0.6">
      <c r="A296" s="7"/>
      <c r="B296" s="267" t="s">
        <v>404</v>
      </c>
      <c r="D296" s="38" t="s">
        <v>223</v>
      </c>
      <c r="E296" s="126">
        <f>'Attachment 3 - 23-24'!D37</f>
        <v>71.13</v>
      </c>
      <c r="F296" s="38" t="s">
        <v>228</v>
      </c>
      <c r="G296" s="38" t="s">
        <v>230</v>
      </c>
      <c r="J296"/>
      <c r="L296"/>
    </row>
    <row r="297" spans="1:12" x14ac:dyDescent="0.6">
      <c r="A297" s="7"/>
      <c r="B297" s="13" t="s">
        <v>225</v>
      </c>
      <c r="C297" s="89"/>
      <c r="D297" s="167">
        <v>1</v>
      </c>
      <c r="E297" s="289">
        <f>ROUND($E$296*D297,3)</f>
        <v>71.13</v>
      </c>
      <c r="F297" s="55">
        <f>J292</f>
        <v>6995844</v>
      </c>
      <c r="G297" s="144">
        <f>ROUND(F297*E297/1000,0)</f>
        <v>497614</v>
      </c>
      <c r="J297"/>
      <c r="L297"/>
    </row>
    <row r="298" spans="1:12" ht="15.25" x14ac:dyDescent="1.05">
      <c r="A298" s="7"/>
      <c r="B298" s="13" t="s">
        <v>227</v>
      </c>
      <c r="C298" s="89"/>
      <c r="D298" s="167">
        <v>1</v>
      </c>
      <c r="E298" s="289">
        <f>ROUND($E$296*D298,3)</f>
        <v>71.13</v>
      </c>
      <c r="F298" s="55">
        <f>J293</f>
        <v>10576365</v>
      </c>
      <c r="G298" s="85">
        <f>ROUND(F298*E298/1000,0)</f>
        <v>752297</v>
      </c>
      <c r="J298"/>
      <c r="L298"/>
    </row>
    <row r="299" spans="1:12" x14ac:dyDescent="0.6">
      <c r="A299" s="7"/>
      <c r="B299" s="13" t="s">
        <v>233</v>
      </c>
      <c r="C299" s="89"/>
      <c r="D299" s="145"/>
      <c r="G299" s="81">
        <f>SUM(G297:G298)</f>
        <v>1249911</v>
      </c>
      <c r="J299"/>
      <c r="L299"/>
    </row>
    <row r="300" spans="1:12" x14ac:dyDescent="0.6">
      <c r="A300" s="7"/>
      <c r="C300" s="89"/>
      <c r="D300" s="145"/>
      <c r="J300"/>
      <c r="L300"/>
    </row>
    <row r="301" spans="1:12" x14ac:dyDescent="0.6">
      <c r="A301" s="6" t="s">
        <v>240</v>
      </c>
      <c r="B301" s="1" t="s">
        <v>234</v>
      </c>
      <c r="C301" s="89"/>
      <c r="D301" s="145"/>
      <c r="F301" s="5" t="s">
        <v>220</v>
      </c>
      <c r="G301" s="5" t="s">
        <v>222</v>
      </c>
      <c r="H301" s="71"/>
      <c r="I301"/>
    </row>
    <row r="302" spans="1:12" x14ac:dyDescent="0.6">
      <c r="A302" s="7"/>
      <c r="B302"/>
      <c r="C302"/>
      <c r="D302"/>
      <c r="E302"/>
      <c r="F302" s="5" t="s">
        <v>236</v>
      </c>
      <c r="G302" s="5" t="s">
        <v>223</v>
      </c>
      <c r="H302" s="5" t="s">
        <v>222</v>
      </c>
      <c r="I302"/>
    </row>
    <row r="303" spans="1:12" x14ac:dyDescent="0.6">
      <c r="A303" s="7"/>
      <c r="B303" t="s">
        <v>235</v>
      </c>
      <c r="C303"/>
      <c r="D303"/>
      <c r="E303"/>
      <c r="F303" s="8" t="s">
        <v>230</v>
      </c>
      <c r="G303" s="8" t="s">
        <v>224</v>
      </c>
      <c r="H303" s="8" t="s">
        <v>223</v>
      </c>
      <c r="I303" s="10"/>
    </row>
    <row r="304" spans="1:12" x14ac:dyDescent="0.6">
      <c r="A304" s="7"/>
      <c r="B304" s="5" t="s">
        <v>25</v>
      </c>
      <c r="C304" s="290">
        <f>J274*1000/J292</f>
        <v>71.130060410642997</v>
      </c>
      <c r="D304" t="s">
        <v>137</v>
      </c>
      <c r="E304"/>
      <c r="F304" s="262">
        <f>E297</f>
        <v>71.13</v>
      </c>
      <c r="G304" s="159">
        <f>E297/C304</f>
        <v>0.99999915070164913</v>
      </c>
      <c r="H304" s="285">
        <v>1.251234</v>
      </c>
    </row>
    <row r="305" spans="1:15" x14ac:dyDescent="0.6">
      <c r="A305" s="7"/>
      <c r="B305" s="5" t="s">
        <v>26</v>
      </c>
      <c r="C305" s="290">
        <f>J275*1000/J293</f>
        <v>71.129947390104476</v>
      </c>
      <c r="D305" t="s">
        <v>137</v>
      </c>
      <c r="E305"/>
      <c r="F305" s="262">
        <f>E298</f>
        <v>71.13</v>
      </c>
      <c r="G305" s="159">
        <f>E298/C305</f>
        <v>1.0000007396307384</v>
      </c>
      <c r="H305" s="285">
        <v>1.0320389999999999</v>
      </c>
    </row>
    <row r="306" spans="1:15" x14ac:dyDescent="0.6">
      <c r="A306" s="7"/>
      <c r="B306" s="5"/>
      <c r="C306" s="152"/>
      <c r="D306"/>
      <c r="E306"/>
      <c r="F306"/>
      <c r="G306"/>
      <c r="H306" s="2"/>
      <c r="I306" s="104"/>
    </row>
    <row r="307" spans="1:15" x14ac:dyDescent="0.6">
      <c r="A307" s="16" t="s">
        <v>108</v>
      </c>
      <c r="E307" s="98"/>
      <c r="F307" s="101"/>
      <c r="I307"/>
      <c r="J307"/>
      <c r="K307"/>
      <c r="L307"/>
    </row>
    <row r="308" spans="1:15" x14ac:dyDescent="0.6">
      <c r="A308" s="22"/>
      <c r="B308" s="89" t="s">
        <v>132</v>
      </c>
      <c r="C308" s="102">
        <f>E177</f>
        <v>100.88200000000001</v>
      </c>
      <c r="D308" s="93" t="s">
        <v>160</v>
      </c>
      <c r="E308" s="98"/>
      <c r="F308" s="101"/>
      <c r="I308"/>
      <c r="J308"/>
      <c r="K308"/>
      <c r="L308"/>
      <c r="M308" s="16"/>
      <c r="N308" s="104"/>
      <c r="O308" s="104"/>
    </row>
    <row r="309" spans="1:15" x14ac:dyDescent="0.6">
      <c r="A309" s="22"/>
      <c r="B309" s="89"/>
      <c r="C309" s="102">
        <f>E178</f>
        <v>100.88200000000001</v>
      </c>
      <c r="D309" s="93" t="s">
        <v>161</v>
      </c>
      <c r="E309" s="98"/>
      <c r="F309" s="101"/>
      <c r="I309"/>
      <c r="J309"/>
      <c r="K309"/>
      <c r="L309"/>
    </row>
    <row r="310" spans="1:15" x14ac:dyDescent="0.6">
      <c r="A310" s="22"/>
      <c r="B310" s="89" t="s">
        <v>159</v>
      </c>
      <c r="C310" s="505" t="s">
        <v>349</v>
      </c>
      <c r="D310" s="93"/>
      <c r="E310" s="98"/>
      <c r="F310" s="101"/>
      <c r="I310"/>
      <c r="J310"/>
      <c r="K310"/>
      <c r="L310"/>
    </row>
    <row r="311" spans="1:15" x14ac:dyDescent="0.6">
      <c r="A311" s="22"/>
      <c r="B311" s="89" t="s">
        <v>109</v>
      </c>
      <c r="C311" s="148">
        <f>+H171</f>
        <v>4</v>
      </c>
      <c r="D311" s="13" t="s">
        <v>110</v>
      </c>
      <c r="E311" s="98"/>
      <c r="F311" s="101"/>
      <c r="I311"/>
      <c r="J311"/>
      <c r="K311"/>
      <c r="L311"/>
    </row>
    <row r="312" spans="1:15" x14ac:dyDescent="0.6">
      <c r="A312" s="22"/>
      <c r="B312" s="89"/>
      <c r="C312" s="148">
        <f>+H172</f>
        <v>8</v>
      </c>
      <c r="D312" s="13" t="s">
        <v>111</v>
      </c>
      <c r="E312" s="98"/>
      <c r="F312" s="101"/>
      <c r="I312"/>
      <c r="J312"/>
      <c r="K312"/>
      <c r="L312"/>
    </row>
    <row r="313" spans="1:15" x14ac:dyDescent="0.6">
      <c r="A313" s="22"/>
      <c r="B313" s="89" t="s">
        <v>112</v>
      </c>
      <c r="C313" s="102">
        <f>+E192</f>
        <v>18.670000000000002</v>
      </c>
      <c r="D313" s="13" t="s">
        <v>113</v>
      </c>
      <c r="E313" s="98"/>
      <c r="F313" s="101"/>
      <c r="I313"/>
      <c r="J313"/>
      <c r="K313"/>
      <c r="L313"/>
    </row>
    <row r="314" spans="1:15" x14ac:dyDescent="0.6">
      <c r="A314" s="22"/>
      <c r="B314" s="89" t="s">
        <v>114</v>
      </c>
      <c r="C314" s="21" t="s">
        <v>246</v>
      </c>
      <c r="E314" s="98"/>
      <c r="F314" s="101"/>
      <c r="I314"/>
      <c r="J314"/>
      <c r="K314"/>
      <c r="L314"/>
    </row>
    <row r="315" spans="1:15" x14ac:dyDescent="0.6">
      <c r="A315" s="22"/>
      <c r="B315" s="89"/>
      <c r="C315" s="307" t="s">
        <v>396</v>
      </c>
      <c r="E315" s="98"/>
      <c r="F315" s="101"/>
      <c r="I315"/>
      <c r="J315"/>
      <c r="K315"/>
      <c r="L315"/>
    </row>
    <row r="316" spans="1:15" x14ac:dyDescent="0.6">
      <c r="A316" s="22"/>
      <c r="B316" s="89" t="s">
        <v>115</v>
      </c>
      <c r="C316" s="12" t="str">
        <f>'BGS PTY21 Cost Alloc'!C$307</f>
        <v xml:space="preserve"> forecasted 2022 energy use by class based upon PJM on/off % from 2019 through 2021 class load profiles</v>
      </c>
      <c r="E316" s="98"/>
      <c r="F316" s="101"/>
      <c r="I316"/>
      <c r="J316"/>
      <c r="K316"/>
      <c r="L316"/>
    </row>
    <row r="317" spans="1:15" x14ac:dyDescent="0.6">
      <c r="A317" s="22"/>
      <c r="B317" s="89"/>
      <c r="C317" s="12" t="str">
        <f>'BGS PTY21 Cost Alloc'!C$308</f>
        <v xml:space="preserve">   JCP&amp;L billing on/off % from 2022 forecasted billing determinants</v>
      </c>
      <c r="E317" s="98"/>
      <c r="F317" s="101"/>
      <c r="I317"/>
      <c r="J317"/>
      <c r="K317"/>
      <c r="L317"/>
    </row>
    <row r="318" spans="1:15" x14ac:dyDescent="0.6">
      <c r="A318" s="22"/>
      <c r="B318" s="89" t="s">
        <v>116</v>
      </c>
      <c r="C318" s="12" t="str">
        <f>'BGS PTY21 Cost Alloc'!C$309</f>
        <v xml:space="preserve"> class totals for 2022 excluding accounts required to take service under BGS-CIEP as of June 1, 2023</v>
      </c>
      <c r="E318" s="98"/>
      <c r="F318" s="101"/>
      <c r="I318"/>
      <c r="J318"/>
      <c r="K318"/>
      <c r="L318"/>
    </row>
    <row r="319" spans="1:15" x14ac:dyDescent="0.6">
      <c r="A319" s="22"/>
      <c r="B319" s="89" t="s">
        <v>117</v>
      </c>
      <c r="C319" s="13" t="s">
        <v>166</v>
      </c>
      <c r="E319" s="98"/>
      <c r="F319" s="101"/>
      <c r="I319"/>
      <c r="J319"/>
      <c r="K319"/>
      <c r="L319"/>
    </row>
    <row r="320" spans="1:15" x14ac:dyDescent="0.6">
      <c r="A320" s="22"/>
      <c r="B320" s="89" t="s">
        <v>118</v>
      </c>
      <c r="C320" s="13" t="s">
        <v>214</v>
      </c>
      <c r="E320" s="100"/>
      <c r="F320" s="101"/>
      <c r="I320"/>
      <c r="J320"/>
      <c r="K320"/>
      <c r="L320"/>
    </row>
    <row r="321" spans="1:12" x14ac:dyDescent="0.6">
      <c r="C321" s="13" t="s">
        <v>119</v>
      </c>
      <c r="E321" s="98"/>
      <c r="F321" s="101"/>
      <c r="I321"/>
      <c r="J321"/>
      <c r="K321"/>
      <c r="L321"/>
    </row>
    <row r="322" spans="1:12" x14ac:dyDescent="0.6">
      <c r="B322" s="89" t="s">
        <v>120</v>
      </c>
      <c r="C322" s="103" t="s">
        <v>189</v>
      </c>
      <c r="E322" s="98"/>
      <c r="F322" s="101"/>
      <c r="I322"/>
      <c r="J322"/>
      <c r="K322"/>
      <c r="L322"/>
    </row>
    <row r="323" spans="1:12" x14ac:dyDescent="0.6">
      <c r="A323" s="22"/>
      <c r="C323" s="103" t="s">
        <v>121</v>
      </c>
      <c r="E323" s="99"/>
      <c r="I323"/>
      <c r="J323"/>
      <c r="K323"/>
      <c r="L323"/>
    </row>
    <row r="324" spans="1:12" x14ac:dyDescent="0.6">
      <c r="C324" s="103" t="s">
        <v>188</v>
      </c>
      <c r="I324"/>
      <c r="J324"/>
      <c r="K324"/>
      <c r="L324"/>
    </row>
    <row r="325" spans="1:12" x14ac:dyDescent="0.6">
      <c r="A325" s="7"/>
      <c r="B325" s="404" t="s">
        <v>313</v>
      </c>
      <c r="C325" s="405" t="s">
        <v>314</v>
      </c>
      <c r="D325"/>
      <c r="E325" s="137"/>
      <c r="F325" s="4"/>
      <c r="G325"/>
      <c r="H325"/>
      <c r="I325"/>
      <c r="J325"/>
      <c r="K325"/>
      <c r="L325"/>
    </row>
    <row r="326" spans="1:12" x14ac:dyDescent="0.6">
      <c r="A326" s="7"/>
      <c r="B326" t="str">
        <f>'BGS PTY21 Cost Alloc'!B318</f>
        <v xml:space="preserve"> </v>
      </c>
      <c r="C326" s="9"/>
      <c r="D326"/>
      <c r="E326" s="137"/>
      <c r="F326" s="137"/>
      <c r="G326"/>
      <c r="H326"/>
      <c r="I326"/>
      <c r="J326"/>
      <c r="K326"/>
      <c r="L326"/>
    </row>
    <row r="331" spans="1:12" x14ac:dyDescent="0.6">
      <c r="L331" s="144"/>
    </row>
    <row r="340" spans="12:12" x14ac:dyDescent="0.6">
      <c r="L340" s="144"/>
    </row>
    <row r="341" spans="12:12" x14ac:dyDescent="0.6">
      <c r="L341" s="144"/>
    </row>
    <row r="342" spans="12:12" x14ac:dyDescent="0.6">
      <c r="L342" s="144"/>
    </row>
    <row r="343" spans="12:12" x14ac:dyDescent="0.6">
      <c r="L343" s="139"/>
    </row>
    <row r="344" spans="12:12" x14ac:dyDescent="0.6">
      <c r="L344" s="139"/>
    </row>
    <row r="345" spans="12:12" x14ac:dyDescent="0.6">
      <c r="L345" s="139"/>
    </row>
  </sheetData>
  <sheetProtection algorithmName="SHA-512" hashValue="nxmMfOKbmSchHMNctVyU1pYNJ1r73odQ8uOBb9p39eIFcCdqPax0VmtjG1MBQDvYjNhsY0Cw1GmJbY45rikuTg==" saltValue="mMD12QgGHM/uuuJJTv2Z/w==" spinCount="100000" sheet="1" objects="1" scenarios="1" selectLockedCells="1" selectUnlockedCells="1"/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3:L283"/>
    <mergeCell ref="B284:L284"/>
    <mergeCell ref="B236:L236"/>
    <mergeCell ref="B237:L237"/>
    <mergeCell ref="B206:L206"/>
    <mergeCell ref="B207:L207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11" man="1"/>
    <brk id="102" max="11" man="1"/>
    <brk id="142" max="11" man="1"/>
    <brk id="205" max="11" man="1"/>
    <brk id="235" max="11" man="1"/>
    <brk id="282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Y318"/>
  <sheetViews>
    <sheetView view="pageBreakPreview" zoomScale="80" zoomScaleNormal="70" zoomScaleSheetLayoutView="80" workbookViewId="0"/>
  </sheetViews>
  <sheetFormatPr defaultColWidth="9.08984375" defaultRowHeight="13" x14ac:dyDescent="0.6"/>
  <cols>
    <col min="1" max="1" width="16.08984375" style="12" customWidth="1"/>
    <col min="2" max="2" width="27.90625" style="13" customWidth="1"/>
    <col min="3" max="3" width="14.54296875" style="13" customWidth="1"/>
    <col min="4" max="4" width="12.54296875" style="13" customWidth="1"/>
    <col min="5" max="5" width="14.453125" style="13" customWidth="1"/>
    <col min="6" max="7" width="16.08984375" style="13" customWidth="1"/>
    <col min="8" max="8" width="15.08984375" style="13" customWidth="1"/>
    <col min="9" max="9" width="14.54296875" style="13" customWidth="1"/>
    <col min="10" max="10" width="15.453125" style="13" customWidth="1"/>
    <col min="11" max="11" width="4.90625" style="13" customWidth="1"/>
    <col min="12" max="12" width="6.54296875" style="13" customWidth="1"/>
    <col min="13" max="13" width="15.90625" style="13" hidden="1" customWidth="1"/>
    <col min="14" max="14" width="18" style="13" hidden="1" customWidth="1"/>
    <col min="15" max="16" width="12.453125" style="13" hidden="1" customWidth="1"/>
    <col min="17" max="17" width="15.54296875" style="13" hidden="1" customWidth="1"/>
    <col min="18" max="18" width="14.453125" style="13" hidden="1" customWidth="1"/>
    <col min="19" max="19" width="14.90625" style="13" hidden="1" customWidth="1"/>
    <col min="20" max="20" width="15.08984375" style="13" hidden="1" customWidth="1"/>
    <col min="21" max="21" width="14.08984375" style="13" hidden="1" customWidth="1"/>
    <col min="22" max="22" width="12.453125" style="13" hidden="1" customWidth="1"/>
    <col min="23" max="23" width="13.453125" style="13" hidden="1" customWidth="1"/>
    <col min="24" max="24" width="15.453125" style="13" hidden="1" customWidth="1"/>
    <col min="25" max="25" width="12.90625" style="13" hidden="1" customWidth="1"/>
    <col min="26" max="26" width="11.54296875" style="13" hidden="1" customWidth="1"/>
    <col min="27" max="27" width="12.54296875" style="13" hidden="1" customWidth="1"/>
    <col min="28" max="28" width="16.90625" style="13" hidden="1" customWidth="1"/>
    <col min="29" max="29" width="15.6328125" style="13" hidden="1" customWidth="1"/>
    <col min="30" max="30" width="14.08984375" style="13" hidden="1" customWidth="1"/>
    <col min="31" max="31" width="16.453125" style="13" hidden="1" customWidth="1"/>
    <col min="32" max="32" width="12.6328125" style="13" hidden="1" customWidth="1"/>
    <col min="33" max="33" width="12" style="13" hidden="1" customWidth="1"/>
    <col min="34" max="34" width="13.453125" style="13" hidden="1" customWidth="1"/>
    <col min="35" max="35" width="9.08984375" style="13" hidden="1" customWidth="1"/>
    <col min="36" max="36" width="11" style="13" customWidth="1"/>
    <col min="37" max="37" width="14.54296875" style="13" customWidth="1"/>
    <col min="38" max="38" width="12.453125" style="13" customWidth="1"/>
    <col min="39" max="46" width="9.08984375" style="13" customWidth="1"/>
    <col min="47" max="48" width="10.90625" style="13" customWidth="1"/>
    <col min="49" max="49" width="12.453125" style="13" customWidth="1"/>
    <col min="50" max="50" width="10.90625" style="13" hidden="1" customWidth="1"/>
    <col min="51" max="51" width="11.453125" style="13" customWidth="1"/>
    <col min="52" max="16384" width="9.08984375" style="13"/>
  </cols>
  <sheetData>
    <row r="1" spans="1:26" ht="15.5" x14ac:dyDescent="0.7">
      <c r="B1" s="578" t="s">
        <v>69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1:26" ht="15.5" x14ac:dyDescent="0.7">
      <c r="B2" s="578" t="s">
        <v>187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26" ht="15.5" x14ac:dyDescent="0.7">
      <c r="B3" s="579" t="s">
        <v>378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</row>
    <row r="4" spans="1:26" ht="15.5" x14ac:dyDescent="0.7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5" x14ac:dyDescent="0.7">
      <c r="B5" s="579" t="s">
        <v>377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</row>
    <row r="8" spans="1:26" ht="15.5" x14ac:dyDescent="0.7">
      <c r="B8" s="14" t="s">
        <v>50</v>
      </c>
    </row>
    <row r="9" spans="1:26" x14ac:dyDescent="0.6">
      <c r="A9" s="15"/>
      <c r="B9" s="16" t="s">
        <v>45</v>
      </c>
    </row>
    <row r="10" spans="1:26" x14ac:dyDescent="0.6">
      <c r="E10" s="17" t="s">
        <v>387</v>
      </c>
      <c r="F10" s="90"/>
      <c r="G10" s="90"/>
      <c r="H10" s="90"/>
    </row>
    <row r="11" spans="1:26" x14ac:dyDescent="0.6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" x14ac:dyDescent="0.6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6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6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6">
      <c r="A15" s="22"/>
      <c r="B15" s="28" t="s">
        <v>1</v>
      </c>
      <c r="C15" s="29"/>
      <c r="D15" s="29"/>
      <c r="E15" s="478">
        <v>0.47970000000000002</v>
      </c>
      <c r="F15" s="478">
        <v>0.501</v>
      </c>
      <c r="G15" s="478">
        <v>0.56310000000000004</v>
      </c>
      <c r="H15" s="478">
        <v>0.53949999999999998</v>
      </c>
      <c r="I15" s="478">
        <v>0.3347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0.52029999999999998</v>
      </c>
      <c r="R15" s="32">
        <f t="shared" ref="R15:R26" si="1">1-F15</f>
        <v>0.499</v>
      </c>
      <c r="S15" s="32">
        <f t="shared" ref="S15:S26" si="2">1-G15</f>
        <v>0.43689999999999996</v>
      </c>
      <c r="T15" s="32">
        <f t="shared" ref="T15:T26" si="3">1-H15</f>
        <v>0.46050000000000002</v>
      </c>
      <c r="U15" s="32">
        <f t="shared" ref="U15:U26" si="4">1-I15</f>
        <v>0.6653</v>
      </c>
      <c r="V15" s="32"/>
      <c r="W15" s="32"/>
      <c r="X15" s="32"/>
      <c r="Y15" s="32"/>
      <c r="Z15" s="32"/>
    </row>
    <row r="16" spans="1:26" x14ac:dyDescent="0.6">
      <c r="A16" s="22"/>
      <c r="B16" s="28" t="s">
        <v>2</v>
      </c>
      <c r="C16" s="29"/>
      <c r="D16" s="29"/>
      <c r="E16" s="478">
        <v>0.47260000000000002</v>
      </c>
      <c r="F16" s="478">
        <v>0.49969999999999998</v>
      </c>
      <c r="G16" s="478">
        <v>0.5635</v>
      </c>
      <c r="H16" s="478">
        <v>0.54</v>
      </c>
      <c r="I16" s="478">
        <v>0.30930000000000002</v>
      </c>
      <c r="J16" s="29"/>
      <c r="K16" s="29"/>
      <c r="L16" s="30"/>
      <c r="M16" s="30"/>
      <c r="N16" s="31"/>
      <c r="O16" s="32"/>
      <c r="P16" s="32"/>
      <c r="Q16" s="32">
        <f t="shared" si="0"/>
        <v>0.52739999999999998</v>
      </c>
      <c r="R16" s="32">
        <f t="shared" si="1"/>
        <v>0.50029999999999997</v>
      </c>
      <c r="S16" s="32">
        <f t="shared" si="2"/>
        <v>0.4365</v>
      </c>
      <c r="T16" s="32">
        <f t="shared" si="3"/>
        <v>0.45999999999999996</v>
      </c>
      <c r="U16" s="32">
        <f t="shared" si="4"/>
        <v>0.69069999999999998</v>
      </c>
      <c r="V16" s="32"/>
      <c r="W16" s="32"/>
      <c r="X16" s="32"/>
      <c r="Y16" s="32"/>
      <c r="Z16" s="32"/>
    </row>
    <row r="17" spans="1:26" x14ac:dyDescent="0.6">
      <c r="A17" s="22"/>
      <c r="B17" s="28" t="s">
        <v>3</v>
      </c>
      <c r="C17" s="29"/>
      <c r="D17" s="29"/>
      <c r="E17" s="478">
        <v>0.48060000000000003</v>
      </c>
      <c r="F17" s="478">
        <v>0.50870000000000004</v>
      </c>
      <c r="G17" s="478">
        <v>0.58779999999999999</v>
      </c>
      <c r="H17" s="478">
        <v>0.54120000000000001</v>
      </c>
      <c r="I17" s="478">
        <v>0.30869999999999997</v>
      </c>
      <c r="J17" s="29"/>
      <c r="K17" s="29"/>
      <c r="L17" s="30"/>
      <c r="M17" s="30"/>
      <c r="N17" s="31"/>
      <c r="O17" s="32"/>
      <c r="P17" s="32"/>
      <c r="Q17" s="32">
        <f t="shared" si="0"/>
        <v>0.51939999999999997</v>
      </c>
      <c r="R17" s="32">
        <f t="shared" si="1"/>
        <v>0.49129999999999996</v>
      </c>
      <c r="S17" s="32">
        <f t="shared" si="2"/>
        <v>0.41220000000000001</v>
      </c>
      <c r="T17" s="32">
        <f t="shared" si="3"/>
        <v>0.45879999999999999</v>
      </c>
      <c r="U17" s="32">
        <f t="shared" si="4"/>
        <v>0.69130000000000003</v>
      </c>
      <c r="V17" s="32"/>
      <c r="W17" s="32"/>
      <c r="X17" s="32"/>
      <c r="Y17" s="32"/>
      <c r="Z17" s="32"/>
    </row>
    <row r="18" spans="1:26" x14ac:dyDescent="0.6">
      <c r="A18" s="22"/>
      <c r="B18" s="28" t="s">
        <v>4</v>
      </c>
      <c r="C18" s="29"/>
      <c r="D18" s="29"/>
      <c r="E18" s="478">
        <v>0.5101</v>
      </c>
      <c r="F18" s="478">
        <v>0.53190000000000004</v>
      </c>
      <c r="G18" s="478">
        <v>0.60499999999999998</v>
      </c>
      <c r="H18" s="478">
        <v>0.55989999999999995</v>
      </c>
      <c r="I18" s="478">
        <v>0.32129999999999997</v>
      </c>
      <c r="J18" s="29"/>
      <c r="K18" s="29"/>
      <c r="L18" s="30"/>
      <c r="M18" s="30"/>
      <c r="N18" s="31"/>
      <c r="O18" s="32"/>
      <c r="P18" s="32"/>
      <c r="Q18" s="32">
        <f t="shared" si="0"/>
        <v>0.4899</v>
      </c>
      <c r="R18" s="32">
        <f t="shared" si="1"/>
        <v>0.46809999999999996</v>
      </c>
      <c r="S18" s="32">
        <f t="shared" si="2"/>
        <v>0.39500000000000002</v>
      </c>
      <c r="T18" s="32">
        <f t="shared" si="3"/>
        <v>0.44010000000000005</v>
      </c>
      <c r="U18" s="32">
        <f t="shared" si="4"/>
        <v>0.67870000000000008</v>
      </c>
      <c r="V18" s="32"/>
      <c r="W18" s="32"/>
      <c r="X18" s="32"/>
      <c r="Y18" s="32"/>
      <c r="Z18" s="32"/>
    </row>
    <row r="19" spans="1:26" x14ac:dyDescent="0.6">
      <c r="A19" s="22"/>
      <c r="B19" s="28" t="s">
        <v>5</v>
      </c>
      <c r="C19" s="29"/>
      <c r="D19" s="29"/>
      <c r="E19" s="478">
        <v>0.45390000000000003</v>
      </c>
      <c r="F19" s="478">
        <v>0.4703</v>
      </c>
      <c r="G19" s="478">
        <v>0.56489999999999996</v>
      </c>
      <c r="H19" s="478">
        <v>0.53159999999999996</v>
      </c>
      <c r="I19" s="478">
        <v>0.28849999999999998</v>
      </c>
      <c r="J19" s="29"/>
      <c r="K19" s="29"/>
      <c r="L19" s="30"/>
      <c r="M19" s="30"/>
      <c r="N19" s="31"/>
      <c r="O19" s="32"/>
      <c r="P19" s="32"/>
      <c r="Q19" s="32">
        <f t="shared" si="0"/>
        <v>0.54610000000000003</v>
      </c>
      <c r="R19" s="32">
        <f t="shared" si="1"/>
        <v>0.52970000000000006</v>
      </c>
      <c r="S19" s="32">
        <f t="shared" si="2"/>
        <v>0.43510000000000004</v>
      </c>
      <c r="T19" s="32">
        <f t="shared" si="3"/>
        <v>0.46840000000000004</v>
      </c>
      <c r="U19" s="32">
        <f t="shared" si="4"/>
        <v>0.71150000000000002</v>
      </c>
      <c r="V19" s="32"/>
      <c r="W19" s="32"/>
      <c r="X19" s="32"/>
      <c r="Y19" s="32"/>
      <c r="Z19" s="32"/>
    </row>
    <row r="20" spans="1:26" x14ac:dyDescent="0.6">
      <c r="A20" s="22"/>
      <c r="B20" s="179" t="s">
        <v>6</v>
      </c>
      <c r="C20" s="200"/>
      <c r="D20" s="200"/>
      <c r="E20" s="479">
        <v>0.52869999999999995</v>
      </c>
      <c r="F20" s="479">
        <v>0.53539999999999999</v>
      </c>
      <c r="G20" s="479">
        <v>0.58169999999999999</v>
      </c>
      <c r="H20" s="479">
        <v>0.56359999999999999</v>
      </c>
      <c r="I20" s="480">
        <v>0.29959999999999998</v>
      </c>
      <c r="J20" s="29"/>
      <c r="K20" s="29"/>
      <c r="L20" s="30"/>
      <c r="M20" s="30"/>
      <c r="N20" s="31"/>
      <c r="O20" s="32"/>
      <c r="P20" s="32"/>
      <c r="Q20" s="32">
        <f t="shared" si="0"/>
        <v>0.47130000000000005</v>
      </c>
      <c r="R20" s="32">
        <f t="shared" si="1"/>
        <v>0.46460000000000001</v>
      </c>
      <c r="S20" s="32">
        <f t="shared" si="2"/>
        <v>0.41830000000000001</v>
      </c>
      <c r="T20" s="32">
        <f t="shared" si="3"/>
        <v>0.43640000000000001</v>
      </c>
      <c r="U20" s="32">
        <f t="shared" si="4"/>
        <v>0.70040000000000002</v>
      </c>
      <c r="V20" s="32"/>
      <c r="W20" s="32"/>
      <c r="X20" s="32"/>
      <c r="Y20" s="32"/>
      <c r="Z20" s="32"/>
    </row>
    <row r="21" spans="1:26" x14ac:dyDescent="0.6">
      <c r="A21" s="22"/>
      <c r="B21" s="183" t="s">
        <v>7</v>
      </c>
      <c r="C21" s="177"/>
      <c r="D21" s="177"/>
      <c r="E21" s="481">
        <v>0.53010000000000002</v>
      </c>
      <c r="F21" s="481">
        <v>0.52810000000000001</v>
      </c>
      <c r="G21" s="481">
        <v>0.58140000000000003</v>
      </c>
      <c r="H21" s="481">
        <v>0.5575</v>
      </c>
      <c r="I21" s="482">
        <v>0.29630000000000001</v>
      </c>
      <c r="J21" s="29"/>
      <c r="K21" s="29"/>
      <c r="L21" s="30"/>
      <c r="M21" s="30"/>
      <c r="N21" s="31"/>
      <c r="O21" s="32"/>
      <c r="P21" s="32"/>
      <c r="Q21" s="32">
        <f t="shared" si="0"/>
        <v>0.46989999999999998</v>
      </c>
      <c r="R21" s="32">
        <f t="shared" si="1"/>
        <v>0.47189999999999999</v>
      </c>
      <c r="S21" s="32">
        <f t="shared" si="2"/>
        <v>0.41859999999999997</v>
      </c>
      <c r="T21" s="32">
        <f t="shared" si="3"/>
        <v>0.4425</v>
      </c>
      <c r="U21" s="32">
        <f t="shared" si="4"/>
        <v>0.70369999999999999</v>
      </c>
      <c r="V21" s="32"/>
      <c r="W21" s="32"/>
      <c r="X21" s="32"/>
      <c r="Y21" s="32"/>
      <c r="Z21" s="32"/>
    </row>
    <row r="22" spans="1:26" x14ac:dyDescent="0.6">
      <c r="A22" s="22"/>
      <c r="B22" s="183" t="s">
        <v>8</v>
      </c>
      <c r="C22" s="177"/>
      <c r="D22" s="177"/>
      <c r="E22" s="481">
        <v>0.53069999999999995</v>
      </c>
      <c r="F22" s="481">
        <v>0.53090000000000004</v>
      </c>
      <c r="G22" s="481">
        <v>0.57820000000000005</v>
      </c>
      <c r="H22" s="481">
        <v>0.55389999999999995</v>
      </c>
      <c r="I22" s="482">
        <v>0.30009999999999998</v>
      </c>
      <c r="J22" s="29"/>
      <c r="K22" s="29"/>
      <c r="L22" s="30"/>
      <c r="M22" s="30"/>
      <c r="N22" s="31"/>
      <c r="O22" s="32"/>
      <c r="P22" s="32"/>
      <c r="Q22" s="32">
        <f t="shared" si="0"/>
        <v>0.46930000000000005</v>
      </c>
      <c r="R22" s="32">
        <f t="shared" si="1"/>
        <v>0.46909999999999996</v>
      </c>
      <c r="S22" s="32">
        <f t="shared" si="2"/>
        <v>0.42179999999999995</v>
      </c>
      <c r="T22" s="32">
        <f t="shared" si="3"/>
        <v>0.44610000000000005</v>
      </c>
      <c r="U22" s="32">
        <f t="shared" si="4"/>
        <v>0.69989999999999997</v>
      </c>
      <c r="V22" s="32"/>
      <c r="W22" s="32"/>
      <c r="X22" s="32"/>
      <c r="Y22" s="32"/>
      <c r="Z22" s="32"/>
    </row>
    <row r="23" spans="1:26" x14ac:dyDescent="0.6">
      <c r="A23" s="22"/>
      <c r="B23" s="186" t="s">
        <v>9</v>
      </c>
      <c r="C23" s="201"/>
      <c r="D23" s="201"/>
      <c r="E23" s="483">
        <v>0.4824</v>
      </c>
      <c r="F23" s="483">
        <v>0.49249999999999999</v>
      </c>
      <c r="G23" s="483">
        <v>0.58209999999999995</v>
      </c>
      <c r="H23" s="483">
        <v>0.55189999999999995</v>
      </c>
      <c r="I23" s="484">
        <v>0.31309999999999999</v>
      </c>
      <c r="J23" s="29"/>
      <c r="K23" s="29"/>
      <c r="L23" s="30"/>
      <c r="M23" s="30"/>
      <c r="N23" s="31"/>
      <c r="O23" s="32"/>
      <c r="P23" s="32"/>
      <c r="Q23" s="32">
        <f t="shared" si="0"/>
        <v>0.51760000000000006</v>
      </c>
      <c r="R23" s="32">
        <f t="shared" si="1"/>
        <v>0.50750000000000006</v>
      </c>
      <c r="S23" s="32">
        <f t="shared" si="2"/>
        <v>0.41790000000000005</v>
      </c>
      <c r="T23" s="32">
        <f t="shared" si="3"/>
        <v>0.44810000000000005</v>
      </c>
      <c r="U23" s="32">
        <f t="shared" si="4"/>
        <v>0.68690000000000007</v>
      </c>
      <c r="V23" s="32"/>
      <c r="W23" s="32"/>
      <c r="X23" s="32"/>
      <c r="Y23" s="32"/>
      <c r="Z23" s="32"/>
    </row>
    <row r="24" spans="1:26" x14ac:dyDescent="0.6">
      <c r="A24" s="22"/>
      <c r="B24" s="28" t="s">
        <v>10</v>
      </c>
      <c r="C24" s="29"/>
      <c r="D24" s="29"/>
      <c r="E24" s="478">
        <v>0.48709999999999998</v>
      </c>
      <c r="F24" s="478">
        <v>0.51280000000000003</v>
      </c>
      <c r="G24" s="478">
        <v>0.58860000000000001</v>
      </c>
      <c r="H24" s="478">
        <v>0.56169999999999998</v>
      </c>
      <c r="I24" s="478">
        <v>0.33639999999999998</v>
      </c>
      <c r="J24" s="29"/>
      <c r="K24" s="29"/>
      <c r="L24" s="30"/>
      <c r="M24" s="30"/>
      <c r="N24" s="31"/>
      <c r="O24" s="32"/>
      <c r="P24" s="32"/>
      <c r="Q24" s="32">
        <f t="shared" si="0"/>
        <v>0.51290000000000002</v>
      </c>
      <c r="R24" s="32">
        <f t="shared" si="1"/>
        <v>0.48719999999999997</v>
      </c>
      <c r="S24" s="32">
        <f t="shared" si="2"/>
        <v>0.41139999999999999</v>
      </c>
      <c r="T24" s="32">
        <f t="shared" si="3"/>
        <v>0.43830000000000002</v>
      </c>
      <c r="U24" s="32">
        <f t="shared" si="4"/>
        <v>0.66359999999999997</v>
      </c>
      <c r="V24" s="32"/>
      <c r="W24" s="32"/>
      <c r="X24" s="32"/>
      <c r="Y24" s="32"/>
      <c r="Z24" s="32"/>
    </row>
    <row r="25" spans="1:26" x14ac:dyDescent="0.6">
      <c r="A25" s="22"/>
      <c r="B25" s="28" t="s">
        <v>11</v>
      </c>
      <c r="C25" s="29"/>
      <c r="D25" s="29"/>
      <c r="E25" s="478">
        <v>0.45250000000000001</v>
      </c>
      <c r="F25" s="478">
        <v>0.48230000000000001</v>
      </c>
      <c r="G25" s="478">
        <v>0.56159999999999999</v>
      </c>
      <c r="H25" s="478">
        <v>0.52959999999999996</v>
      </c>
      <c r="I25" s="478">
        <v>0.32190000000000002</v>
      </c>
      <c r="J25" s="29"/>
      <c r="K25" s="29"/>
      <c r="L25" s="30"/>
      <c r="M25" s="30"/>
      <c r="N25" s="31"/>
      <c r="O25" s="32"/>
      <c r="P25" s="32"/>
      <c r="Q25" s="32">
        <f t="shared" si="0"/>
        <v>0.54749999999999999</v>
      </c>
      <c r="R25" s="32">
        <f t="shared" si="1"/>
        <v>0.51770000000000005</v>
      </c>
      <c r="S25" s="32">
        <f t="shared" si="2"/>
        <v>0.43840000000000001</v>
      </c>
      <c r="T25" s="32">
        <f t="shared" si="3"/>
        <v>0.47040000000000004</v>
      </c>
      <c r="U25" s="32">
        <f t="shared" si="4"/>
        <v>0.67809999999999993</v>
      </c>
      <c r="V25" s="32"/>
      <c r="W25" s="32"/>
      <c r="X25" s="32"/>
      <c r="Y25" s="32"/>
      <c r="Z25" s="32"/>
    </row>
    <row r="26" spans="1:26" x14ac:dyDescent="0.6">
      <c r="A26" s="22"/>
      <c r="B26" s="28" t="s">
        <v>12</v>
      </c>
      <c r="C26" s="29"/>
      <c r="D26" s="29"/>
      <c r="E26" s="478">
        <v>0.4834</v>
      </c>
      <c r="F26" s="478">
        <v>0.50560000000000005</v>
      </c>
      <c r="G26" s="478">
        <v>0.57509999999999994</v>
      </c>
      <c r="H26" s="478">
        <v>0.54320000000000002</v>
      </c>
      <c r="I26" s="478">
        <v>0.34179999999999999</v>
      </c>
      <c r="J26" s="29"/>
      <c r="K26" s="29"/>
      <c r="L26" s="30"/>
      <c r="M26" s="30"/>
      <c r="N26" s="31"/>
      <c r="O26" s="32"/>
      <c r="P26" s="32"/>
      <c r="Q26" s="32">
        <f t="shared" si="0"/>
        <v>0.51659999999999995</v>
      </c>
      <c r="R26" s="32">
        <f t="shared" si="1"/>
        <v>0.49439999999999995</v>
      </c>
      <c r="S26" s="32">
        <f t="shared" si="2"/>
        <v>0.42490000000000006</v>
      </c>
      <c r="T26" s="32">
        <f t="shared" si="3"/>
        <v>0.45679999999999998</v>
      </c>
      <c r="U26" s="32">
        <f t="shared" si="4"/>
        <v>0.65820000000000001</v>
      </c>
      <c r="V26" s="32"/>
      <c r="W26" s="32"/>
      <c r="X26" s="32"/>
      <c r="Y26" s="32"/>
      <c r="Z26" s="32"/>
    </row>
    <row r="27" spans="1:26" x14ac:dyDescent="0.6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6">
      <c r="A28" s="22"/>
      <c r="B28" s="28"/>
      <c r="C28" s="31"/>
      <c r="D28" s="31"/>
      <c r="E28" s="31"/>
      <c r="F28" s="31"/>
      <c r="G28" s="31"/>
      <c r="H28" s="31"/>
      <c r="I28" s="31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6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6">
      <c r="A30" s="22"/>
      <c r="C30" s="23"/>
      <c r="D30" s="23"/>
      <c r="E30" s="178" t="s">
        <v>390</v>
      </c>
      <c r="F30" s="23" t="s">
        <v>39</v>
      </c>
      <c r="G30" s="23" t="s">
        <v>39</v>
      </c>
      <c r="H30" s="178" t="s">
        <v>390</v>
      </c>
      <c r="I30" s="23" t="s">
        <v>39</v>
      </c>
      <c r="J30" s="23"/>
      <c r="K30" s="23"/>
      <c r="L30" s="23"/>
      <c r="M30" s="580"/>
      <c r="N30" s="580"/>
      <c r="O30" s="23"/>
      <c r="P30" s="23"/>
      <c r="Q30" s="178" t="str">
        <f>E30</f>
        <v>2022 Forecasted Calendar Month Sales</v>
      </c>
      <c r="R30" s="23" t="s">
        <v>39</v>
      </c>
      <c r="S30" s="23" t="s">
        <v>39</v>
      </c>
      <c r="T30" s="178" t="str">
        <f>H30</f>
        <v>2022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6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6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6">
      <c r="A33" s="22"/>
      <c r="B33" s="28" t="s">
        <v>1</v>
      </c>
      <c r="C33" s="35"/>
      <c r="D33" s="135"/>
      <c r="E33" s="463">
        <v>0.3579</v>
      </c>
      <c r="F33" s="156" t="s">
        <v>40</v>
      </c>
      <c r="G33" s="156" t="s">
        <v>40</v>
      </c>
      <c r="H33" s="464">
        <v>0.41599999999999998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0.6421</v>
      </c>
      <c r="R33" s="32"/>
      <c r="S33" s="32"/>
      <c r="T33" s="32">
        <f t="shared" ref="T33:T44" si="6">1-H33</f>
        <v>0.58400000000000007</v>
      </c>
      <c r="U33" s="32"/>
      <c r="V33" s="32"/>
      <c r="W33" s="32"/>
      <c r="X33" s="32"/>
      <c r="Y33" s="32"/>
      <c r="Z33" s="32"/>
    </row>
    <row r="34" spans="1:26" x14ac:dyDescent="0.6">
      <c r="A34" s="22"/>
      <c r="B34" s="28" t="s">
        <v>2</v>
      </c>
      <c r="C34" s="35"/>
      <c r="D34" s="135"/>
      <c r="E34" s="463">
        <v>0.3508</v>
      </c>
      <c r="F34" s="156" t="s">
        <v>40</v>
      </c>
      <c r="G34" s="156" t="s">
        <v>40</v>
      </c>
      <c r="H34" s="464">
        <v>0.42020000000000002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0.6492</v>
      </c>
      <c r="R34" s="32"/>
      <c r="S34" s="32"/>
      <c r="T34" s="32">
        <f t="shared" si="6"/>
        <v>0.57979999999999998</v>
      </c>
      <c r="U34" s="32"/>
      <c r="V34" s="32"/>
      <c r="W34" s="32"/>
      <c r="X34" s="32"/>
      <c r="Y34" s="32"/>
      <c r="Z34" s="32"/>
    </row>
    <row r="35" spans="1:26" x14ac:dyDescent="0.6">
      <c r="A35" s="22"/>
      <c r="B35" s="28" t="s">
        <v>3</v>
      </c>
      <c r="C35" s="35"/>
      <c r="D35" s="135"/>
      <c r="E35" s="463">
        <v>0.35049999999999998</v>
      </c>
      <c r="F35" s="156" t="s">
        <v>40</v>
      </c>
      <c r="G35" s="156" t="s">
        <v>40</v>
      </c>
      <c r="H35" s="464">
        <v>0.42030000000000001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0.64949999999999997</v>
      </c>
      <c r="R35" s="32"/>
      <c r="S35" s="32"/>
      <c r="T35" s="32">
        <f t="shared" si="6"/>
        <v>0.57969999999999999</v>
      </c>
      <c r="U35" s="32"/>
      <c r="V35" s="32"/>
      <c r="W35" s="32"/>
      <c r="X35" s="32"/>
      <c r="Y35" s="32"/>
      <c r="Z35" s="32"/>
    </row>
    <row r="36" spans="1:26" x14ac:dyDescent="0.6">
      <c r="A36" s="22"/>
      <c r="B36" s="28" t="s">
        <v>4</v>
      </c>
      <c r="C36" s="35"/>
      <c r="D36" s="135"/>
      <c r="E36" s="463">
        <v>0.35899999999999999</v>
      </c>
      <c r="F36" s="156" t="s">
        <v>40</v>
      </c>
      <c r="G36" s="156" t="s">
        <v>40</v>
      </c>
      <c r="H36" s="464">
        <v>0.42099999999999999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0.64100000000000001</v>
      </c>
      <c r="R36" s="32"/>
      <c r="S36" s="32"/>
      <c r="T36" s="32">
        <f t="shared" si="6"/>
        <v>0.57899999999999996</v>
      </c>
      <c r="U36" s="32"/>
      <c r="V36" s="32"/>
      <c r="W36" s="32"/>
      <c r="X36" s="32"/>
      <c r="Y36" s="32"/>
      <c r="Z36" s="32"/>
    </row>
    <row r="37" spans="1:26" x14ac:dyDescent="0.6">
      <c r="A37" s="22"/>
      <c r="B37" s="28" t="s">
        <v>5</v>
      </c>
      <c r="C37" s="35"/>
      <c r="D37" s="135"/>
      <c r="E37" s="463">
        <v>0.3785</v>
      </c>
      <c r="F37" s="156" t="s">
        <v>40</v>
      </c>
      <c r="G37" s="156" t="s">
        <v>40</v>
      </c>
      <c r="H37" s="464">
        <v>0.43340000000000001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0.62149999999999994</v>
      </c>
      <c r="R37" s="32"/>
      <c r="S37" s="32"/>
      <c r="T37" s="32">
        <f t="shared" si="6"/>
        <v>0.56659999999999999</v>
      </c>
      <c r="U37" s="32"/>
      <c r="V37" s="32"/>
      <c r="W37" s="32"/>
      <c r="X37" s="32"/>
      <c r="Y37" s="32"/>
      <c r="Z37" s="32"/>
    </row>
    <row r="38" spans="1:26" x14ac:dyDescent="0.6">
      <c r="A38" s="22"/>
      <c r="B38" s="179" t="s">
        <v>6</v>
      </c>
      <c r="C38" s="202"/>
      <c r="D38" s="203"/>
      <c r="E38" s="465">
        <v>0.40579999999999999</v>
      </c>
      <c r="F38" s="466" t="s">
        <v>40</v>
      </c>
      <c r="G38" s="466" t="s">
        <v>40</v>
      </c>
      <c r="H38" s="467">
        <v>0.44700000000000001</v>
      </c>
      <c r="I38" s="205" t="s">
        <v>40</v>
      </c>
      <c r="J38" s="135"/>
      <c r="K38" s="35"/>
      <c r="L38" s="35"/>
      <c r="M38" s="30"/>
      <c r="N38" s="31"/>
      <c r="O38" s="32"/>
      <c r="P38" s="32"/>
      <c r="Q38" s="32">
        <f t="shared" si="5"/>
        <v>0.59420000000000006</v>
      </c>
      <c r="R38" s="32"/>
      <c r="S38" s="32"/>
      <c r="T38" s="32">
        <f t="shared" si="6"/>
        <v>0.55299999999999994</v>
      </c>
      <c r="U38" s="32"/>
      <c r="V38" s="32"/>
      <c r="W38" s="32"/>
      <c r="X38" s="32"/>
      <c r="Y38" s="32"/>
      <c r="Z38" s="32"/>
    </row>
    <row r="39" spans="1:26" x14ac:dyDescent="0.6">
      <c r="A39" s="22"/>
      <c r="B39" s="183" t="s">
        <v>7</v>
      </c>
      <c r="C39" s="197"/>
      <c r="D39" s="198"/>
      <c r="E39" s="468">
        <v>0.42009999999999997</v>
      </c>
      <c r="F39" s="469" t="s">
        <v>40</v>
      </c>
      <c r="G39" s="469" t="s">
        <v>40</v>
      </c>
      <c r="H39" s="470">
        <v>0.45219999999999999</v>
      </c>
      <c r="I39" s="206" t="s">
        <v>40</v>
      </c>
      <c r="J39" s="135"/>
      <c r="K39" s="35"/>
      <c r="L39" s="35"/>
      <c r="M39" s="30"/>
      <c r="N39" s="31"/>
      <c r="O39" s="32"/>
      <c r="P39" s="32"/>
      <c r="Q39" s="32">
        <f t="shared" si="5"/>
        <v>0.57990000000000008</v>
      </c>
      <c r="R39" s="32"/>
      <c r="S39" s="32"/>
      <c r="T39" s="32">
        <f t="shared" si="6"/>
        <v>0.54780000000000006</v>
      </c>
      <c r="U39" s="32"/>
      <c r="V39" s="32"/>
      <c r="W39" s="32"/>
      <c r="X39" s="32"/>
      <c r="Y39" s="32"/>
      <c r="Z39" s="32"/>
    </row>
    <row r="40" spans="1:26" x14ac:dyDescent="0.6">
      <c r="A40" s="22"/>
      <c r="B40" s="183" t="s">
        <v>8</v>
      </c>
      <c r="C40" s="197"/>
      <c r="D40" s="198"/>
      <c r="E40" s="468">
        <v>0.4249</v>
      </c>
      <c r="F40" s="469" t="s">
        <v>40</v>
      </c>
      <c r="G40" s="469" t="s">
        <v>40</v>
      </c>
      <c r="H40" s="470">
        <v>0.44819999999999999</v>
      </c>
      <c r="I40" s="206" t="s">
        <v>40</v>
      </c>
      <c r="J40" s="135"/>
      <c r="K40" s="35"/>
      <c r="L40" s="35"/>
      <c r="M40" s="30"/>
      <c r="N40" s="31"/>
      <c r="O40" s="32"/>
      <c r="P40" s="32"/>
      <c r="Q40" s="32">
        <f t="shared" si="5"/>
        <v>0.57509999999999994</v>
      </c>
      <c r="R40" s="32"/>
      <c r="S40" s="32"/>
      <c r="T40" s="32">
        <f t="shared" si="6"/>
        <v>0.55180000000000007</v>
      </c>
      <c r="U40" s="32"/>
      <c r="V40" s="32"/>
      <c r="W40" s="32"/>
      <c r="X40" s="32"/>
      <c r="Y40" s="32"/>
      <c r="Z40" s="32"/>
    </row>
    <row r="41" spans="1:26" x14ac:dyDescent="0.6">
      <c r="A41" s="22"/>
      <c r="B41" s="186" t="s">
        <v>9</v>
      </c>
      <c r="C41" s="207"/>
      <c r="D41" s="208"/>
      <c r="E41" s="471">
        <v>0.41699999999999998</v>
      </c>
      <c r="F41" s="472" t="s">
        <v>40</v>
      </c>
      <c r="G41" s="472" t="s">
        <v>40</v>
      </c>
      <c r="H41" s="473">
        <v>0.45329999999999998</v>
      </c>
      <c r="I41" s="210" t="s">
        <v>40</v>
      </c>
      <c r="J41" s="135"/>
      <c r="K41" s="35"/>
      <c r="L41" s="35"/>
      <c r="M41" s="30"/>
      <c r="N41" s="31"/>
      <c r="O41" s="32"/>
      <c r="P41" s="32"/>
      <c r="Q41" s="32">
        <f t="shared" si="5"/>
        <v>0.58299999999999996</v>
      </c>
      <c r="R41" s="32"/>
      <c r="S41" s="32"/>
      <c r="T41" s="32">
        <f t="shared" si="6"/>
        <v>0.54669999999999996</v>
      </c>
      <c r="U41" s="32"/>
      <c r="V41" s="32"/>
      <c r="W41" s="32"/>
      <c r="X41" s="32"/>
      <c r="Y41" s="32"/>
      <c r="Z41" s="32"/>
    </row>
    <row r="42" spans="1:26" x14ac:dyDescent="0.6">
      <c r="A42" s="22"/>
      <c r="B42" s="28" t="s">
        <v>10</v>
      </c>
      <c r="C42" s="35"/>
      <c r="D42" s="135"/>
      <c r="E42" s="463">
        <v>0.38400000000000001</v>
      </c>
      <c r="F42" s="156" t="s">
        <v>40</v>
      </c>
      <c r="G42" s="156" t="s">
        <v>40</v>
      </c>
      <c r="H42" s="464">
        <v>0.44950000000000001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0.61599999999999999</v>
      </c>
      <c r="R42" s="32"/>
      <c r="S42" s="32"/>
      <c r="T42" s="32">
        <f t="shared" si="6"/>
        <v>0.55049999999999999</v>
      </c>
      <c r="U42" s="32"/>
      <c r="V42" s="32"/>
      <c r="W42" s="32"/>
      <c r="X42" s="32"/>
      <c r="Y42" s="32"/>
      <c r="Z42" s="32"/>
    </row>
    <row r="43" spans="1:26" x14ac:dyDescent="0.6">
      <c r="A43" s="22"/>
      <c r="B43" s="28" t="s">
        <v>11</v>
      </c>
      <c r="C43" s="35"/>
      <c r="D43" s="135"/>
      <c r="E43" s="463">
        <v>0.3599</v>
      </c>
      <c r="F43" s="156" t="s">
        <v>40</v>
      </c>
      <c r="G43" s="156" t="s">
        <v>40</v>
      </c>
      <c r="H43" s="464">
        <v>0.44040000000000001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0.6401</v>
      </c>
      <c r="R43" s="32"/>
      <c r="S43" s="32"/>
      <c r="T43" s="32">
        <f t="shared" si="6"/>
        <v>0.55959999999999999</v>
      </c>
      <c r="U43" s="32"/>
      <c r="V43" s="32"/>
      <c r="W43" s="32"/>
      <c r="X43" s="32"/>
      <c r="Y43" s="32"/>
      <c r="Z43" s="32"/>
    </row>
    <row r="44" spans="1:26" x14ac:dyDescent="0.6">
      <c r="A44" s="22"/>
      <c r="B44" s="28" t="s">
        <v>12</v>
      </c>
      <c r="C44" s="35"/>
      <c r="D44" s="135"/>
      <c r="E44" s="463">
        <v>0.35920000000000002</v>
      </c>
      <c r="F44" s="156" t="s">
        <v>40</v>
      </c>
      <c r="G44" s="156" t="s">
        <v>40</v>
      </c>
      <c r="H44" s="464">
        <v>0.42199999999999999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0.64080000000000004</v>
      </c>
      <c r="R44" s="32"/>
      <c r="S44" s="32"/>
      <c r="T44" s="32">
        <f t="shared" si="6"/>
        <v>0.57800000000000007</v>
      </c>
      <c r="U44" s="32"/>
      <c r="V44" s="32"/>
      <c r="W44" s="32"/>
      <c r="X44" s="32"/>
      <c r="Y44" s="32"/>
      <c r="Z44" s="32"/>
    </row>
    <row r="45" spans="1:26" x14ac:dyDescent="0.6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6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6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6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8" x14ac:dyDescent="0.6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8" x14ac:dyDescent="0.6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8" x14ac:dyDescent="0.6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8" ht="15.5" x14ac:dyDescent="0.7">
      <c r="A52" s="22"/>
      <c r="B52" s="578" t="str">
        <f>$B$1</f>
        <v xml:space="preserve">Jersey Central Power &amp; Light </v>
      </c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8" ht="15.5" x14ac:dyDescent="0.7">
      <c r="A53" s="22"/>
      <c r="B53" s="578" t="str">
        <f>$B$2</f>
        <v>Attachment 2</v>
      </c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70"/>
      <c r="N53" s="31"/>
      <c r="O53" s="32"/>
      <c r="P53" s="32"/>
      <c r="Q53" s="32"/>
      <c r="R53" s="32"/>
      <c r="S53" s="32"/>
      <c r="T53" s="32"/>
      <c r="U53" s="32"/>
      <c r="V53" s="32"/>
      <c r="W53" s="307" t="s">
        <v>251</v>
      </c>
      <c r="X53" s="32"/>
      <c r="Y53" s="32"/>
      <c r="Z53" s="32"/>
      <c r="AA53" s="55"/>
    </row>
    <row r="54" spans="1:38" x14ac:dyDescent="0.6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278"/>
      <c r="Y54" s="32"/>
      <c r="Z54" s="32"/>
      <c r="AJ54" s="307"/>
    </row>
    <row r="55" spans="1:38" x14ac:dyDescent="0.6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78" t="s">
        <v>371</v>
      </c>
      <c r="Z55" s="32"/>
    </row>
    <row r="56" spans="1:38" x14ac:dyDescent="0.6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73" t="s">
        <v>248</v>
      </c>
      <c r="Z56" s="134"/>
      <c r="AJ56" s="90"/>
      <c r="AK56" s="90"/>
      <c r="AL56" s="90"/>
    </row>
    <row r="57" spans="1:38" x14ac:dyDescent="0.6">
      <c r="A57" s="22"/>
      <c r="B57" s="39" t="s">
        <v>372</v>
      </c>
      <c r="N57" s="40"/>
      <c r="O57" s="41"/>
      <c r="P57" s="41"/>
      <c r="Q57" s="41" t="s">
        <v>261</v>
      </c>
      <c r="R57" s="41"/>
      <c r="S57" s="41"/>
      <c r="T57" s="41"/>
      <c r="U57" s="42"/>
      <c r="W57" s="26" t="s">
        <v>13</v>
      </c>
      <c r="AB57" s="26" t="s">
        <v>280</v>
      </c>
      <c r="AJ57" s="90"/>
      <c r="AK57" s="406"/>
      <c r="AL57" s="90"/>
    </row>
    <row r="58" spans="1:38" x14ac:dyDescent="0.6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86" t="s">
        <v>60</v>
      </c>
      <c r="AA58" s="26" t="s">
        <v>316</v>
      </c>
      <c r="AB58" s="26" t="s">
        <v>281</v>
      </c>
      <c r="AC58" s="26" t="s">
        <v>347</v>
      </c>
      <c r="AD58" s="279" t="s">
        <v>283</v>
      </c>
      <c r="AF58" s="26" t="s">
        <v>55</v>
      </c>
      <c r="AG58" s="26" t="s">
        <v>348</v>
      </c>
      <c r="AH58" s="26" t="s">
        <v>54</v>
      </c>
      <c r="AJ58" s="90"/>
      <c r="AK58" s="90"/>
      <c r="AL58" s="90"/>
    </row>
    <row r="59" spans="1:38" x14ac:dyDescent="0.6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46" t="s">
        <v>247</v>
      </c>
      <c r="X59" s="346" t="s">
        <v>247</v>
      </c>
      <c r="Y59" s="346" t="s">
        <v>247</v>
      </c>
      <c r="Z59" s="346" t="s">
        <v>247</v>
      </c>
      <c r="AA59" s="346" t="s">
        <v>388</v>
      </c>
      <c r="AB59" s="346" t="s">
        <v>388</v>
      </c>
      <c r="AC59" s="346" t="s">
        <v>388</v>
      </c>
      <c r="AD59" s="346" t="s">
        <v>388</v>
      </c>
      <c r="AF59" s="346" t="s">
        <v>388</v>
      </c>
      <c r="AG59" s="346" t="s">
        <v>373</v>
      </c>
      <c r="AH59" s="346" t="s">
        <v>389</v>
      </c>
      <c r="AJ59" s="90"/>
      <c r="AK59" s="90"/>
      <c r="AL59" s="90"/>
    </row>
    <row r="60" spans="1:38" x14ac:dyDescent="0.6">
      <c r="A60" s="22"/>
      <c r="B60" s="28" t="s">
        <v>1</v>
      </c>
      <c r="C60" s="49"/>
      <c r="D60" s="49"/>
      <c r="E60" s="50">
        <f>ROUND(AA60,0)+ROUND($W60/1000,0)</f>
        <v>21535</v>
      </c>
      <c r="F60" s="50">
        <f>ROUND(AB60,0)+ROUND($Z60/1000,0)</f>
        <v>822622</v>
      </c>
      <c r="G60" s="50">
        <f t="shared" ref="G60:G71" si="7">ROUND(AC60,0)-ROUND(SUM($X60/1000),0)</f>
        <v>451304</v>
      </c>
      <c r="H60" s="50">
        <f>ROUND(AG60,0)</f>
        <v>12259</v>
      </c>
      <c r="I60" s="50">
        <f>ROUND(AF60,0)</f>
        <v>9750</v>
      </c>
      <c r="J60" s="50">
        <f t="shared" ref="J60:J72" si="8">SUM(E60:I60)</f>
        <v>1317470</v>
      </c>
      <c r="K60" s="50"/>
      <c r="L60" s="49"/>
      <c r="M60" s="50">
        <f t="shared" ref="M60:M71" si="9">E60-ROUND(SUM($W60/1000),0)</f>
        <v>20760</v>
      </c>
      <c r="N60" s="51" t="s">
        <v>28</v>
      </c>
      <c r="O60" s="52"/>
      <c r="P60" s="53"/>
      <c r="Q60" s="53">
        <f>SUM(E60:E64,E69:E71)</f>
        <v>131112</v>
      </c>
      <c r="R60" s="53">
        <f>SUM(F60:F64,F69:F71)</f>
        <v>5535444</v>
      </c>
      <c r="S60" s="53">
        <f>SUM(G60:G64,G69:G71)</f>
        <v>3591474</v>
      </c>
      <c r="T60" s="53">
        <f>SUM(H60:H64,H69:H71)</f>
        <v>124046</v>
      </c>
      <c r="U60" s="54">
        <f>SUM(I60:I64,I69:I71)</f>
        <v>78007</v>
      </c>
      <c r="V60" s="292">
        <v>44562</v>
      </c>
      <c r="W60" s="274">
        <v>775186.66666659992</v>
      </c>
      <c r="X60" s="275">
        <v>16773</v>
      </c>
      <c r="Y60" s="55">
        <f t="shared" ref="Y60:Y71" si="10">W60-X60</f>
        <v>758413.66666659992</v>
      </c>
      <c r="Z60" s="275">
        <v>1762078.1357579001</v>
      </c>
      <c r="AA60" s="474">
        <v>20759.7248595452</v>
      </c>
      <c r="AB60" s="277">
        <v>820860.4721483459</v>
      </c>
      <c r="AC60" s="50">
        <v>451320.877222337</v>
      </c>
      <c r="AD60" s="277">
        <v>501193.08722233702</v>
      </c>
      <c r="AF60" s="277">
        <v>9749.9031542828998</v>
      </c>
      <c r="AG60" s="287">
        <v>12259.399494299299</v>
      </c>
      <c r="AH60" s="277">
        <v>38112475.4942993</v>
      </c>
      <c r="AI60" s="55"/>
      <c r="AJ60" s="90"/>
      <c r="AK60" s="49"/>
      <c r="AL60" s="49"/>
    </row>
    <row r="61" spans="1:38" x14ac:dyDescent="0.6">
      <c r="A61" s="22"/>
      <c r="B61" s="28" t="s">
        <v>2</v>
      </c>
      <c r="C61" s="49"/>
      <c r="D61" s="49"/>
      <c r="E61" s="50">
        <f>ROUND(AA61,0)+ROUND($W61/1000,0)</f>
        <v>21597</v>
      </c>
      <c r="F61" s="50">
        <f>ROUND(AB61,0)+ROUND($Z61/1000,0)</f>
        <v>786500</v>
      </c>
      <c r="G61" s="50">
        <f t="shared" si="7"/>
        <v>525381</v>
      </c>
      <c r="H61" s="50">
        <f t="shared" ref="H61:H71" si="11">ROUND(AG61,0)</f>
        <v>21743</v>
      </c>
      <c r="I61" s="50">
        <f t="shared" ref="I61:I71" si="12">ROUND(AF61,0)</f>
        <v>9750</v>
      </c>
      <c r="J61" s="50">
        <f t="shared" si="8"/>
        <v>1364971</v>
      </c>
      <c r="K61" s="50"/>
      <c r="L61" s="49"/>
      <c r="M61" s="50">
        <f t="shared" si="9"/>
        <v>20870</v>
      </c>
      <c r="N61" s="51"/>
      <c r="O61" s="52"/>
      <c r="P61" s="114" t="s">
        <v>193</v>
      </c>
      <c r="Q61" s="53">
        <f>SUMPRODUCT(E33:E37,M60:M64)+SUMPRODUCT(E42:E44,M69:M71)</f>
        <v>45336.398500000003</v>
      </c>
      <c r="R61" s="47"/>
      <c r="S61" s="131" t="s">
        <v>177</v>
      </c>
      <c r="T61" s="53">
        <f>SUMPRODUCT(H33:H37,H60:H64)+SUMPRODUCT(H42:H44,H69:H71)</f>
        <v>53031.6512</v>
      </c>
      <c r="U61" s="48">
        <f>T61/T60</f>
        <v>0.42751601180207344</v>
      </c>
      <c r="V61" s="292">
        <v>44593</v>
      </c>
      <c r="W61" s="274">
        <v>727049.66666670004</v>
      </c>
      <c r="X61" s="275">
        <v>16329</v>
      </c>
      <c r="Y61" s="55">
        <f t="shared" si="10"/>
        <v>710720.66666670004</v>
      </c>
      <c r="Z61" s="275">
        <v>1792702.0650026</v>
      </c>
      <c r="AA61" s="474">
        <v>20870.169318839497</v>
      </c>
      <c r="AB61" s="277">
        <v>784707.39263217291</v>
      </c>
      <c r="AC61" s="50">
        <v>525397.41713400697</v>
      </c>
      <c r="AD61" s="277">
        <v>572592.79013400699</v>
      </c>
      <c r="AF61" s="277">
        <v>9750.0847122137002</v>
      </c>
      <c r="AG61" s="287">
        <v>21742.708699727504</v>
      </c>
      <c r="AH61" s="277">
        <v>44232734.699727505</v>
      </c>
      <c r="AJ61" s="90"/>
      <c r="AK61" s="49"/>
      <c r="AL61" s="49"/>
    </row>
    <row r="62" spans="1:38" x14ac:dyDescent="0.6">
      <c r="A62" s="22"/>
      <c r="B62" s="28" t="s">
        <v>3</v>
      </c>
      <c r="C62" s="49"/>
      <c r="D62" s="49"/>
      <c r="E62" s="50">
        <f>ROUND(AA62,0)+ROUND($W62/1000,0)</f>
        <v>20220</v>
      </c>
      <c r="F62" s="50">
        <f>ROUND(AB62,0)+ROUND($Z62/1000,0)</f>
        <v>746694</v>
      </c>
      <c r="G62" s="50">
        <f t="shared" si="7"/>
        <v>440707</v>
      </c>
      <c r="H62" s="50">
        <f t="shared" si="11"/>
        <v>15549</v>
      </c>
      <c r="I62" s="50">
        <f t="shared" si="12"/>
        <v>9750</v>
      </c>
      <c r="J62" s="50">
        <f t="shared" si="8"/>
        <v>1232920</v>
      </c>
      <c r="K62" s="50"/>
      <c r="L62" s="49"/>
      <c r="M62" s="50">
        <f t="shared" si="9"/>
        <v>19502</v>
      </c>
      <c r="N62" s="51"/>
      <c r="O62" s="52"/>
      <c r="P62" s="114" t="s">
        <v>194</v>
      </c>
      <c r="Q62" s="53">
        <f>SUMPRODUCT(Q33:Q37,M60:M64)+SUMPRODUCT(Q42:Q44,M69:M71)</f>
        <v>80501.601500000004</v>
      </c>
      <c r="R62" s="47"/>
      <c r="S62" s="131" t="s">
        <v>178</v>
      </c>
      <c r="T62" s="53">
        <f>+T60-T61</f>
        <v>71014.348800000007</v>
      </c>
      <c r="U62" s="48"/>
      <c r="V62" s="292">
        <v>44621</v>
      </c>
      <c r="W62" s="274">
        <v>717810</v>
      </c>
      <c r="X62" s="275">
        <v>15567</v>
      </c>
      <c r="Y62" s="55">
        <f t="shared" si="10"/>
        <v>702243</v>
      </c>
      <c r="Z62" s="275">
        <v>1600117.3942688</v>
      </c>
      <c r="AA62" s="474">
        <v>19501.966830693098</v>
      </c>
      <c r="AB62" s="277">
        <v>745093.53767150908</v>
      </c>
      <c r="AC62" s="50">
        <v>440722.92893201899</v>
      </c>
      <c r="AD62" s="277">
        <v>489326.818932019</v>
      </c>
      <c r="AF62" s="277">
        <v>9750.2728143835993</v>
      </c>
      <c r="AG62" s="287">
        <v>15548.511454737201</v>
      </c>
      <c r="AH62" s="277">
        <v>37843979.454737201</v>
      </c>
      <c r="AJ62" s="90"/>
      <c r="AK62" s="49"/>
      <c r="AL62" s="49"/>
    </row>
    <row r="63" spans="1:38" x14ac:dyDescent="0.6">
      <c r="A63" s="22"/>
      <c r="B63" s="28" t="s">
        <v>4</v>
      </c>
      <c r="C63" s="49"/>
      <c r="D63" s="49"/>
      <c r="E63" s="50">
        <f>ROUND(AA63,0)+ROUND($W63/1000,0)</f>
        <v>15915</v>
      </c>
      <c r="F63" s="50">
        <f>ROUND(AB63,0)+ROUND($Z63/1000,0)</f>
        <v>645619</v>
      </c>
      <c r="G63" s="50">
        <f t="shared" si="7"/>
        <v>427408</v>
      </c>
      <c r="H63" s="50">
        <f t="shared" si="11"/>
        <v>14458</v>
      </c>
      <c r="I63" s="50">
        <f t="shared" si="12"/>
        <v>9750</v>
      </c>
      <c r="J63" s="50">
        <f t="shared" si="8"/>
        <v>1113150</v>
      </c>
      <c r="K63" s="50"/>
      <c r="L63" s="49"/>
      <c r="M63" s="50">
        <f t="shared" si="9"/>
        <v>15212</v>
      </c>
      <c r="N63" s="46"/>
      <c r="O63" s="47"/>
      <c r="P63" s="114" t="s">
        <v>259</v>
      </c>
      <c r="Q63" s="53">
        <f>SUM(W60:W64,W69:W71)/1000</f>
        <v>5274.0046993009</v>
      </c>
      <c r="R63" s="47"/>
      <c r="S63" s="47"/>
      <c r="T63" s="47"/>
      <c r="U63" s="48"/>
      <c r="V63" s="292">
        <v>44652</v>
      </c>
      <c r="W63" s="274">
        <v>703354.66666660004</v>
      </c>
      <c r="X63" s="275">
        <v>15410</v>
      </c>
      <c r="Y63" s="55">
        <f t="shared" si="10"/>
        <v>687944.66666660004</v>
      </c>
      <c r="Z63" s="275">
        <v>1171733.3962609</v>
      </c>
      <c r="AA63" s="474">
        <v>15212.441537856299</v>
      </c>
      <c r="AB63" s="277">
        <v>644446.70502168802</v>
      </c>
      <c r="AC63" s="50">
        <v>427423.14238746394</v>
      </c>
      <c r="AD63" s="277">
        <v>476254.47638746398</v>
      </c>
      <c r="AF63" s="277">
        <v>9750.4674606286007</v>
      </c>
      <c r="AG63" s="287">
        <v>14457.7877380355</v>
      </c>
      <c r="AH63" s="277">
        <v>35480682.7380355</v>
      </c>
      <c r="AJ63" s="90"/>
      <c r="AK63" s="49"/>
      <c r="AL63" s="49"/>
    </row>
    <row r="64" spans="1:38" x14ac:dyDescent="0.6">
      <c r="A64" s="22"/>
      <c r="B64" s="28" t="s">
        <v>5</v>
      </c>
      <c r="C64" s="49"/>
      <c r="D64" s="49"/>
      <c r="E64" s="50">
        <f>ROUND(AA64,0)+ROUND($W64/1000,0)</f>
        <v>12967</v>
      </c>
      <c r="F64" s="50">
        <f>ROUND(AB64,0)+ROUND($Z64/1000,0)</f>
        <v>595134</v>
      </c>
      <c r="G64" s="50">
        <f t="shared" si="7"/>
        <v>431350</v>
      </c>
      <c r="H64" s="188">
        <f t="shared" si="11"/>
        <v>16197</v>
      </c>
      <c r="I64" s="50">
        <f t="shared" si="12"/>
        <v>9751</v>
      </c>
      <c r="J64" s="50">
        <f t="shared" si="8"/>
        <v>1065399</v>
      </c>
      <c r="K64" s="50"/>
      <c r="L64" s="49"/>
      <c r="M64" s="50">
        <f t="shared" si="9"/>
        <v>12290</v>
      </c>
      <c r="N64" s="51" t="s">
        <v>29</v>
      </c>
      <c r="O64" s="52"/>
      <c r="P64" s="53"/>
      <c r="Q64" s="53">
        <f>+SUM(E65:E68)</f>
        <v>64785</v>
      </c>
      <c r="R64" s="53">
        <f>+SUM(F65:F68)</f>
        <v>3957413</v>
      </c>
      <c r="S64" s="53">
        <f>+SUM(G65:G68)</f>
        <v>2131270</v>
      </c>
      <c r="T64" s="53">
        <f>+SUM(H65:H68)</f>
        <v>64994</v>
      </c>
      <c r="U64" s="54">
        <f>+SUM(I65:I68)</f>
        <v>39005</v>
      </c>
      <c r="V64" s="292">
        <v>44682</v>
      </c>
      <c r="W64" s="274">
        <v>677439.37307890004</v>
      </c>
      <c r="X64" s="275">
        <v>16689.984105300002</v>
      </c>
      <c r="Y64" s="55">
        <f t="shared" si="10"/>
        <v>660749.3889736</v>
      </c>
      <c r="Z64" s="275">
        <v>961462.81930630002</v>
      </c>
      <c r="AA64" s="474">
        <v>12290.282962334</v>
      </c>
      <c r="AB64" s="277">
        <v>594173.39430766797</v>
      </c>
      <c r="AC64" s="50">
        <v>431366.77644333802</v>
      </c>
      <c r="AD64" s="277">
        <v>482860.707443338</v>
      </c>
      <c r="AF64" s="277">
        <v>9750.6686508070015</v>
      </c>
      <c r="AG64" s="287">
        <v>16197.446033964201</v>
      </c>
      <c r="AH64" s="277">
        <v>37518953.033964202</v>
      </c>
      <c r="AJ64" s="90"/>
      <c r="AK64" s="49"/>
      <c r="AL64" s="49"/>
    </row>
    <row r="65" spans="1:38" x14ac:dyDescent="0.6">
      <c r="A65" s="22"/>
      <c r="B65" s="179" t="s">
        <v>6</v>
      </c>
      <c r="C65" s="180"/>
      <c r="D65" s="180"/>
      <c r="E65" s="181">
        <f>ROUND(AA65,0)+ROUND(SUM($W65+$Z65)/1000,0)</f>
        <v>13595</v>
      </c>
      <c r="F65" s="181">
        <f>ROUND(AB65,0)</f>
        <v>727466</v>
      </c>
      <c r="G65" s="181">
        <f t="shared" si="7"/>
        <v>485581</v>
      </c>
      <c r="H65" s="50">
        <f t="shared" si="11"/>
        <v>13637</v>
      </c>
      <c r="I65" s="181">
        <f t="shared" si="12"/>
        <v>9751</v>
      </c>
      <c r="J65" s="182">
        <f t="shared" si="8"/>
        <v>1250030</v>
      </c>
      <c r="K65" s="158"/>
      <c r="L65" s="49"/>
      <c r="M65" s="190">
        <f t="shared" si="9"/>
        <v>12961</v>
      </c>
      <c r="N65" s="114"/>
      <c r="O65" s="52"/>
      <c r="P65" s="130" t="s">
        <v>151</v>
      </c>
      <c r="Q65" s="53">
        <f>SUMPRODUCT(E38:E41,M65:M68)</f>
        <v>26159.752399999998</v>
      </c>
      <c r="R65" s="158">
        <f>Q$95/1000*T$95/(S$95/1000)</f>
        <v>2074592.7562634205</v>
      </c>
      <c r="S65" s="131" t="s">
        <v>177</v>
      </c>
      <c r="T65" s="53">
        <f>+SUMPRODUCT(H38:H41,H65:H68)</f>
        <v>29265.169300000001</v>
      </c>
      <c r="U65" s="414">
        <f>T65/T64</f>
        <v>0.45027493768655569</v>
      </c>
      <c r="V65" s="415">
        <v>44713</v>
      </c>
      <c r="W65" s="416">
        <v>633673.10451660003</v>
      </c>
      <c r="X65" s="417">
        <v>13661.020794700002</v>
      </c>
      <c r="Y65" s="418">
        <f t="shared" si="10"/>
        <v>620012.08372190001</v>
      </c>
      <c r="Z65" s="417">
        <v>937407.31013750006</v>
      </c>
      <c r="AA65" s="475">
        <v>12024.494212035601</v>
      </c>
      <c r="AB65" s="419">
        <v>727466.06053327408</v>
      </c>
      <c r="AC65" s="181">
        <v>485595.46658372297</v>
      </c>
      <c r="AD65" s="419">
        <v>537139.00558372296</v>
      </c>
      <c r="AE65" s="420"/>
      <c r="AF65" s="419">
        <v>9750.8763847995015</v>
      </c>
      <c r="AG65" s="421">
        <v>13636.582292629801</v>
      </c>
      <c r="AH65" s="419">
        <v>35634534.292629801</v>
      </c>
      <c r="AI65" s="420"/>
      <c r="AJ65" s="422"/>
      <c r="AK65" s="180"/>
      <c r="AL65" s="423"/>
    </row>
    <row r="66" spans="1:38" x14ac:dyDescent="0.6">
      <c r="A66" s="22"/>
      <c r="B66" s="183" t="s">
        <v>7</v>
      </c>
      <c r="C66" s="184"/>
      <c r="D66" s="184"/>
      <c r="E66" s="158">
        <f>ROUND(AA66,0)+ROUND(SUM($W66+$Z66)/1000,0)</f>
        <v>17306</v>
      </c>
      <c r="F66" s="158">
        <f>ROUND(AB66,0)</f>
        <v>1076379</v>
      </c>
      <c r="G66" s="158">
        <f t="shared" si="7"/>
        <v>546742</v>
      </c>
      <c r="H66" s="50">
        <f t="shared" si="11"/>
        <v>17458</v>
      </c>
      <c r="I66" s="158">
        <f t="shared" si="12"/>
        <v>9751</v>
      </c>
      <c r="J66" s="185">
        <f t="shared" si="8"/>
        <v>1667636</v>
      </c>
      <c r="K66" s="158"/>
      <c r="L66" s="49"/>
      <c r="M66" s="191">
        <f t="shared" si="9"/>
        <v>16758</v>
      </c>
      <c r="N66" s="114"/>
      <c r="O66" s="52"/>
      <c r="P66" s="130" t="s">
        <v>152</v>
      </c>
      <c r="Q66" s="53">
        <f>SUMPRODUCT(Q38:Q41,M65:M68)</f>
        <v>36472.247600000002</v>
      </c>
      <c r="R66" s="158">
        <f>R$95/1000*T$95/(S$95/1000)</f>
        <v>1882820.2437365798</v>
      </c>
      <c r="S66" s="131" t="s">
        <v>178</v>
      </c>
      <c r="T66" s="53">
        <f>+T64-T65</f>
        <v>35728.830699999999</v>
      </c>
      <c r="U66" s="47"/>
      <c r="V66" s="424">
        <v>44743</v>
      </c>
      <c r="W66" s="425">
        <v>547556.57998099993</v>
      </c>
      <c r="X66" s="426">
        <v>12231.271228000001</v>
      </c>
      <c r="Y66" s="53">
        <f t="shared" si="10"/>
        <v>535325.30875299987</v>
      </c>
      <c r="Z66" s="426">
        <v>1185744.9074937</v>
      </c>
      <c r="AA66" s="476">
        <v>15572.6355653378</v>
      </c>
      <c r="AB66" s="427">
        <v>1076379.4022095399</v>
      </c>
      <c r="AC66" s="158">
        <v>546754.19768368406</v>
      </c>
      <c r="AD66" s="427">
        <v>605891.92268368404</v>
      </c>
      <c r="AE66" s="47"/>
      <c r="AF66" s="427">
        <v>9751.0906625092994</v>
      </c>
      <c r="AG66" s="428">
        <v>17457.719151044294</v>
      </c>
      <c r="AH66" s="427">
        <v>42775230.151044294</v>
      </c>
      <c r="AI66" s="47"/>
      <c r="AJ66" s="429"/>
      <c r="AK66" s="184"/>
      <c r="AL66" s="430"/>
    </row>
    <row r="67" spans="1:38" x14ac:dyDescent="0.6">
      <c r="A67" s="22"/>
      <c r="B67" s="183" t="s">
        <v>8</v>
      </c>
      <c r="C67" s="184"/>
      <c r="D67" s="184"/>
      <c r="E67" s="158">
        <f>ROUND(AA67,0)+ROUND(SUM($W67+$Z67)/1000,0)</f>
        <v>17627</v>
      </c>
      <c r="F67" s="158">
        <f>ROUND(AB67,0)</f>
        <v>1129731</v>
      </c>
      <c r="G67" s="158">
        <f t="shared" si="7"/>
        <v>571069</v>
      </c>
      <c r="H67" s="50">
        <f t="shared" si="11"/>
        <v>17940</v>
      </c>
      <c r="I67" s="158">
        <f t="shared" si="12"/>
        <v>9751</v>
      </c>
      <c r="J67" s="185">
        <f t="shared" si="8"/>
        <v>1746118</v>
      </c>
      <c r="K67" s="158"/>
      <c r="L67" s="49"/>
      <c r="M67" s="191">
        <f t="shared" si="9"/>
        <v>17142</v>
      </c>
      <c r="N67" s="58"/>
      <c r="O67" s="58"/>
      <c r="P67" s="114" t="s">
        <v>260</v>
      </c>
      <c r="Q67" s="53">
        <f>SUM(W65:W68)/1000</f>
        <v>2152.0655431923001</v>
      </c>
      <c r="R67" s="66"/>
      <c r="S67" s="58"/>
      <c r="T67" s="58"/>
      <c r="U67" s="58"/>
      <c r="V67" s="424">
        <v>44774</v>
      </c>
      <c r="W67" s="425">
        <v>485237.61095230002</v>
      </c>
      <c r="X67" s="426">
        <v>10069.392233</v>
      </c>
      <c r="Y67" s="53">
        <f t="shared" si="10"/>
        <v>475168.2187193</v>
      </c>
      <c r="Z67" s="426">
        <v>1138133.0243519</v>
      </c>
      <c r="AA67" s="476">
        <v>16003.5010895053</v>
      </c>
      <c r="AB67" s="427">
        <v>1129730.54576704</v>
      </c>
      <c r="AC67" s="158">
        <v>571078.65327639703</v>
      </c>
      <c r="AD67" s="427">
        <v>631598.43527639704</v>
      </c>
      <c r="AE67" s="431"/>
      <c r="AF67" s="427">
        <v>9751.3114838619003</v>
      </c>
      <c r="AG67" s="428">
        <v>17939.859120135203</v>
      </c>
      <c r="AH67" s="427">
        <v>43743945.120135203</v>
      </c>
      <c r="AI67" s="47"/>
      <c r="AJ67" s="429"/>
      <c r="AK67" s="184"/>
      <c r="AL67" s="430"/>
    </row>
    <row r="68" spans="1:38" x14ac:dyDescent="0.6">
      <c r="A68" s="22"/>
      <c r="B68" s="186" t="s">
        <v>9</v>
      </c>
      <c r="C68" s="187"/>
      <c r="D68" s="187"/>
      <c r="E68" s="188">
        <f>ROUND(AA68,0)+ROUND(SUM($W68+$Z68)/1000,0)</f>
        <v>16257</v>
      </c>
      <c r="F68" s="188">
        <f>ROUND(AB68,0)</f>
        <v>1023837</v>
      </c>
      <c r="G68" s="188">
        <f t="shared" si="7"/>
        <v>527878</v>
      </c>
      <c r="H68" s="188">
        <f t="shared" si="11"/>
        <v>15959</v>
      </c>
      <c r="I68" s="188">
        <f t="shared" si="12"/>
        <v>9752</v>
      </c>
      <c r="J68" s="189">
        <f t="shared" si="8"/>
        <v>1593683</v>
      </c>
      <c r="K68" s="158"/>
      <c r="L68" s="49"/>
      <c r="M68" s="192">
        <f t="shared" si="9"/>
        <v>15771</v>
      </c>
      <c r="N68" s="194" t="s">
        <v>251</v>
      </c>
      <c r="O68" s="41"/>
      <c r="P68" s="41"/>
      <c r="Q68" s="41" t="s">
        <v>130</v>
      </c>
      <c r="R68" s="41"/>
      <c r="S68" s="41"/>
      <c r="T68" s="41"/>
      <c r="U68" s="41"/>
      <c r="V68" s="432">
        <v>44805</v>
      </c>
      <c r="W68" s="433">
        <v>485598.24774239998</v>
      </c>
      <c r="X68" s="434">
        <v>9940.5144476999994</v>
      </c>
      <c r="Y68" s="435">
        <f t="shared" si="10"/>
        <v>475657.73329469998</v>
      </c>
      <c r="Z68" s="434">
        <v>1076675.5277853999</v>
      </c>
      <c r="AA68" s="477">
        <v>14695.2480419529</v>
      </c>
      <c r="AB68" s="436">
        <v>1023836.5653342101</v>
      </c>
      <c r="AC68" s="188">
        <v>527887.66417638015</v>
      </c>
      <c r="AD68" s="436">
        <v>588326.53317638009</v>
      </c>
      <c r="AE68" s="437"/>
      <c r="AF68" s="436">
        <v>9751.5388488053995</v>
      </c>
      <c r="AG68" s="438">
        <v>15959.183034768499</v>
      </c>
      <c r="AH68" s="436">
        <v>42365516.034768499</v>
      </c>
      <c r="AI68" s="439"/>
      <c r="AJ68" s="440"/>
      <c r="AK68" s="187"/>
      <c r="AL68" s="441"/>
    </row>
    <row r="69" spans="1:38" x14ac:dyDescent="0.6">
      <c r="A69" s="22"/>
      <c r="B69" s="28" t="s">
        <v>10</v>
      </c>
      <c r="C69" s="49"/>
      <c r="D69" s="49"/>
      <c r="E69" s="50">
        <f>ROUND(AA69,0)+ROUND($W69/1000,0)</f>
        <v>11201</v>
      </c>
      <c r="F69" s="50">
        <f>ROUND(AB69,0)+ROUND($Z69/1000,0)</f>
        <v>680164</v>
      </c>
      <c r="G69" s="50">
        <f t="shared" si="7"/>
        <v>459634</v>
      </c>
      <c r="H69" s="50">
        <f t="shared" si="11"/>
        <v>14499</v>
      </c>
      <c r="I69" s="50">
        <f t="shared" si="12"/>
        <v>9752</v>
      </c>
      <c r="J69" s="50">
        <f t="shared" si="8"/>
        <v>1175250</v>
      </c>
      <c r="K69" s="50"/>
      <c r="L69" s="49"/>
      <c r="M69" s="50">
        <f t="shared" si="9"/>
        <v>10704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292">
        <v>44835</v>
      </c>
      <c r="W69" s="274">
        <v>496544.46312099992</v>
      </c>
      <c r="X69" s="275">
        <v>13754.015775299998</v>
      </c>
      <c r="Y69" s="55">
        <f t="shared" si="10"/>
        <v>482790.44734569994</v>
      </c>
      <c r="Z69" s="275">
        <v>843259.51747129997</v>
      </c>
      <c r="AA69" s="474">
        <v>10703.6117188963</v>
      </c>
      <c r="AB69" s="277">
        <v>679321.21747761301</v>
      </c>
      <c r="AC69" s="50">
        <v>459648.06719561201</v>
      </c>
      <c r="AD69" s="277">
        <v>514167.25719561201</v>
      </c>
      <c r="AF69" s="277">
        <v>9751.7727573098</v>
      </c>
      <c r="AG69" s="287">
        <v>14498.941358434498</v>
      </c>
      <c r="AH69" s="277">
        <v>36636668.358434498</v>
      </c>
      <c r="AJ69" s="90"/>
      <c r="AK69" s="49"/>
      <c r="AL69" s="49"/>
    </row>
    <row r="70" spans="1:38" x14ac:dyDescent="0.6">
      <c r="A70" s="22"/>
      <c r="B70" s="28" t="s">
        <v>11</v>
      </c>
      <c r="C70" s="49"/>
      <c r="D70" s="49"/>
      <c r="E70" s="50">
        <f>ROUND(AA70,0)+ROUND($W70/1000,0)</f>
        <v>11606</v>
      </c>
      <c r="F70" s="50">
        <f>ROUND(AB70,0)+ROUND($Z70/1000,0)</f>
        <v>578223</v>
      </c>
      <c r="G70" s="50">
        <f t="shared" si="7"/>
        <v>417652</v>
      </c>
      <c r="H70" s="50">
        <f t="shared" si="11"/>
        <v>13829</v>
      </c>
      <c r="I70" s="50">
        <f t="shared" si="12"/>
        <v>9752</v>
      </c>
      <c r="J70" s="50">
        <f t="shared" si="8"/>
        <v>1031062</v>
      </c>
      <c r="K70" s="50"/>
      <c r="L70" s="49"/>
      <c r="M70" s="50">
        <f t="shared" si="9"/>
        <v>11055</v>
      </c>
      <c r="N70" s="46"/>
      <c r="O70" s="47"/>
      <c r="P70" s="47"/>
      <c r="Q70" s="47"/>
      <c r="R70" s="47"/>
      <c r="S70" s="47"/>
      <c r="T70" s="47"/>
      <c r="U70" s="48"/>
      <c r="V70" s="292">
        <v>44866</v>
      </c>
      <c r="W70" s="274">
        <v>551029.81771500001</v>
      </c>
      <c r="X70" s="275">
        <v>12896.758878300001</v>
      </c>
      <c r="Y70" s="55">
        <f t="shared" si="10"/>
        <v>538133.05883670005</v>
      </c>
      <c r="Z70" s="275">
        <v>971401.84155410004</v>
      </c>
      <c r="AA70" s="474">
        <v>11054.7844559242</v>
      </c>
      <c r="AB70" s="277">
        <v>577251.94740429602</v>
      </c>
      <c r="AC70" s="50">
        <v>417665.25620759797</v>
      </c>
      <c r="AD70" s="277">
        <v>466138.03320759797</v>
      </c>
      <c r="AE70" s="90"/>
      <c r="AF70" s="277">
        <v>9752.0132093678985</v>
      </c>
      <c r="AG70" s="287">
        <v>13828.765692775205</v>
      </c>
      <c r="AH70" s="277">
        <v>34421030.692775205</v>
      </c>
      <c r="AJ70" s="90"/>
      <c r="AK70" s="49"/>
      <c r="AL70" s="49"/>
    </row>
    <row r="71" spans="1:38" x14ac:dyDescent="0.6">
      <c r="A71" s="22"/>
      <c r="B71" s="28" t="s">
        <v>12</v>
      </c>
      <c r="C71" s="49"/>
      <c r="D71" s="49"/>
      <c r="E71" s="50">
        <f>ROUND(AA71,0)+ROUND($W71/1000,0)</f>
        <v>16071</v>
      </c>
      <c r="F71" s="50">
        <f>ROUND(AB71,0)+ROUND($Z71/1000,0)</f>
        <v>680488</v>
      </c>
      <c r="G71" s="50">
        <f t="shared" si="7"/>
        <v>438038</v>
      </c>
      <c r="H71" s="50">
        <f t="shared" si="11"/>
        <v>15512</v>
      </c>
      <c r="I71" s="50">
        <f t="shared" si="12"/>
        <v>9752</v>
      </c>
      <c r="J71" s="50">
        <f t="shared" si="8"/>
        <v>1159861</v>
      </c>
      <c r="K71" s="50"/>
      <c r="L71" s="49"/>
      <c r="M71" s="193">
        <f t="shared" si="9"/>
        <v>15445</v>
      </c>
      <c r="N71" s="51"/>
      <c r="O71" s="52"/>
      <c r="P71" s="115" t="s">
        <v>148</v>
      </c>
      <c r="Q71" s="53">
        <f>SUM(E60:E64,E69:E71)</f>
        <v>131112</v>
      </c>
      <c r="R71" s="53"/>
      <c r="S71" s="115" t="s">
        <v>148</v>
      </c>
      <c r="T71" s="53">
        <f>SUM(H60:H64,H69:H71)</f>
        <v>124046</v>
      </c>
      <c r="U71" s="54"/>
      <c r="V71" s="292">
        <v>44896</v>
      </c>
      <c r="W71" s="295">
        <v>625590.04538609996</v>
      </c>
      <c r="X71" s="293">
        <v>13772.6687377</v>
      </c>
      <c r="Y71" s="55">
        <f t="shared" si="10"/>
        <v>611817.37664839998</v>
      </c>
      <c r="Z71" s="293">
        <v>1357395.3621493001</v>
      </c>
      <c r="AA71" s="474">
        <v>15444.604803661199</v>
      </c>
      <c r="AB71" s="291">
        <v>679131.41428636201</v>
      </c>
      <c r="AC71" s="193">
        <v>438052.08370553103</v>
      </c>
      <c r="AD71" s="291">
        <v>488973.93170553102</v>
      </c>
      <c r="AE71" s="38"/>
      <c r="AF71" s="277">
        <v>9752.2602049951001</v>
      </c>
      <c r="AG71" s="287">
        <v>15511.623791690796</v>
      </c>
      <c r="AH71" s="291">
        <v>35535214.791690797</v>
      </c>
      <c r="AJ71" s="90"/>
      <c r="AK71" s="49"/>
      <c r="AL71" s="49"/>
    </row>
    <row r="72" spans="1:38" x14ac:dyDescent="0.6">
      <c r="A72" s="22"/>
      <c r="B72" s="60" t="s">
        <v>13</v>
      </c>
      <c r="C72" s="55"/>
      <c r="D72" s="55"/>
      <c r="E72" s="55">
        <f>SUM(E60:E71)</f>
        <v>195897</v>
      </c>
      <c r="F72" s="55">
        <f>SUM(F60:F71)</f>
        <v>9492857</v>
      </c>
      <c r="G72" s="55">
        <f>SUM(G60:G71)</f>
        <v>5722744</v>
      </c>
      <c r="H72" s="55">
        <f>SUM(H60:H71)</f>
        <v>189040</v>
      </c>
      <c r="I72" s="55">
        <f>SUM(I60:I71)</f>
        <v>117012</v>
      </c>
      <c r="J72" s="55">
        <f t="shared" si="8"/>
        <v>15717550</v>
      </c>
      <c r="K72" s="55"/>
      <c r="L72" s="55"/>
      <c r="M72" s="55">
        <f>SUM(M60:M71)</f>
        <v>188470</v>
      </c>
      <c r="N72" s="51"/>
      <c r="O72" s="52"/>
      <c r="P72" s="114" t="s">
        <v>146</v>
      </c>
      <c r="Q72" s="53">
        <f>SUMPRODUCT(E15:E19,E60:E64)+SUMPRODUCT(E24:E26,E69:E71)</f>
        <v>62735.22</v>
      </c>
      <c r="R72" s="47">
        <f>Q72/Q71</f>
        <v>0.47848572213069746</v>
      </c>
      <c r="S72" s="114" t="s">
        <v>177</v>
      </c>
      <c r="T72" s="53">
        <f>SUMPRODUCT(H15:H19,H60:H64)+SUMPRODUCT(H24:H26,H69:H71)</f>
        <v>67369.473799999992</v>
      </c>
      <c r="U72" s="48">
        <f>T72/T71</f>
        <v>0.54310073521113134</v>
      </c>
      <c r="W72" s="55">
        <f t="shared" ref="W72:AF72" si="13">SUM(W60:W71)</f>
        <v>7426070.2424932001</v>
      </c>
      <c r="X72" s="55">
        <f t="shared" si="13"/>
        <v>167094.6262</v>
      </c>
      <c r="Y72" s="55">
        <f t="shared" si="13"/>
        <v>7258975.6162932003</v>
      </c>
      <c r="Z72" s="55">
        <f t="shared" si="13"/>
        <v>14798111.3015397</v>
      </c>
      <c r="AA72" s="55">
        <f t="shared" si="13"/>
        <v>184133.46539658142</v>
      </c>
      <c r="AB72" s="55">
        <f t="shared" si="13"/>
        <v>9482398.6547937188</v>
      </c>
      <c r="AC72" s="55">
        <f t="shared" si="13"/>
        <v>5722912.5309480904</v>
      </c>
      <c r="AD72" s="55">
        <f t="shared" si="13"/>
        <v>6354462.9989480907</v>
      </c>
      <c r="AE72" s="298"/>
      <c r="AF72" s="55">
        <f t="shared" si="13"/>
        <v>117012.26034396469</v>
      </c>
      <c r="AG72" s="55">
        <f>SUM(AG60:AG71)</f>
        <v>189038.52786224199</v>
      </c>
      <c r="AH72" s="297">
        <f>SUM(AH60:AH71)</f>
        <v>464300964.86224198</v>
      </c>
      <c r="AJ72" s="307"/>
      <c r="AK72" s="308"/>
      <c r="AL72" s="308"/>
    </row>
    <row r="73" spans="1:38" x14ac:dyDescent="0.6">
      <c r="A73" s="22"/>
      <c r="B73" s="28"/>
      <c r="G73" s="50" t="s">
        <v>301</v>
      </c>
      <c r="K73" s="61"/>
      <c r="N73" s="51"/>
      <c r="O73" s="52"/>
      <c r="P73" s="114" t="s">
        <v>145</v>
      </c>
      <c r="Q73" s="53">
        <f>+Q71-Q72</f>
        <v>68376.78</v>
      </c>
      <c r="R73" s="47"/>
      <c r="S73" s="114" t="s">
        <v>178</v>
      </c>
      <c r="T73" s="53">
        <f>+T71-T72</f>
        <v>56676.526200000008</v>
      </c>
      <c r="U73" s="48"/>
      <c r="AD73" s="280"/>
      <c r="AE73" s="281"/>
      <c r="AG73" s="280"/>
      <c r="AH73" s="281"/>
      <c r="AK73" s="55"/>
    </row>
    <row r="74" spans="1:38" ht="15.5" x14ac:dyDescent="0.7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307" t="s">
        <v>184</v>
      </c>
      <c r="Y74" s="307" t="s">
        <v>182</v>
      </c>
      <c r="Z74" s="307" t="s">
        <v>183</v>
      </c>
      <c r="AB74" s="21" t="s">
        <v>285</v>
      </c>
      <c r="AC74" s="21" t="s">
        <v>286</v>
      </c>
      <c r="AE74" s="14"/>
      <c r="AK74" s="55" t="s">
        <v>251</v>
      </c>
    </row>
    <row r="75" spans="1:38" x14ac:dyDescent="0.6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64785</v>
      </c>
      <c r="R75" s="44"/>
      <c r="S75" s="116" t="s">
        <v>149</v>
      </c>
      <c r="T75" s="53">
        <f>+SUM(H65:H68)</f>
        <v>64994</v>
      </c>
      <c r="U75" s="45"/>
      <c r="V75" s="55">
        <f t="shared" ref="V75:V86" si="14">W60-W75</f>
        <v>299411.99999999988</v>
      </c>
      <c r="W75" s="55">
        <f t="shared" ref="W75:W86" si="15">SUM(X75:Z75)</f>
        <v>475774.66666660004</v>
      </c>
      <c r="X75" s="276">
        <v>13901.333333299999</v>
      </c>
      <c r="Y75" s="275">
        <v>457026.33333330002</v>
      </c>
      <c r="Z75" s="275">
        <v>4847</v>
      </c>
      <c r="AA75" s="55"/>
      <c r="AB75" s="294">
        <f t="shared" ref="AB75:AB86" si="16">(V75*$AA$94+W75*$AA$95)/1000</f>
        <v>172.34236416359499</v>
      </c>
      <c r="AC75" s="294">
        <f t="shared" ref="AC75:AC86" si="17">(W60/1000)-AB75</f>
        <v>602.84430250300488</v>
      </c>
      <c r="AG75" s="55"/>
    </row>
    <row r="76" spans="1:38" s="63" customFormat="1" x14ac:dyDescent="0.6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33558.612799999995</v>
      </c>
      <c r="R76" s="47">
        <f>Q76/Q75</f>
        <v>0.51799973450644432</v>
      </c>
      <c r="S76" s="131" t="s">
        <v>177</v>
      </c>
      <c r="T76" s="53">
        <f>+SUMPRODUCT(H20:H23,H65:H68)</f>
        <v>36163.386299999998</v>
      </c>
      <c r="U76" s="48">
        <f>T76/T75</f>
        <v>0.55641115026002397</v>
      </c>
      <c r="V76" s="55">
        <f t="shared" si="14"/>
        <v>281872.33333340002</v>
      </c>
      <c r="W76" s="55">
        <f t="shared" si="15"/>
        <v>445177.33333330002</v>
      </c>
      <c r="X76" s="276">
        <v>12583.333333299999</v>
      </c>
      <c r="Y76" s="275">
        <v>428147.33333330002</v>
      </c>
      <c r="Z76" s="275">
        <v>4446.6666667</v>
      </c>
      <c r="AA76" s="55"/>
      <c r="AB76" s="294">
        <f t="shared" si="16"/>
        <v>161.46317918192753</v>
      </c>
      <c r="AC76" s="294">
        <f t="shared" si="17"/>
        <v>565.58648748477253</v>
      </c>
      <c r="AD76" s="13"/>
      <c r="AF76" s="63">
        <f>AA60/1000</f>
        <v>20.759724859545202</v>
      </c>
      <c r="AG76" s="63">
        <f>AB60/1000</f>
        <v>820.86047214834593</v>
      </c>
    </row>
    <row r="77" spans="1:38" x14ac:dyDescent="0.6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31226.387200000005</v>
      </c>
      <c r="R77" s="58"/>
      <c r="S77" s="132" t="s">
        <v>178</v>
      </c>
      <c r="T77" s="66">
        <f>T75-T76</f>
        <v>28830.613700000002</v>
      </c>
      <c r="U77" s="59"/>
      <c r="V77" s="55">
        <f t="shared" si="14"/>
        <v>276958.66666660004</v>
      </c>
      <c r="W77" s="55">
        <f t="shared" si="15"/>
        <v>440851.33333339996</v>
      </c>
      <c r="X77" s="276">
        <v>12335.666666700001</v>
      </c>
      <c r="Y77" s="275">
        <v>423918</v>
      </c>
      <c r="Z77" s="275">
        <v>4597.6666667</v>
      </c>
      <c r="AA77" s="55"/>
      <c r="AB77" s="294">
        <f t="shared" si="16"/>
        <v>159.63528617217236</v>
      </c>
      <c r="AC77" s="294">
        <f t="shared" si="17"/>
        <v>558.17471382782765</v>
      </c>
      <c r="AD77" s="55">
        <f>SUM(AB65:AB68)</f>
        <v>3957412.573844064</v>
      </c>
      <c r="AF77" s="63">
        <f t="shared" ref="AF77:AG87" si="18">AA61/1000</f>
        <v>20.870169318839498</v>
      </c>
      <c r="AG77" s="63">
        <f t="shared" si="18"/>
        <v>784.70739263217285</v>
      </c>
    </row>
    <row r="78" spans="1:38" x14ac:dyDescent="0.6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273712.66666660004</v>
      </c>
      <c r="W78" s="55">
        <f t="shared" si="15"/>
        <v>429642</v>
      </c>
      <c r="X78" s="276">
        <v>11813.666666700001</v>
      </c>
      <c r="Y78" s="275">
        <v>413330.33333330002</v>
      </c>
      <c r="Z78" s="275">
        <v>4498</v>
      </c>
      <c r="AA78" s="55"/>
      <c r="AB78" s="294">
        <f t="shared" si="16"/>
        <v>156.02822725884431</v>
      </c>
      <c r="AC78" s="294">
        <f t="shared" si="17"/>
        <v>547.32643940775574</v>
      </c>
      <c r="AF78" s="63">
        <f t="shared" si="18"/>
        <v>19.5019668306931</v>
      </c>
      <c r="AG78" s="63">
        <f t="shared" si="18"/>
        <v>745.09353767150913</v>
      </c>
    </row>
    <row r="79" spans="1:38" x14ac:dyDescent="0.6">
      <c r="A79" s="22"/>
      <c r="B79" s="28" t="s">
        <v>1</v>
      </c>
      <c r="C79" s="69">
        <v>112.5</v>
      </c>
      <c r="D79" s="493">
        <v>0.78454133635334089</v>
      </c>
      <c r="E79" s="494">
        <f t="shared" ref="E79:E90" si="19">ROUND(C79*D79,3)</f>
        <v>88.260999999999996</v>
      </c>
      <c r="H79" s="33">
        <v>0.84897400820793445</v>
      </c>
      <c r="I79" s="33">
        <v>0.90554981041020333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274679.88255860005</v>
      </c>
      <c r="W79" s="55">
        <f t="shared" si="15"/>
        <v>402759.49052029999</v>
      </c>
      <c r="X79" s="276">
        <v>13513.913343300001</v>
      </c>
      <c r="Y79" s="275">
        <v>385312.77243329998</v>
      </c>
      <c r="Z79" s="275">
        <v>3932.8047437</v>
      </c>
      <c r="AA79" s="55"/>
      <c r="AB79" s="294">
        <f t="shared" si="16"/>
        <v>148.41957406901292</v>
      </c>
      <c r="AC79" s="294">
        <f t="shared" si="17"/>
        <v>529.01979900988715</v>
      </c>
      <c r="AF79" s="63">
        <f t="shared" si="18"/>
        <v>15.212441537856298</v>
      </c>
      <c r="AG79" s="63">
        <f t="shared" si="18"/>
        <v>644.44670502168799</v>
      </c>
    </row>
    <row r="80" spans="1:38" x14ac:dyDescent="0.6">
      <c r="A80" s="22"/>
      <c r="B80" s="28" t="s">
        <v>2</v>
      </c>
      <c r="C80" s="69">
        <v>105.9</v>
      </c>
      <c r="D80" s="111">
        <f>+$D$79</f>
        <v>0.78454133635334089</v>
      </c>
      <c r="E80" s="494">
        <f t="shared" si="19"/>
        <v>83.082999999999998</v>
      </c>
      <c r="H80" s="176">
        <f>H79</f>
        <v>0.84897400820793445</v>
      </c>
      <c r="I80" s="176">
        <f>I79</f>
        <v>0.90554981041020333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257161.95086800004</v>
      </c>
      <c r="W80" s="55">
        <f t="shared" si="15"/>
        <v>376511.15364859998</v>
      </c>
      <c r="X80" s="276">
        <v>10980.895570000001</v>
      </c>
      <c r="Y80" s="275">
        <v>361940.82693330001</v>
      </c>
      <c r="Z80" s="275">
        <v>3589.4311453</v>
      </c>
      <c r="AA80" s="55"/>
      <c r="AB80" s="294">
        <f t="shared" si="16"/>
        <v>138.79251654769985</v>
      </c>
      <c r="AC80" s="294">
        <f t="shared" si="17"/>
        <v>494.88058796890016</v>
      </c>
      <c r="AF80" s="63">
        <f t="shared" si="18"/>
        <v>12.290282962334</v>
      </c>
      <c r="AG80" s="63">
        <f t="shared" si="18"/>
        <v>594.17339430766799</v>
      </c>
    </row>
    <row r="81" spans="1:33" x14ac:dyDescent="0.6">
      <c r="A81" s="22"/>
      <c r="B81" s="28" t="s">
        <v>3</v>
      </c>
      <c r="C81" s="69">
        <v>65</v>
      </c>
      <c r="D81" s="111">
        <f>+$D$79</f>
        <v>0.78454133635334089</v>
      </c>
      <c r="E81" s="494">
        <f t="shared" si="19"/>
        <v>50.994999999999997</v>
      </c>
      <c r="H81" s="176">
        <f>H79</f>
        <v>0.84897400820793445</v>
      </c>
      <c r="I81" s="176">
        <f>I79</f>
        <v>0.90554981041020333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225226.12628599996</v>
      </c>
      <c r="W81" s="55">
        <f t="shared" si="15"/>
        <v>322330.45369499997</v>
      </c>
      <c r="X81" s="276">
        <v>9636.0560153000006</v>
      </c>
      <c r="Y81" s="275">
        <v>309522.31126669998</v>
      </c>
      <c r="Z81" s="275">
        <v>3172.086413</v>
      </c>
      <c r="AA81" s="55"/>
      <c r="AB81" s="294">
        <f t="shared" si="16"/>
        <v>119.42360463735001</v>
      </c>
      <c r="AC81" s="294">
        <f t="shared" si="17"/>
        <v>428.13297534364989</v>
      </c>
      <c r="AF81" s="63">
        <f t="shared" si="18"/>
        <v>12.0244942120356</v>
      </c>
      <c r="AG81" s="63">
        <f t="shared" si="18"/>
        <v>727.46606053327412</v>
      </c>
    </row>
    <row r="82" spans="1:33" x14ac:dyDescent="0.6">
      <c r="A82" s="22"/>
      <c r="B82" s="28" t="s">
        <v>4</v>
      </c>
      <c r="C82" s="69">
        <v>48.15</v>
      </c>
      <c r="D82" s="111">
        <f>+$D$79</f>
        <v>0.78454133635334089</v>
      </c>
      <c r="E82" s="494">
        <f t="shared" si="19"/>
        <v>37.776000000000003</v>
      </c>
      <c r="H82" s="176">
        <f>H79</f>
        <v>0.84897400820793445</v>
      </c>
      <c r="I82" s="176">
        <f>I79</f>
        <v>0.90554981041020333</v>
      </c>
      <c r="N82" s="51"/>
      <c r="O82" s="52"/>
      <c r="P82" s="114" t="s">
        <v>147</v>
      </c>
      <c r="Q82" s="53">
        <f>Q72-Q61</f>
        <v>17398.821499999998</v>
      </c>
      <c r="R82" s="47"/>
      <c r="S82" s="114" t="s">
        <v>147</v>
      </c>
      <c r="T82" s="53">
        <f>T72-T61</f>
        <v>14337.822599999992</v>
      </c>
      <c r="U82" s="48"/>
      <c r="V82" s="55">
        <f t="shared" si="14"/>
        <v>199870.02928630006</v>
      </c>
      <c r="W82" s="55">
        <f t="shared" si="15"/>
        <v>285367.58166599995</v>
      </c>
      <c r="X82" s="276">
        <v>7676.6175767000004</v>
      </c>
      <c r="Y82" s="275">
        <v>275257.51559999998</v>
      </c>
      <c r="Z82" s="275">
        <v>2433.4484892999999</v>
      </c>
      <c r="AA82" s="55"/>
      <c r="AB82" s="294">
        <f t="shared" si="16"/>
        <v>105.78496570963962</v>
      </c>
      <c r="AC82" s="294">
        <f t="shared" si="17"/>
        <v>379.45264524266042</v>
      </c>
      <c r="AF82" s="63">
        <f t="shared" si="18"/>
        <v>15.5726355653378</v>
      </c>
      <c r="AG82" s="63">
        <f t="shared" si="18"/>
        <v>1076.3794022095399</v>
      </c>
    </row>
    <row r="83" spans="1:33" x14ac:dyDescent="0.6">
      <c r="A83" s="22"/>
      <c r="B83" s="28" t="s">
        <v>5</v>
      </c>
      <c r="C83" s="69">
        <v>48.25</v>
      </c>
      <c r="D83" s="111">
        <f>+$D$79</f>
        <v>0.78454133635334089</v>
      </c>
      <c r="E83" s="494">
        <f t="shared" si="19"/>
        <v>37.853999999999999</v>
      </c>
      <c r="H83" s="176">
        <f>H79</f>
        <v>0.84897400820793445</v>
      </c>
      <c r="I83" s="176">
        <f>I79</f>
        <v>0.90554981041020333</v>
      </c>
      <c r="N83" s="51"/>
      <c r="O83" s="52"/>
      <c r="P83" s="114" t="s">
        <v>150</v>
      </c>
      <c r="Q83" s="140">
        <f>Q82*(E117-E118)</f>
        <v>199780.0156679849</v>
      </c>
      <c r="R83" s="47"/>
      <c r="S83" s="114" t="s">
        <v>150</v>
      </c>
      <c r="T83" s="140">
        <f>T82*(H117-H118)</f>
        <v>156027.41788596302</v>
      </c>
      <c r="U83" s="48"/>
      <c r="V83" s="55">
        <f t="shared" si="14"/>
        <v>203316.42216039996</v>
      </c>
      <c r="W83" s="55">
        <f t="shared" si="15"/>
        <v>282281.82558200002</v>
      </c>
      <c r="X83" s="276">
        <v>7506.4973339999997</v>
      </c>
      <c r="Y83" s="275">
        <v>272721.06</v>
      </c>
      <c r="Z83" s="275">
        <v>2054.2682479999999</v>
      </c>
      <c r="AA83" s="55"/>
      <c r="AB83" s="294">
        <f t="shared" si="16"/>
        <v>105.30866085824586</v>
      </c>
      <c r="AC83" s="294">
        <f t="shared" si="17"/>
        <v>380.28958688415412</v>
      </c>
      <c r="AF83" s="63">
        <f t="shared" si="18"/>
        <v>16.003501089505299</v>
      </c>
      <c r="AG83" s="63">
        <f t="shared" si="18"/>
        <v>1129.73054576704</v>
      </c>
    </row>
    <row r="84" spans="1:33" x14ac:dyDescent="0.6">
      <c r="A84" s="22"/>
      <c r="B84" s="28" t="s">
        <v>6</v>
      </c>
      <c r="C84" s="495">
        <v>64.599999999999994</v>
      </c>
      <c r="D84" s="496">
        <v>0.66819484240687688</v>
      </c>
      <c r="E84" s="497">
        <f t="shared" si="19"/>
        <v>43.164999999999999</v>
      </c>
      <c r="H84" s="128">
        <v>0.85387513455328323</v>
      </c>
      <c r="I84" s="129">
        <v>0.89947937525030042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205807.63204129995</v>
      </c>
      <c r="W84" s="55">
        <f t="shared" si="15"/>
        <v>290736.83107969997</v>
      </c>
      <c r="X84" s="276">
        <v>11362.484463999999</v>
      </c>
      <c r="Y84" s="275">
        <v>276538.9648667</v>
      </c>
      <c r="Z84" s="275">
        <v>2835.3817490000001</v>
      </c>
      <c r="AA84" s="55"/>
      <c r="AB84" s="294">
        <f t="shared" si="16"/>
        <v>108.03449900789819</v>
      </c>
      <c r="AC84" s="294">
        <f t="shared" si="17"/>
        <v>388.50996411310172</v>
      </c>
      <c r="AF84" s="63">
        <f t="shared" si="18"/>
        <v>14.695248041952901</v>
      </c>
      <c r="AG84" s="63">
        <f t="shared" si="18"/>
        <v>1023.83656533421</v>
      </c>
    </row>
    <row r="85" spans="1:33" x14ac:dyDescent="0.6">
      <c r="A85" s="22"/>
      <c r="B85" s="28" t="s">
        <v>7</v>
      </c>
      <c r="C85" s="498">
        <v>81.599999999999994</v>
      </c>
      <c r="D85" s="211">
        <f>+$D$84</f>
        <v>0.66819484240687688</v>
      </c>
      <c r="E85" s="499">
        <f t="shared" si="19"/>
        <v>54.524999999999999</v>
      </c>
      <c r="H85" s="174">
        <f t="shared" ref="H85:I87" si="20">H84</f>
        <v>0.85387513455328323</v>
      </c>
      <c r="I85" s="500">
        <f t="shared" si="20"/>
        <v>0.89947937525030042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225816.15350270004</v>
      </c>
      <c r="W85" s="55">
        <f t="shared" si="15"/>
        <v>325213.66421229998</v>
      </c>
      <c r="X85" s="276">
        <v>10349.2439123</v>
      </c>
      <c r="Y85" s="275">
        <v>311608.48533330002</v>
      </c>
      <c r="Z85" s="275">
        <v>3255.9349667000001</v>
      </c>
      <c r="AA85" s="55"/>
      <c r="AB85" s="294">
        <f t="shared" si="16"/>
        <v>120.32224093586089</v>
      </c>
      <c r="AC85" s="294">
        <f t="shared" si="17"/>
        <v>430.70757677913912</v>
      </c>
      <c r="AF85" s="63">
        <f t="shared" si="18"/>
        <v>10.703611718896299</v>
      </c>
      <c r="AG85" s="63">
        <f t="shared" si="18"/>
        <v>679.321217477613</v>
      </c>
    </row>
    <row r="86" spans="1:33" x14ac:dyDescent="0.6">
      <c r="A86" s="22"/>
      <c r="B86" s="28" t="s">
        <v>8</v>
      </c>
      <c r="C86" s="498">
        <v>76.5</v>
      </c>
      <c r="D86" s="211">
        <f>+$D$84</f>
        <v>0.66819484240687688</v>
      </c>
      <c r="E86" s="499">
        <f t="shared" si="19"/>
        <v>51.116999999999997</v>
      </c>
      <c r="H86" s="174">
        <f t="shared" si="20"/>
        <v>0.85387513455328323</v>
      </c>
      <c r="I86" s="500">
        <f t="shared" si="20"/>
        <v>0.89947937525030042</v>
      </c>
      <c r="N86" s="51"/>
      <c r="O86" s="52"/>
      <c r="P86" s="114" t="s">
        <v>147</v>
      </c>
      <c r="Q86" s="53">
        <f>Q76-Q65</f>
        <v>7398.8603999999978</v>
      </c>
      <c r="R86" s="47"/>
      <c r="S86" s="114" t="s">
        <v>147</v>
      </c>
      <c r="T86" s="53">
        <f>T76-T65</f>
        <v>6898.2169999999969</v>
      </c>
      <c r="U86" s="48"/>
      <c r="V86" s="55">
        <f t="shared" si="14"/>
        <v>250270.78271439997</v>
      </c>
      <c r="W86" s="55">
        <f t="shared" si="15"/>
        <v>375319.26267169998</v>
      </c>
      <c r="X86" s="296">
        <v>10297.922699999999</v>
      </c>
      <c r="Y86" s="293">
        <v>360954.30176669999</v>
      </c>
      <c r="Z86" s="293">
        <v>4067.0382049999998</v>
      </c>
      <c r="AA86" s="55"/>
      <c r="AB86" s="294">
        <f t="shared" si="16"/>
        <v>137.62968902574892</v>
      </c>
      <c r="AC86" s="294">
        <f t="shared" si="17"/>
        <v>487.96035636035106</v>
      </c>
      <c r="AF86" s="63">
        <f>AA70/1000</f>
        <v>11.054784455924199</v>
      </c>
      <c r="AG86" s="63">
        <f>AB70/1000</f>
        <v>577.25194740429606</v>
      </c>
    </row>
    <row r="87" spans="1:33" x14ac:dyDescent="0.6">
      <c r="A87" s="22"/>
      <c r="B87" s="28" t="s">
        <v>9</v>
      </c>
      <c r="C87" s="501">
        <v>64.900000000000006</v>
      </c>
      <c r="D87" s="502">
        <f>+$D$84</f>
        <v>0.66819484240687688</v>
      </c>
      <c r="E87" s="503">
        <f t="shared" si="19"/>
        <v>43.366</v>
      </c>
      <c r="H87" s="175">
        <f t="shared" si="20"/>
        <v>0.85387513455328323</v>
      </c>
      <c r="I87" s="504">
        <f t="shared" si="20"/>
        <v>0.89947937525030042</v>
      </c>
      <c r="N87" s="64"/>
      <c r="O87" s="65"/>
      <c r="P87" s="117" t="s">
        <v>150</v>
      </c>
      <c r="Q87" s="141">
        <f>Q86*(E113-E114)</f>
        <v>153776.96886010678</v>
      </c>
      <c r="R87" s="58"/>
      <c r="S87" s="117" t="s">
        <v>150</v>
      </c>
      <c r="T87" s="141">
        <f>T86*(H113-H114)</f>
        <v>141343.21824169313</v>
      </c>
      <c r="U87" s="59"/>
      <c r="V87" s="55">
        <f>SUM(V75:V86)</f>
        <v>2974104.6460842998</v>
      </c>
      <c r="W87" s="55">
        <f>SUM(W75:W86)</f>
        <v>4451965.5964088999</v>
      </c>
      <c r="X87" s="55">
        <f>SUM(X75:X86)</f>
        <v>131957.63091559999</v>
      </c>
      <c r="Y87" s="55">
        <f>SUM(Y75:Y86)</f>
        <v>4276278.2381998999</v>
      </c>
      <c r="Z87" s="55">
        <f>SUM(Z75:Z86)</f>
        <v>43729.727293399992</v>
      </c>
      <c r="AA87" s="55"/>
      <c r="AB87" s="55">
        <f>SUM(AB75:AB86)</f>
        <v>1633.1848075679954</v>
      </c>
      <c r="AC87" s="55">
        <f>SUM(AC75:AC86)</f>
        <v>5792.8854349252051</v>
      </c>
      <c r="AF87" s="63">
        <f t="shared" si="18"/>
        <v>15.4446048036612</v>
      </c>
      <c r="AG87" s="63">
        <f t="shared" si="18"/>
        <v>679.13141428636197</v>
      </c>
    </row>
    <row r="88" spans="1:33" x14ac:dyDescent="0.6">
      <c r="A88" s="22"/>
      <c r="B88" s="28" t="s">
        <v>10</v>
      </c>
      <c r="C88" s="69">
        <v>56.45</v>
      </c>
      <c r="D88" s="111">
        <f>+$D$79</f>
        <v>0.78454133635334089</v>
      </c>
      <c r="E88" s="494">
        <f t="shared" si="19"/>
        <v>44.286999999999999</v>
      </c>
      <c r="H88" s="176">
        <f>H79</f>
        <v>0.84897400820793445</v>
      </c>
      <c r="I88" s="176">
        <f>I79</f>
        <v>0.90554981041020333</v>
      </c>
      <c r="W88" s="308" t="s">
        <v>251</v>
      </c>
      <c r="Z88" s="308" t="s">
        <v>251</v>
      </c>
    </row>
    <row r="89" spans="1:33" x14ac:dyDescent="0.6">
      <c r="A89" s="22"/>
      <c r="B89" s="28" t="s">
        <v>11</v>
      </c>
      <c r="C89" s="69">
        <v>57.25</v>
      </c>
      <c r="D89" s="111">
        <f>+$D$79</f>
        <v>0.78454133635334089</v>
      </c>
      <c r="E89" s="494">
        <f t="shared" si="19"/>
        <v>44.914999999999999</v>
      </c>
      <c r="H89" s="176">
        <f>H79</f>
        <v>0.84897400820793445</v>
      </c>
      <c r="I89" s="176">
        <f>I79</f>
        <v>0.90554981041020333</v>
      </c>
    </row>
    <row r="90" spans="1:33" x14ac:dyDescent="0.6">
      <c r="A90" s="22"/>
      <c r="B90" s="28" t="s">
        <v>12</v>
      </c>
      <c r="C90" s="69">
        <v>70</v>
      </c>
      <c r="D90" s="111">
        <f>+$D$79</f>
        <v>0.78454133635334089</v>
      </c>
      <c r="E90" s="494">
        <f t="shared" si="19"/>
        <v>54.917999999999999</v>
      </c>
      <c r="G90" s="70"/>
      <c r="H90" s="176">
        <f>H79</f>
        <v>0.84897400820793445</v>
      </c>
      <c r="I90" s="176">
        <f>I79</f>
        <v>0.90554981041020333</v>
      </c>
    </row>
    <row r="91" spans="1:33" x14ac:dyDescent="0.6">
      <c r="A91" s="22"/>
      <c r="B91" s="28"/>
      <c r="C91" s="69" t="s">
        <v>251</v>
      </c>
      <c r="D91" s="69"/>
      <c r="G91" s="70"/>
      <c r="L91" s="70"/>
      <c r="X91" s="13" t="s">
        <v>210</v>
      </c>
    </row>
    <row r="92" spans="1:33" x14ac:dyDescent="0.6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57" t="s">
        <v>374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6">
      <c r="A93" s="22"/>
      <c r="C93" s="71"/>
      <c r="D93" s="71"/>
      <c r="E93" s="71"/>
      <c r="F93" s="71"/>
      <c r="P93" s="13" t="s">
        <v>0</v>
      </c>
      <c r="Q93" s="196">
        <v>1868673984.5318141</v>
      </c>
      <c r="R93" s="196">
        <v>1826966596</v>
      </c>
      <c r="S93" s="50">
        <f>SUM(Q93:R93)</f>
        <v>3695640580.5318141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6">
      <c r="A94" s="22"/>
      <c r="B94" s="28" t="s">
        <v>276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249</v>
      </c>
      <c r="Q94" s="196">
        <v>199823823.3122516</v>
      </c>
      <c r="R94" s="196">
        <v>50322108</v>
      </c>
      <c r="S94" s="50">
        <f>SUM(Q94:R94)</f>
        <v>250145931.3122516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6">
      <c r="A95" s="22"/>
      <c r="B95" s="13" t="s">
        <v>277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250</v>
      </c>
      <c r="Q95" s="50">
        <f>SUM(Q93:Q94)</f>
        <v>2068497807.8440657</v>
      </c>
      <c r="R95" s="50">
        <f>SUM(R93:R94)</f>
        <v>1877288704</v>
      </c>
      <c r="S95" s="50">
        <f>SUM(S93:S94)</f>
        <v>3945786511.8440657</v>
      </c>
      <c r="T95" s="55">
        <f>SUM(F65:F68)</f>
        <v>3957413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x14ac:dyDescent="0.6">
      <c r="A96" s="22"/>
      <c r="C96" s="73"/>
      <c r="D96" s="73"/>
      <c r="E96" s="73"/>
      <c r="F96" s="73"/>
      <c r="G96" s="73"/>
      <c r="H96" s="73"/>
      <c r="I96" s="73"/>
      <c r="J96" s="73" t="s">
        <v>251</v>
      </c>
      <c r="K96" s="73"/>
      <c r="L96" s="73"/>
      <c r="M96" s="73" t="s">
        <v>251</v>
      </c>
      <c r="Q96" s="50"/>
      <c r="R96" s="50"/>
      <c r="S96" s="50"/>
      <c r="T96" s="55"/>
    </row>
    <row r="97" spans="1:36" x14ac:dyDescent="0.6">
      <c r="A97" s="22"/>
      <c r="B97" s="13" t="s">
        <v>278</v>
      </c>
      <c r="C97" s="73"/>
      <c r="D97" s="73"/>
      <c r="E97" s="251">
        <f>ROUND(1-1/E98,6)</f>
        <v>9.7689999999999999E-2</v>
      </c>
      <c r="F97" s="251">
        <f>ROUND(1-1/F98,6)</f>
        <v>9.7689999999999999E-2</v>
      </c>
      <c r="G97" s="251">
        <f>ROUND(1-1/G98,6)</f>
        <v>9.7689999999999999E-2</v>
      </c>
      <c r="H97" s="251">
        <f>ROUND(1-1/H98,6)</f>
        <v>9.7689999999999999E-2</v>
      </c>
      <c r="I97" s="251">
        <f>ROUND(1-1/I98,6)</f>
        <v>9.7689999999999999E-2</v>
      </c>
      <c r="Q97" s="50"/>
      <c r="R97" s="50"/>
      <c r="S97" s="50"/>
      <c r="T97" s="55"/>
    </row>
    <row r="98" spans="1:36" x14ac:dyDescent="0.6">
      <c r="A98" s="22"/>
      <c r="B98" s="13" t="s">
        <v>279</v>
      </c>
      <c r="C98" s="73"/>
      <c r="D98" s="73"/>
      <c r="E98" s="73">
        <v>1.1082660727725406</v>
      </c>
      <c r="F98" s="73">
        <v>1.1082660727725406</v>
      </c>
      <c r="G98" s="73">
        <v>1.1082660727725406</v>
      </c>
      <c r="H98" s="73">
        <v>1.1082660727725406</v>
      </c>
      <c r="I98" s="73">
        <v>1.1082660727725406</v>
      </c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</row>
    <row r="99" spans="1:36" x14ac:dyDescent="0.6">
      <c r="A99" s="22"/>
      <c r="C99" s="73"/>
      <c r="D99" s="73"/>
      <c r="E99" s="89"/>
      <c r="F99" s="252"/>
      <c r="G99" s="73"/>
      <c r="H99" s="73"/>
      <c r="I99" s="73" t="s">
        <v>251</v>
      </c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</row>
    <row r="100" spans="1:36" x14ac:dyDescent="0.6">
      <c r="A100" s="22"/>
      <c r="C100" s="73"/>
      <c r="D100" s="73"/>
      <c r="E100" s="253"/>
      <c r="F100" s="254"/>
      <c r="G100" s="73"/>
      <c r="H100" s="73"/>
      <c r="I100" s="73"/>
      <c r="J100" s="73"/>
      <c r="K100" s="73"/>
      <c r="L100" s="251"/>
      <c r="M100" s="47"/>
      <c r="N100" s="47"/>
      <c r="O100" s="47"/>
      <c r="P100" s="47"/>
      <c r="Q100" s="47"/>
      <c r="R100" s="47"/>
      <c r="S100" s="47"/>
      <c r="T100" s="382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</row>
    <row r="101" spans="1:36" x14ac:dyDescent="0.6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252"/>
      <c r="K101" s="252"/>
      <c r="L101" s="238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</row>
    <row r="102" spans="1:36" x14ac:dyDescent="0.6">
      <c r="A102" s="22"/>
      <c r="B102" s="13" t="s">
        <v>251</v>
      </c>
      <c r="I102" s="73"/>
      <c r="J102" s="252"/>
      <c r="K102" s="252"/>
      <c r="L102" s="73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</row>
    <row r="103" spans="1:36" ht="15.5" x14ac:dyDescent="0.7">
      <c r="A103" s="22"/>
      <c r="B103" s="578" t="str">
        <f>$B$1</f>
        <v xml:space="preserve">Jersey Central Power &amp; Light </v>
      </c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</row>
    <row r="104" spans="1:36" ht="15.5" x14ac:dyDescent="0.7">
      <c r="A104" s="22"/>
      <c r="B104" s="578" t="str">
        <f>$B$2</f>
        <v>Attachment 2</v>
      </c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</row>
    <row r="105" spans="1:36" x14ac:dyDescent="0.6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</row>
    <row r="106" spans="1:36" x14ac:dyDescent="0.6">
      <c r="A106" s="22"/>
      <c r="M106" s="47"/>
      <c r="N106" s="47"/>
      <c r="O106" s="47"/>
      <c r="P106" s="47"/>
      <c r="Q106" s="47"/>
      <c r="R106" s="47"/>
      <c r="S106" s="536"/>
      <c r="T106" s="351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</row>
    <row r="107" spans="1:36" x14ac:dyDescent="0.6">
      <c r="A107" s="18" t="s">
        <v>34</v>
      </c>
      <c r="B107" s="16" t="s">
        <v>51</v>
      </c>
      <c r="L107" s="13" t="s">
        <v>251</v>
      </c>
      <c r="M107" s="351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</row>
    <row r="108" spans="1:36" x14ac:dyDescent="0.6">
      <c r="A108" s="22"/>
      <c r="B108" s="17" t="s">
        <v>171</v>
      </c>
      <c r="L108" s="13" t="s">
        <v>251</v>
      </c>
      <c r="M108" s="47"/>
      <c r="N108" s="47"/>
      <c r="O108" s="47"/>
      <c r="P108" s="47"/>
      <c r="Q108" s="47"/>
      <c r="R108" s="47"/>
      <c r="S108" s="538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351"/>
      <c r="AG108" s="47"/>
      <c r="AH108" s="47"/>
      <c r="AI108" s="47"/>
      <c r="AJ108" s="47"/>
    </row>
    <row r="109" spans="1:36" x14ac:dyDescent="0.6">
      <c r="A109" s="22"/>
      <c r="B109" s="17" t="s">
        <v>21</v>
      </c>
      <c r="M109" s="47"/>
      <c r="N109" s="47"/>
      <c r="O109" s="47"/>
      <c r="P109" s="47"/>
      <c r="Q109" s="47"/>
      <c r="R109" s="47"/>
      <c r="S109" s="545"/>
      <c r="T109" s="47"/>
      <c r="U109" s="47"/>
      <c r="V109" s="47"/>
      <c r="W109" s="47"/>
      <c r="X109" s="47"/>
      <c r="Y109" s="47"/>
      <c r="Z109" s="47"/>
      <c r="AA109" s="47"/>
      <c r="AB109" s="47"/>
      <c r="AC109" s="546"/>
      <c r="AD109" s="47"/>
      <c r="AE109" s="47"/>
      <c r="AF109" s="547"/>
      <c r="AG109" s="351"/>
      <c r="AH109" s="47"/>
      <c r="AI109" s="47"/>
      <c r="AJ109" s="47"/>
    </row>
    <row r="110" spans="1:36" x14ac:dyDescent="0.6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543"/>
      <c r="O110" s="47"/>
      <c r="P110" s="131"/>
      <c r="Q110" s="47"/>
      <c r="R110" s="47"/>
      <c r="S110" s="47"/>
      <c r="T110" s="47"/>
      <c r="U110" s="47"/>
      <c r="V110" s="47"/>
      <c r="W110" s="537"/>
      <c r="X110" s="47"/>
      <c r="Y110" s="47"/>
      <c r="Z110" s="47"/>
      <c r="AA110" s="47"/>
      <c r="AB110" s="47"/>
      <c r="AC110" s="538"/>
      <c r="AD110" s="47"/>
      <c r="AE110" s="47"/>
      <c r="AF110" s="47"/>
      <c r="AG110" s="47"/>
      <c r="AH110" s="47"/>
      <c r="AI110" s="47"/>
      <c r="AJ110" s="47"/>
    </row>
    <row r="111" spans="1:36" x14ac:dyDescent="0.6">
      <c r="A111" s="22"/>
      <c r="M111" s="47"/>
      <c r="N111" s="47"/>
      <c r="O111" s="47"/>
      <c r="P111" s="47"/>
      <c r="Q111" s="47"/>
      <c r="R111" s="114"/>
      <c r="S111" s="544"/>
      <c r="T111" s="47"/>
      <c r="U111" s="47"/>
      <c r="V111" s="47"/>
      <c r="W111" s="44"/>
      <c r="X111" s="543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</row>
    <row r="112" spans="1:36" x14ac:dyDescent="0.6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59.321448140334518</v>
      </c>
      <c r="F112" s="75">
        <f>(SUMPRODUCT(F20:F23,F65:F68,$C84:$C87,$H84:$H87)*F95+SUMPRODUCT(R20:R23,F65:F68,$E84:$E87,$I84:$I87)*F95)/SUM(F65:F68)</f>
        <v>59.575353199806727</v>
      </c>
      <c r="G112" s="75">
        <f>(SUMPRODUCT(G20:G23,G65:G68,$C84:$C87,$H84:$H87)*G95+SUMPRODUCT(S20:S23,G65:G68,$E84:$E87,$I84:$I87)*G95)/SUM(G65:G68)</f>
        <v>60.386830891176153</v>
      </c>
      <c r="H112" s="75">
        <f>(SUMPRODUCT(H20:H23,H65:H68,$C84:$C87,$H84:$H87)*H95+SUMPRODUCT(T20:T23,H65:H68,$E84:$E87,$I84:$I87)*H95)/SUM(H65:H68)</f>
        <v>60.139159808064782</v>
      </c>
      <c r="I112" s="75">
        <f>(SUMPRODUCT(I20:I23,I65:I68,$C84:$C87,$H84:$H87)*I95+SUMPRODUCT(U20:U23,I65:I68,$E84:$E87,$I84:$I87)*I95)/SUM(I65:I68)</f>
        <v>54.447921589908574</v>
      </c>
      <c r="J112" s="76"/>
      <c r="K112" s="76"/>
      <c r="L112" s="74"/>
      <c r="M112" s="53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51"/>
      <c r="AA112" s="47"/>
      <c r="AB112" s="114"/>
      <c r="AC112" s="544"/>
      <c r="AD112" s="351"/>
      <c r="AE112" s="47"/>
      <c r="AF112" s="47"/>
      <c r="AG112" s="47"/>
      <c r="AH112" s="47"/>
      <c r="AI112" s="47"/>
      <c r="AJ112" s="47"/>
    </row>
    <row r="113" spans="1:36" x14ac:dyDescent="0.6">
      <c r="A113" s="22"/>
      <c r="B113" s="77" t="s">
        <v>41</v>
      </c>
      <c r="C113" s="74"/>
      <c r="D113" s="74"/>
      <c r="E113" s="75">
        <f>(SUMPRODUCT(E20:E23,E65:E68,$C84:$C87,$H84:$H87)*E95)/SUMPRODUCT(E20:E23,E65:E68)</f>
        <v>69.33928005095764</v>
      </c>
      <c r="F113" s="75">
        <f>(SUMPRODUCT(F20:F23,F65:F68,$C84:$C87,$H84:$H87)*F95)/SUMPRODUCT(F20:F23,F65:F68)</f>
        <v>69.517620124993002</v>
      </c>
      <c r="G113" s="75">
        <f>(SUMPRODUCT(G20:G23,G65:G68,$C84:$C87,$H84:$H87)*G95)/SUMPRODUCT(G20:G23,G65:G68)</f>
        <v>68.938306145872318</v>
      </c>
      <c r="H113" s="75">
        <f>(SUMPRODUCT(H20:H23,H65:H68,$C84:$C87,$H84:$H87)*H95)/SUMPRODUCT(H20:H23,H65:H68)</f>
        <v>69.228215081098242</v>
      </c>
      <c r="I113" s="75">
        <f>(SUMPRODUCT(I20:I23,I65:I68,$C84:$C87,$H84:$H87)*I95)/SUMPRODUCT(I20:I23,I65:I68)</f>
        <v>68.539778724390985</v>
      </c>
      <c r="J113" s="76"/>
      <c r="K113" s="76"/>
      <c r="L113" s="74"/>
      <c r="M113" s="539"/>
      <c r="N113" s="47"/>
      <c r="O113" s="47"/>
      <c r="P113" s="47"/>
      <c r="Q113" s="47"/>
      <c r="R113" s="47"/>
      <c r="S113" s="538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</row>
    <row r="114" spans="1:36" x14ac:dyDescent="0.6">
      <c r="A114" s="22"/>
      <c r="B114" s="77" t="s">
        <v>42</v>
      </c>
      <c r="C114" s="74"/>
      <c r="D114" s="74"/>
      <c r="E114" s="75">
        <f>(SUMPRODUCT(Q20:Q23,E65:E68,$E84:$E87,$I84:$I87)*E95)/SUMPRODUCT(Q20:Q23,E65:E68)</f>
        <v>48.555407867059316</v>
      </c>
      <c r="F114" s="75">
        <f>(SUMPRODUCT(R20:R23,F65:F68,$E84:$E87,$I84:$I87)*F95)/SUMPRODUCT(R20:R23,F65:F68)</f>
        <v>48.759977208327001</v>
      </c>
      <c r="G114" s="75">
        <f>(SUMPRODUCT(S20:S23,G65:G68,$E84:$E87,$I84:$I87)*G95)/SUMPRODUCT(S20:S23,G65:G68)</f>
        <v>48.539558749415306</v>
      </c>
      <c r="H114" s="75">
        <f>(SUMPRODUCT(T20:T23,H65:H68,$E84:$E87,$I84:$I87)*H95)/SUMPRODUCT(T20:T23,H65:H68)</f>
        <v>48.738396010214679</v>
      </c>
      <c r="I114" s="75">
        <f>(SUMPRODUCT(U20:U23,I65:I68,$E84:$E87,$I84:$I87)*I95)/SUMPRODUCT(U20:U23,I65:I68)</f>
        <v>48.34290640407778</v>
      </c>
      <c r="J114" s="76"/>
      <c r="K114" s="76"/>
      <c r="L114" s="74"/>
      <c r="M114" s="44"/>
      <c r="N114" s="543"/>
      <c r="O114" s="47"/>
      <c r="P114" s="131"/>
      <c r="Q114" s="47"/>
      <c r="R114" s="47"/>
      <c r="S114" s="47"/>
      <c r="T114" s="47"/>
      <c r="U114" s="47"/>
      <c r="V114" s="47"/>
      <c r="W114" s="537"/>
      <c r="X114" s="47"/>
      <c r="Y114" s="47"/>
      <c r="Z114" s="47"/>
      <c r="AA114" s="47"/>
      <c r="AB114" s="47"/>
      <c r="AC114" s="538"/>
      <c r="AD114" s="47"/>
      <c r="AE114" s="47"/>
      <c r="AF114" s="47"/>
      <c r="AG114" s="47"/>
      <c r="AH114" s="47"/>
      <c r="AI114" s="47"/>
      <c r="AJ114" s="47"/>
    </row>
    <row r="115" spans="1:36" x14ac:dyDescent="0.6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  <c r="M115" s="47"/>
      <c r="N115" s="47"/>
      <c r="O115" s="47"/>
      <c r="P115" s="47"/>
      <c r="Q115" s="47"/>
      <c r="R115" s="114"/>
      <c r="S115" s="544"/>
      <c r="T115" s="47"/>
      <c r="U115" s="47"/>
      <c r="V115" s="47"/>
      <c r="W115" s="44"/>
      <c r="X115" s="543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</row>
    <row r="116" spans="1:36" x14ac:dyDescent="0.6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65.151448745543973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63.534190945330678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63.182779996805834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62.77369627646457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59.453955644845401</v>
      </c>
      <c r="J116" s="76"/>
      <c r="K116" s="76"/>
      <c r="L116" s="74"/>
      <c r="M116" s="541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51"/>
      <c r="AA116" s="47"/>
      <c r="AB116" s="114"/>
      <c r="AC116" s="544"/>
      <c r="AD116" s="351"/>
      <c r="AE116" s="47"/>
      <c r="AF116" s="47"/>
      <c r="AG116" s="47"/>
      <c r="AH116" s="47"/>
      <c r="AI116" s="47"/>
      <c r="AJ116" s="47"/>
    </row>
    <row r="117" spans="1:36" x14ac:dyDescent="0.6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71.139677925537981</v>
      </c>
      <c r="F117" s="75">
        <f>(SUMPRODUCT(F15:F19,F60:F64,$C79:$C83,$H79:$H83)*F95+SUMPRODUCT(F24:F26,F69:F71,$C88:$C90,$H88:$H90)*F95)/(SUMPRODUCT(F15:F19,F60:F64)+SUMPRODUCT(F24:F26,F69:F71))</f>
        <v>69.121794455564952</v>
      </c>
      <c r="G117" s="75">
        <f>(SUMPRODUCT(G15:G19,G60:G64,$C79:$C83,$H79:$H83)*G95+SUMPRODUCT(G24:G26,G69:G71,$C88:$C90,$H88:$H90)*G95)/(SUMPRODUCT(G15:G19,G60:G64)+SUMPRODUCT(G24:G26,G69:G71))</f>
        <v>67.600353441091144</v>
      </c>
      <c r="H117" s="75">
        <f>(SUMPRODUCT(H15:H19,H60:H64,$C79:$C83,$H79:$H83)*H95+SUMPRODUCT(H24:H26,H69:H71,$C88:$C90,$H88:$H90)*H95)/(SUMPRODUCT(H15:H19,H60:H64)+SUMPRODUCT(H24:H26,H69:H71))</f>
        <v>67.745777080351928</v>
      </c>
      <c r="I117" s="75">
        <f>(SUMPRODUCT(I15:I19,I60:I64,$C79:$C83,$H79:$H83)*I95+SUMPRODUCT(I24:I26,I69:I71,$C88:$C90,$H88:$H90)*I95)/(SUMPRODUCT(I15:I19,I60:I64)+SUMPRODUCT(I24:I26,I69:I71))</f>
        <v>67.116543935045357</v>
      </c>
      <c r="J117" s="76"/>
      <c r="K117" s="76"/>
      <c r="L117" s="74"/>
      <c r="M117" s="539"/>
      <c r="N117" s="47"/>
      <c r="O117" s="47"/>
      <c r="P117" s="47"/>
      <c r="Q117" s="47"/>
      <c r="R117" s="47"/>
      <c r="S117" s="538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</row>
    <row r="118" spans="1:36" x14ac:dyDescent="0.6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59.657290128871125</v>
      </c>
      <c r="F118" s="75">
        <f>(SUMPRODUCT(R15:R19,F60:F64,$E79:$E83,$I79:$I83)*F95+SUMPRODUCT(R24:R26,F69:F71,$E88:$E90,$I88:$I90)*F95)/(SUMPRODUCT(R15:R19,F60:F64)+SUMPRODUCT(R24:R26,F69:F71))</f>
        <v>57.896763403383744</v>
      </c>
      <c r="G118" s="75">
        <f>(SUMPRODUCT(S15:S19,G60:G64,$E79:$E83,$I79:$I83)*G95+SUMPRODUCT(S24:S26,G69:G71,$E88:$E90,$I88:$I90)*G95)/(SUMPRODUCT(S15:S19,G60:G64)+SUMPRODUCT(S24:S26,G69:G71))</f>
        <v>57.182909031395006</v>
      </c>
      <c r="H118" s="75">
        <f>(SUMPRODUCT(T15:T19,H60:H64,$E79:$E83,$I79:$I83)*H95+SUMPRODUCT(T24:T26,H69:H71,$E88:$E90,$I88:$I90)*H95)/(SUMPRODUCT(T15:T19,H60:H64)+SUMPRODUCT(T24:T26,H69:H71))</f>
        <v>56.863551637978055</v>
      </c>
      <c r="I118" s="75">
        <f>(SUMPRODUCT(U15:U19,I60:I64,$E79:$E83,$I79:$I83)*I95+SUMPRODUCT(U24:U26,I69:I71,$E88:$E90,$I88:$I90)*I95)/(SUMPRODUCT(U15:U19,I60:I64)+SUMPRODUCT(U24:U26,I69:I71))</f>
        <v>55.842633610636618</v>
      </c>
      <c r="J118" s="76"/>
      <c r="K118" s="76"/>
      <c r="L118" s="74"/>
      <c r="M118" s="44"/>
      <c r="N118" s="543"/>
      <c r="O118" s="47"/>
      <c r="P118" s="131"/>
      <c r="Q118" s="47"/>
      <c r="R118" s="47"/>
      <c r="S118" s="47"/>
      <c r="T118" s="47"/>
      <c r="U118" s="47"/>
      <c r="V118" s="47"/>
      <c r="W118" s="537"/>
      <c r="X118" s="47"/>
      <c r="Y118" s="47"/>
      <c r="Z118" s="47"/>
      <c r="AA118" s="47"/>
      <c r="AB118" s="47"/>
      <c r="AC118" s="538"/>
      <c r="AD118" s="47"/>
      <c r="AE118" s="47"/>
      <c r="AF118" s="47"/>
      <c r="AG118" s="47"/>
      <c r="AH118" s="47"/>
      <c r="AI118" s="47"/>
      <c r="AJ118" s="47"/>
    </row>
    <row r="119" spans="1:36" x14ac:dyDescent="0.6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  <c r="M119" s="47"/>
      <c r="N119" s="47"/>
      <c r="O119" s="47"/>
      <c r="P119" s="47"/>
      <c r="Q119" s="47"/>
      <c r="R119" s="114"/>
      <c r="S119" s="544"/>
      <c r="T119" s="47"/>
      <c r="U119" s="47"/>
      <c r="V119" s="47"/>
      <c r="W119" s="44"/>
      <c r="X119" s="543"/>
      <c r="Y119" s="47"/>
      <c r="Z119" s="131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</row>
    <row r="120" spans="1:36" x14ac:dyDescent="0.6">
      <c r="A120" s="22"/>
      <c r="B120" s="13" t="s">
        <v>16</v>
      </c>
      <c r="C120" s="74"/>
      <c r="D120" s="78"/>
      <c r="E120" s="79">
        <f>(E112*SUM(E65:E68)+E116*SUM(E60:E64,E69:E71))/E72</f>
        <v>63.223412128298719</v>
      </c>
      <c r="F120" s="79">
        <f>(F112*SUM(F65:F68)+F116*SUM(F60:F64,F69:F71))/F72</f>
        <v>61.883817832259744</v>
      </c>
      <c r="G120" s="79">
        <f>(G112*SUM(G65:G68)+G116*SUM(G60:G64,G69:G71))/G72</f>
        <v>62.141509856055983</v>
      </c>
      <c r="H120" s="79">
        <f>(H112*SUM(H65:H68)+H116*SUM(H60:H64,H69:H71))/H72</f>
        <v>61.867914096887887</v>
      </c>
      <c r="I120" s="79">
        <f>(I112*SUM(I65:I68)+I116*SUM(I60:I64,I69:I71))/I72</f>
        <v>57.785234844305194</v>
      </c>
      <c r="J120" s="76"/>
      <c r="K120" s="76"/>
      <c r="L120" s="78"/>
      <c r="M120" s="539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351"/>
      <c r="AA120" s="47"/>
      <c r="AB120" s="114"/>
      <c r="AC120" s="544"/>
      <c r="AD120" s="351"/>
      <c r="AE120" s="47"/>
      <c r="AF120" s="47"/>
      <c r="AG120" s="47"/>
      <c r="AH120" s="47"/>
      <c r="AI120" s="47"/>
      <c r="AJ120" s="47"/>
    </row>
    <row r="121" spans="1:36" x14ac:dyDescent="0.6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539"/>
      <c r="N121" s="47"/>
      <c r="O121" s="47"/>
      <c r="P121" s="47"/>
      <c r="Q121" s="47"/>
      <c r="R121" s="47"/>
      <c r="S121" s="538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</row>
    <row r="122" spans="1:36" x14ac:dyDescent="0.6">
      <c r="A122" s="22"/>
      <c r="B122" s="13" t="s">
        <v>44</v>
      </c>
      <c r="C122" s="80">
        <f>SUMPRODUCT(C120:I120,C72:I72)/SUM(C72:I72)</f>
        <v>61.963635497997579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543"/>
      <c r="O122" s="47"/>
      <c r="P122" s="131"/>
      <c r="Q122" s="47"/>
      <c r="R122" s="47"/>
      <c r="S122" s="47"/>
      <c r="T122" s="47"/>
      <c r="U122" s="47"/>
      <c r="V122" s="47"/>
      <c r="W122" s="537"/>
      <c r="X122" s="47"/>
      <c r="Y122" s="47"/>
      <c r="Z122" s="47"/>
      <c r="AA122" s="47"/>
      <c r="AB122" s="47"/>
      <c r="AC122" s="538"/>
      <c r="AD122" s="47"/>
      <c r="AE122" s="47"/>
      <c r="AF122" s="548"/>
      <c r="AG122" s="351"/>
      <c r="AH122" s="47"/>
      <c r="AI122" s="47"/>
      <c r="AJ122" s="47"/>
    </row>
    <row r="123" spans="1:36" x14ac:dyDescent="0.6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544"/>
      <c r="T123" s="47"/>
      <c r="U123" s="47"/>
      <c r="V123" s="47"/>
      <c r="W123" s="44"/>
      <c r="X123" s="543"/>
      <c r="Y123" s="47"/>
      <c r="Z123" s="131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</row>
    <row r="124" spans="1:36" x14ac:dyDescent="0.6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539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351"/>
      <c r="AA124" s="47"/>
      <c r="AB124" s="114"/>
      <c r="AC124" s="544"/>
      <c r="AD124" s="351"/>
      <c r="AE124" s="47"/>
      <c r="AF124" s="549"/>
      <c r="AG124" s="351"/>
      <c r="AH124" s="47"/>
      <c r="AI124" s="47"/>
      <c r="AJ124" s="47"/>
    </row>
    <row r="125" spans="1:36" x14ac:dyDescent="0.6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539"/>
      <c r="N125" s="47"/>
      <c r="O125" s="47"/>
      <c r="P125" s="47"/>
      <c r="Q125" s="47"/>
      <c r="R125" s="47"/>
      <c r="S125" s="538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</row>
    <row r="126" spans="1:36" x14ac:dyDescent="0.6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543"/>
      <c r="O126" s="47"/>
      <c r="P126" s="131"/>
      <c r="Q126" s="47"/>
      <c r="R126" s="47"/>
      <c r="S126" s="47"/>
      <c r="T126" s="47"/>
      <c r="U126" s="47"/>
      <c r="V126" s="47"/>
      <c r="W126" s="537"/>
      <c r="X126" s="47"/>
      <c r="Y126" s="47"/>
      <c r="Z126" s="47"/>
      <c r="AA126" s="47"/>
      <c r="AB126" s="47"/>
      <c r="AC126" s="538"/>
      <c r="AD126" s="47"/>
      <c r="AE126" s="47"/>
      <c r="AF126" s="550"/>
      <c r="AG126" s="351"/>
      <c r="AH126" s="47"/>
      <c r="AI126" s="47"/>
      <c r="AJ126" s="47"/>
    </row>
    <row r="127" spans="1:36" x14ac:dyDescent="0.6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544"/>
      <c r="T127" s="47"/>
      <c r="U127" s="47"/>
      <c r="V127" s="47"/>
      <c r="W127" s="44"/>
      <c r="X127" s="543"/>
      <c r="Y127" s="47"/>
      <c r="Z127" s="131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</row>
    <row r="128" spans="1:36" x14ac:dyDescent="0.6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351"/>
      <c r="AA128" s="47"/>
      <c r="AB128" s="114"/>
      <c r="AC128" s="544"/>
      <c r="AD128" s="351"/>
      <c r="AE128" s="47"/>
      <c r="AF128" s="549"/>
      <c r="AG128" s="47"/>
      <c r="AH128" s="47"/>
      <c r="AI128" s="47"/>
      <c r="AJ128" s="47"/>
    </row>
    <row r="129" spans="1:36" x14ac:dyDescent="0.6">
      <c r="A129" s="22"/>
      <c r="C129" s="81"/>
      <c r="M129" s="539"/>
      <c r="N129" s="47"/>
      <c r="O129" s="47"/>
      <c r="P129" s="47"/>
      <c r="Q129" s="47"/>
      <c r="R129" s="47"/>
      <c r="S129" s="538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</row>
    <row r="130" spans="1:36" x14ac:dyDescent="0.6">
      <c r="A130" s="22"/>
      <c r="B130" s="28" t="s">
        <v>17</v>
      </c>
      <c r="C130" s="76"/>
      <c r="D130" s="76"/>
      <c r="E130" s="76">
        <f>SUM(E65:E68)*E112/1000</f>
        <v>3843.1400177715718</v>
      </c>
      <c r="F130" s="76">
        <f>SUM(F65:F68)*F112/1000</f>
        <v>235764.27723250675</v>
      </c>
      <c r="G130" s="76">
        <f>SUM(G65:G68)*G112/1000</f>
        <v>128700.641073437</v>
      </c>
      <c r="H130" s="76">
        <f>SUM(H65:H68)*H112/1000</f>
        <v>3908.6845525653621</v>
      </c>
      <c r="I130" s="76">
        <f>SUM(I65:I68)*I112/1000</f>
        <v>2123.741181614384</v>
      </c>
      <c r="J130" s="76">
        <f>SUM(E130:I130)</f>
        <v>374340.48405789508</v>
      </c>
      <c r="K130" s="76"/>
      <c r="L130" s="76"/>
      <c r="M130" s="44"/>
      <c r="N130" s="543"/>
      <c r="O130" s="47"/>
      <c r="P130" s="131"/>
      <c r="Q130" s="47"/>
      <c r="R130" s="47"/>
      <c r="S130" s="47"/>
      <c r="T130" s="47"/>
      <c r="U130" s="47"/>
      <c r="V130" s="47"/>
      <c r="W130" s="537"/>
      <c r="X130" s="47"/>
      <c r="Y130" s="47"/>
      <c r="Z130" s="47"/>
      <c r="AA130" s="47"/>
      <c r="AB130" s="47"/>
      <c r="AC130" s="538"/>
      <c r="AD130" s="47"/>
      <c r="AE130" s="47"/>
      <c r="AF130" s="47"/>
      <c r="AG130" s="47"/>
      <c r="AH130" s="47"/>
      <c r="AI130" s="47"/>
      <c r="AJ130" s="47"/>
    </row>
    <row r="131" spans="1:36" x14ac:dyDescent="0.6">
      <c r="A131" s="22"/>
      <c r="B131" s="77" t="s">
        <v>41</v>
      </c>
      <c r="C131" s="76"/>
      <c r="D131" s="76"/>
      <c r="E131" s="76">
        <f>SUMPRODUCT(E65:E68,E20:E23)*E113/1000</f>
        <v>2326.9300510608514</v>
      </c>
      <c r="F131" s="76">
        <f>SUMPRODUCT(F65:F68,F20:F23)*F113/1000</f>
        <v>143340.81104231451</v>
      </c>
      <c r="G131" s="76">
        <f>SUMPRODUCT(G65:G68,G20:G23)*G113/1000</f>
        <v>85332.396925696448</v>
      </c>
      <c r="H131" s="76">
        <f>SUMPRODUCT(H65:H68,H20:H23)*H113/1000</f>
        <v>2503.5266848372412</v>
      </c>
      <c r="I131" s="76">
        <f>SUMPRODUCT(I65:I68,I20:I23)*I113/1000</f>
        <v>808.10093419387056</v>
      </c>
      <c r="J131" s="76">
        <f>SUM(E131:I131)</f>
        <v>234311.76563810295</v>
      </c>
      <c r="K131" s="76"/>
      <c r="L131" s="76"/>
      <c r="M131" s="47"/>
      <c r="N131" s="47"/>
      <c r="O131" s="47"/>
      <c r="P131" s="47"/>
      <c r="Q131" s="47"/>
      <c r="R131" s="114"/>
      <c r="S131" s="544"/>
      <c r="T131" s="47"/>
      <c r="U131" s="47"/>
      <c r="V131" s="47"/>
      <c r="W131" s="44"/>
      <c r="X131" s="543"/>
      <c r="Y131" s="47"/>
      <c r="Z131" s="131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</row>
    <row r="132" spans="1:36" x14ac:dyDescent="0.6">
      <c r="A132" s="22"/>
      <c r="B132" s="77" t="s">
        <v>42</v>
      </c>
      <c r="C132" s="76"/>
      <c r="D132" s="76"/>
      <c r="E132" s="76">
        <f>SUMPRODUCT(E65:E68,Q20:Q23)*E114/1000</f>
        <v>1516.2099667107204</v>
      </c>
      <c r="F132" s="76">
        <f>SUMPRODUCT(F65:F68,R20:R23)*F114/1000</f>
        <v>92423.466190192266</v>
      </c>
      <c r="G132" s="76">
        <f>SUMPRODUCT(G65:G68,S20:S23)*G114/1000</f>
        <v>43368.244147740566</v>
      </c>
      <c r="H132" s="76">
        <f>SUMPRODUCT(H65:H68,T20:T23)*H114/1000</f>
        <v>1405.1578677281207</v>
      </c>
      <c r="I132" s="76">
        <f>SUMPRODUCT(I65:I68,U20:U23)*I114/1000</f>
        <v>1315.6402474205138</v>
      </c>
      <c r="J132" s="76">
        <f>SUM(E132:I132)</f>
        <v>140028.71841979222</v>
      </c>
      <c r="K132" s="76"/>
      <c r="L132" s="76"/>
      <c r="M132" s="542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351"/>
      <c r="AA132" s="47"/>
      <c r="AB132" s="114"/>
      <c r="AC132" s="544"/>
      <c r="AD132" s="351"/>
      <c r="AE132" s="47"/>
      <c r="AF132" s="47"/>
      <c r="AG132" s="47"/>
      <c r="AH132" s="47"/>
      <c r="AI132" s="47"/>
      <c r="AJ132" s="47"/>
    </row>
    <row r="133" spans="1:36" x14ac:dyDescent="0.6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  <c r="M133" s="537"/>
      <c r="N133" s="47"/>
      <c r="O133" s="47"/>
      <c r="P133" s="47"/>
      <c r="Q133" s="47"/>
      <c r="R133" s="47"/>
      <c r="S133" s="538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</row>
    <row r="134" spans="1:36" x14ac:dyDescent="0.6">
      <c r="A134" s="22"/>
      <c r="B134" s="28" t="s">
        <v>18</v>
      </c>
      <c r="C134" s="82"/>
      <c r="D134" s="82"/>
      <c r="E134" s="82">
        <f>SUM(E60:E64,E69:E71)*E116/1000</f>
        <v>8542.1367479257624</v>
      </c>
      <c r="F134" s="82">
        <f>SUM(F60:F64,F69:F71)*F116/1000</f>
        <v>351689.95606318506</v>
      </c>
      <c r="G134" s="82">
        <f>SUM(G60:G64,G69:G71)*G116/1000</f>
        <v>226919.31160624823</v>
      </c>
      <c r="H134" s="82">
        <f>SUM(H60:H64,H69:H71)*H116/1000</f>
        <v>7786.8259283103243</v>
      </c>
      <c r="I134" s="82">
        <f>SUM(I60:I64,I69:I71)*I116/1000</f>
        <v>4637.8247179874552</v>
      </c>
      <c r="J134" s="76">
        <f>SUM(E134:I134)</f>
        <v>599576.05506365676</v>
      </c>
      <c r="K134" s="76"/>
      <c r="L134" s="82"/>
      <c r="M134" s="44"/>
      <c r="N134" s="543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</row>
    <row r="135" spans="1:36" x14ac:dyDescent="0.6">
      <c r="A135" s="22"/>
      <c r="B135" s="77" t="s">
        <v>41</v>
      </c>
      <c r="C135" s="76"/>
      <c r="D135" s="76"/>
      <c r="E135" s="76">
        <f>(SUMPRODUCT(E60:E64,E15:E19)+SUMPRODUCT(E69:E71,E24:E26))*E117/1000</f>
        <v>4462.9633453877686</v>
      </c>
      <c r="F135" s="76">
        <f>(SUMPRODUCT(F60:F64,F15:F19)+SUMPRODUCT(F69:F71,F24:F26))*F117/1000</f>
        <v>192159.06974328178</v>
      </c>
      <c r="G135" s="76">
        <f>(SUMPRODUCT(G60:G64,G15:G19)+SUMPRODUCT(G69:G71,G24:G26))*G117/1000</f>
        <v>139830.66150463617</v>
      </c>
      <c r="H135" s="76">
        <f>(SUMPRODUCT(H60:H64,H15:H19)+SUMPRODUCT(H69:H71,H24:H26))*H117/1000</f>
        <v>4563.997354075409</v>
      </c>
      <c r="I135" s="76">
        <f>(SUMPRODUCT(I60:I64,I15:I19)+SUMPRODUCT(I69:I71,I24:I26))*I117/1000</f>
        <v>1677.0839506415898</v>
      </c>
      <c r="J135" s="76">
        <f>SUM(E135:I135)</f>
        <v>342693.77589802269</v>
      </c>
      <c r="K135" s="76"/>
      <c r="L135" s="76"/>
      <c r="M135" s="47"/>
      <c r="N135" s="47"/>
      <c r="O135" s="47"/>
      <c r="P135" s="351"/>
      <c r="Q135" s="47"/>
      <c r="R135" s="114"/>
      <c r="S135" s="54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</row>
    <row r="136" spans="1:36" x14ac:dyDescent="0.6">
      <c r="A136" s="22"/>
      <c r="B136" s="77" t="s">
        <v>42</v>
      </c>
      <c r="C136" s="76"/>
      <c r="D136" s="76"/>
      <c r="E136" s="76">
        <f>+(SUMPRODUCT(E60:E64,Q15:Q19)+SUMPRODUCT(E69:E71,Q24:Q26))*E118/1000</f>
        <v>4079.1734025379928</v>
      </c>
      <c r="F136" s="76">
        <f>+(SUMPRODUCT(F60:F64,R15:R19)+SUMPRODUCT(F69:F71,R24:R26))*F118/1000</f>
        <v>159530.88631990325</v>
      </c>
      <c r="G136" s="76">
        <f>+(SUMPRODUCT(G60:G64,S15:S19)+SUMPRODUCT(G69:G71,S24:S26))*G118/1000</f>
        <v>87088.650101612031</v>
      </c>
      <c r="H136" s="76">
        <f>+(SUMPRODUCT(H60:H64,T15:T19)+SUMPRODUCT(H69:H71,T24:T26))*H118/1000</f>
        <v>3222.8285742349158</v>
      </c>
      <c r="I136" s="76">
        <f>+(SUMPRODUCT(I60:I64,U15:U19)+SUMPRODUCT(I69:I71,U24:U26))*I118/1000</f>
        <v>2960.7407673458661</v>
      </c>
      <c r="J136" s="76">
        <f>SUM(E136:I136)</f>
        <v>256882.27916563407</v>
      </c>
      <c r="K136" s="76"/>
      <c r="L136" s="76"/>
      <c r="M136" s="542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</row>
    <row r="137" spans="1:36" x14ac:dyDescent="0.6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  <c r="M137" s="537"/>
      <c r="N137" s="47"/>
      <c r="O137" s="47"/>
      <c r="P137" s="47"/>
      <c r="Q137" s="47"/>
      <c r="R137" s="47"/>
      <c r="S137" s="538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</row>
    <row r="138" spans="1:36" x14ac:dyDescent="0.6">
      <c r="A138" s="22"/>
      <c r="B138" s="13" t="s">
        <v>16</v>
      </c>
      <c r="C138" s="82"/>
      <c r="D138" s="82"/>
      <c r="E138" s="82">
        <f>+E130+E134</f>
        <v>12385.276765697334</v>
      </c>
      <c r="F138" s="82">
        <f>+F130+F134</f>
        <v>587454.23329569178</v>
      </c>
      <c r="G138" s="82">
        <f>+G130+G134</f>
        <v>355619.9526796852</v>
      </c>
      <c r="H138" s="82">
        <f>+H130+H134</f>
        <v>11695.510480875686</v>
      </c>
      <c r="I138" s="82">
        <f>+I130+I134</f>
        <v>6761.5658996018392</v>
      </c>
      <c r="J138" s="76">
        <f>SUM(E138:I138)</f>
        <v>973916.53912155179</v>
      </c>
      <c r="K138" s="76"/>
      <c r="L138" s="82"/>
      <c r="M138" s="44"/>
      <c r="N138" s="543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</row>
    <row r="139" spans="1:36" x14ac:dyDescent="0.6">
      <c r="A139" s="22"/>
      <c r="M139" s="47"/>
      <c r="N139" s="47"/>
      <c r="O139" s="47"/>
      <c r="P139" s="351"/>
      <c r="Q139" s="47"/>
      <c r="R139" s="114"/>
      <c r="S139" s="54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</row>
    <row r="140" spans="1:36" x14ac:dyDescent="0.6">
      <c r="A140" s="22"/>
      <c r="B140" s="13" t="s">
        <v>44</v>
      </c>
      <c r="C140" s="76">
        <f>SUM(C138:I138)</f>
        <v>973916.53912155179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</row>
    <row r="141" spans="1:36" x14ac:dyDescent="0.6">
      <c r="A141" s="22"/>
      <c r="M141" s="537"/>
      <c r="N141" s="47"/>
      <c r="O141" s="47"/>
      <c r="P141" s="47"/>
      <c r="Q141" s="47"/>
      <c r="R141" s="47"/>
      <c r="S141" s="538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</row>
    <row r="142" spans="1:36" x14ac:dyDescent="0.6">
      <c r="A142" s="22"/>
      <c r="M142" s="44"/>
      <c r="N142" s="543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</row>
    <row r="143" spans="1:36" ht="15.5" x14ac:dyDescent="0.7">
      <c r="A143" s="22"/>
      <c r="B143" s="578" t="str">
        <f>$B$1</f>
        <v xml:space="preserve">Jersey Central Power &amp; Light </v>
      </c>
      <c r="C143" s="578"/>
      <c r="D143" s="578"/>
      <c r="E143" s="578"/>
      <c r="F143" s="578"/>
      <c r="G143" s="578"/>
      <c r="H143" s="578"/>
      <c r="I143" s="578"/>
      <c r="J143" s="578"/>
      <c r="K143" s="578"/>
      <c r="L143" s="578"/>
      <c r="M143" s="47"/>
      <c r="N143" s="47"/>
      <c r="O143" s="47"/>
      <c r="P143" s="351"/>
      <c r="Q143" s="47"/>
      <c r="R143" s="114"/>
      <c r="S143" s="544"/>
      <c r="T143" s="351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</row>
    <row r="144" spans="1:36" ht="15.5" x14ac:dyDescent="0.7">
      <c r="A144" s="22"/>
      <c r="B144" s="578" t="str">
        <f>$B$2</f>
        <v>Attachment 2</v>
      </c>
      <c r="C144" s="578"/>
      <c r="D144" s="578"/>
      <c r="E144" s="578"/>
      <c r="F144" s="578"/>
      <c r="G144" s="578"/>
      <c r="H144" s="578"/>
      <c r="I144" s="578"/>
      <c r="J144" s="578"/>
      <c r="K144" s="578"/>
      <c r="L144" s="578"/>
    </row>
    <row r="145" spans="1:51" x14ac:dyDescent="0.6">
      <c r="A145" s="18" t="s">
        <v>70</v>
      </c>
      <c r="B145" s="16" t="s">
        <v>71</v>
      </c>
      <c r="C145" s="78"/>
      <c r="Q145" s="13" t="s">
        <v>126</v>
      </c>
      <c r="T145" s="13" t="s">
        <v>122</v>
      </c>
      <c r="W145" s="13" t="s">
        <v>123</v>
      </c>
      <c r="Z145" s="13" t="s">
        <v>124</v>
      </c>
    </row>
    <row r="146" spans="1:51" x14ac:dyDescent="0.6">
      <c r="A146" s="22"/>
      <c r="B146" s="17" t="s">
        <v>173</v>
      </c>
      <c r="C146" s="78"/>
      <c r="W146" s="13" t="s">
        <v>127</v>
      </c>
      <c r="Z146" s="13" t="s">
        <v>128</v>
      </c>
      <c r="AC146" s="13" t="s">
        <v>125</v>
      </c>
    </row>
    <row r="147" spans="1:51" x14ac:dyDescent="0.6">
      <c r="A147" s="22"/>
      <c r="B147" s="17" t="s">
        <v>21</v>
      </c>
      <c r="C147" s="78"/>
    </row>
    <row r="148" spans="1:51" x14ac:dyDescent="0.6">
      <c r="A148" s="22"/>
      <c r="B148" s="16"/>
      <c r="C148" s="26"/>
      <c r="D148" s="26"/>
      <c r="E148" s="26" t="str">
        <f>+E$13</f>
        <v>RT{1}</v>
      </c>
      <c r="F148" s="26" t="str">
        <f>+F$13</f>
        <v>RS{2}</v>
      </c>
      <c r="G148" s="26" t="str">
        <f>+G$13</f>
        <v>GS{3}</v>
      </c>
      <c r="H148" s="26" t="str">
        <f>+H$58</f>
        <v>GST {4}</v>
      </c>
      <c r="I148" s="26" t="str">
        <f>+I$13</f>
        <v>OL/SL</v>
      </c>
      <c r="J148" s="26"/>
      <c r="K148" s="26"/>
      <c r="L148" s="26"/>
      <c r="M148" s="26"/>
      <c r="Q148" s="26" t="str">
        <f>+$H148</f>
        <v>GST {4}</v>
      </c>
      <c r="R148" s="26"/>
      <c r="S148" s="26"/>
      <c r="T148" s="26" t="str">
        <f>+$H148</f>
        <v>GST {4}</v>
      </c>
      <c r="U148" s="26"/>
      <c r="V148" s="26"/>
      <c r="W148" s="26" t="str">
        <f>+$H148</f>
        <v>GST {4}</v>
      </c>
      <c r="X148" s="26"/>
      <c r="Z148" s="26" t="str">
        <f>+$H148</f>
        <v>GST {4}</v>
      </c>
      <c r="AA148" s="26"/>
      <c r="AC148" s="26" t="str">
        <f>+$H148</f>
        <v>GST {4}</v>
      </c>
      <c r="AD148" s="26"/>
      <c r="AU148" s="26"/>
      <c r="AV148" s="26"/>
      <c r="AW148" s="26"/>
      <c r="AX148" s="26"/>
      <c r="AY148" s="26"/>
    </row>
    <row r="149" spans="1:51" x14ac:dyDescent="0.6">
      <c r="A149" s="22"/>
      <c r="B149" s="28" t="s">
        <v>17</v>
      </c>
      <c r="C149" s="80"/>
      <c r="D149" s="80"/>
      <c r="E149" s="75">
        <f>+E130/SUM(E65:E68)*1000</f>
        <v>59.321448140334518</v>
      </c>
      <c r="F149" s="75">
        <f>+F130/SUM(F65:F68)*1000</f>
        <v>59.575353199806734</v>
      </c>
      <c r="G149" s="75">
        <f>+G130/SUM(G65:G68)*1000</f>
        <v>60.386830891176153</v>
      </c>
      <c r="H149" s="75">
        <f>+H130/SUM(H65:H68)*1000</f>
        <v>60.139159808064782</v>
      </c>
      <c r="I149" s="75">
        <f>+I130/SUM(I65:I68)*1000</f>
        <v>54.447921589908574</v>
      </c>
      <c r="J149" s="80"/>
      <c r="K149" s="80"/>
      <c r="L149" s="80"/>
      <c r="M149" s="80"/>
      <c r="P149" s="133" t="s">
        <v>25</v>
      </c>
      <c r="AU149" s="55"/>
      <c r="AV149" s="55"/>
      <c r="AW149" s="55"/>
      <c r="AX149" s="55"/>
      <c r="AY149" s="55"/>
    </row>
    <row r="150" spans="1:51" x14ac:dyDescent="0.6">
      <c r="A150" s="22"/>
      <c r="B150" s="77" t="s">
        <v>72</v>
      </c>
      <c r="C150" s="76"/>
      <c r="D150" s="76"/>
      <c r="E150" s="75">
        <f>+(E131*1000-X161*AVERAGE(E$113,E$114))/R161</f>
        <v>71.842608533439233</v>
      </c>
      <c r="F150" s="75"/>
      <c r="G150" s="75"/>
      <c r="H150" s="75">
        <f>+(H131*1000-W150*AVERAGE(H$113,H$114))/Q150</f>
        <v>71.643086097096301</v>
      </c>
      <c r="I150" s="75"/>
      <c r="J150" s="76"/>
      <c r="K150" s="76"/>
      <c r="L150" s="76"/>
      <c r="M150" s="80"/>
      <c r="P150" s="13" t="s">
        <v>14</v>
      </c>
      <c r="Q150" s="55">
        <f>T65</f>
        <v>29265.169300000001</v>
      </c>
      <c r="R150" s="55"/>
      <c r="T150" s="55">
        <f>T76</f>
        <v>36163.386299999998</v>
      </c>
      <c r="U150" s="55"/>
      <c r="W150" s="55">
        <f>+T150-Q150</f>
        <v>6898.2169999999969</v>
      </c>
      <c r="X150" s="55"/>
      <c r="Z150" s="144">
        <f>+H150*Q150/1000</f>
        <v>2096.6470438059996</v>
      </c>
      <c r="AA150" s="144"/>
      <c r="AX150" s="55"/>
    </row>
    <row r="151" spans="1:51" ht="15.25" x14ac:dyDescent="1.05">
      <c r="A151" s="22"/>
      <c r="B151" s="77" t="s">
        <v>73</v>
      </c>
      <c r="C151" s="76"/>
      <c r="D151" s="76"/>
      <c r="E151" s="75">
        <f>+(E132*1000-X162*AVERAGE(E$113,E$114))/R162</f>
        <v>50.340896531136714</v>
      </c>
      <c r="F151" s="75"/>
      <c r="G151" s="75"/>
      <c r="H151" s="75">
        <f>+(H132*1000-W151*AVERAGE(H$113,H$114))/Q151</f>
        <v>50.716395506314797</v>
      </c>
      <c r="I151" s="75"/>
      <c r="J151" s="76"/>
      <c r="K151" s="76"/>
      <c r="L151" s="76"/>
      <c r="M151" s="80"/>
      <c r="P151" s="13" t="s">
        <v>15</v>
      </c>
      <c r="Q151" s="55">
        <f>T66</f>
        <v>35728.830699999999</v>
      </c>
      <c r="R151" s="55"/>
      <c r="T151" s="55">
        <f>T77</f>
        <v>28830.613700000002</v>
      </c>
      <c r="U151" s="55"/>
      <c r="W151" s="55">
        <f>+T151-Q151</f>
        <v>-6898.2169999999969</v>
      </c>
      <c r="X151" s="55"/>
      <c r="Z151" s="85">
        <f>+H151*Q151/1000</f>
        <v>1812.0375087593623</v>
      </c>
      <c r="AA151" s="85"/>
      <c r="AX151" s="55"/>
    </row>
    <row r="152" spans="1:51" x14ac:dyDescent="0.6">
      <c r="A152" s="22"/>
      <c r="C152" s="82"/>
      <c r="D152" s="82"/>
      <c r="E152" s="79"/>
      <c r="F152" s="79"/>
      <c r="G152" s="79"/>
      <c r="H152" s="79"/>
      <c r="I152" s="79"/>
      <c r="J152" s="82"/>
      <c r="K152" s="82"/>
      <c r="L152" s="82"/>
      <c r="M152" s="82"/>
      <c r="Q152" s="55"/>
      <c r="R152" s="55"/>
      <c r="T152" s="55"/>
      <c r="U152" s="55"/>
      <c r="W152" s="55"/>
      <c r="X152" s="55"/>
      <c r="Z152" s="144">
        <f>+Z151+Z150</f>
        <v>3908.6845525653616</v>
      </c>
      <c r="AA152" s="144"/>
      <c r="AC152" s="81">
        <f>+H130</f>
        <v>3908.6845525653621</v>
      </c>
      <c r="AD152" s="81"/>
    </row>
    <row r="153" spans="1:51" x14ac:dyDescent="0.6">
      <c r="A153" s="22"/>
      <c r="B153" s="28" t="s">
        <v>18</v>
      </c>
      <c r="C153" s="78"/>
      <c r="D153" s="78"/>
      <c r="E153" s="79">
        <f>+E134/SUM(E60:E64,E69:E71)*1000</f>
        <v>65.151448745543973</v>
      </c>
      <c r="F153" s="79">
        <f>+F134/SUM(F60:F64,F69:F71)*1000</f>
        <v>63.534190945330678</v>
      </c>
      <c r="G153" s="79">
        <f>+G134/SUM(G60:G64,G69:G71)*1000</f>
        <v>63.182779996805827</v>
      </c>
      <c r="H153" s="79">
        <f>+H134/SUM(H60:H64,H69:H71)*1000</f>
        <v>62.773696276464577</v>
      </c>
      <c r="I153" s="79">
        <f>+I134/SUM(I60:I64,I69:I71)*1000</f>
        <v>59.453955644845401</v>
      </c>
      <c r="J153" s="78"/>
      <c r="K153" s="78"/>
      <c r="L153" s="78"/>
      <c r="M153" s="78"/>
      <c r="P153" s="133" t="s">
        <v>26</v>
      </c>
      <c r="Q153" s="55"/>
      <c r="R153" s="55"/>
      <c r="T153" s="55"/>
      <c r="U153" s="55"/>
      <c r="W153" s="55"/>
      <c r="X153" s="55"/>
      <c r="Z153" s="144"/>
      <c r="AA153" s="144"/>
      <c r="AC153" s="81"/>
      <c r="AU153" s="55"/>
      <c r="AV153" s="55"/>
      <c r="AW153" s="55"/>
      <c r="AX153" s="55"/>
      <c r="AY153" s="55"/>
    </row>
    <row r="154" spans="1:51" x14ac:dyDescent="0.6">
      <c r="A154" s="22"/>
      <c r="B154" s="77" t="s">
        <v>72</v>
      </c>
      <c r="C154" s="76"/>
      <c r="D154" s="76"/>
      <c r="E154" s="75">
        <f>+(E135*1000-X166*AVERAGE(E$113,E$114))/R166</f>
        <v>75.129596683495777</v>
      </c>
      <c r="F154" s="75"/>
      <c r="G154" s="75"/>
      <c r="H154" s="75">
        <f>+(H135*1000-W154*AVERAGE(H$117,H$118))/Q154</f>
        <v>69.216855336029212</v>
      </c>
      <c r="I154" s="75"/>
      <c r="J154" s="76"/>
      <c r="K154" s="76"/>
      <c r="L154" s="76"/>
      <c r="M154" s="80"/>
      <c r="P154" s="13" t="s">
        <v>14</v>
      </c>
      <c r="Q154" s="55">
        <f>T61</f>
        <v>53031.6512</v>
      </c>
      <c r="R154" s="55"/>
      <c r="T154" s="55">
        <f>T72</f>
        <v>67369.473799999992</v>
      </c>
      <c r="U154" s="55"/>
      <c r="W154" s="55">
        <f>+T154-Q154</f>
        <v>14337.822599999992</v>
      </c>
      <c r="X154" s="55"/>
      <c r="Z154" s="144">
        <f>+H154*Q154/1000</f>
        <v>3670.6841293411599</v>
      </c>
      <c r="AA154" s="144"/>
      <c r="AC154" s="81"/>
      <c r="AX154" s="55"/>
    </row>
    <row r="155" spans="1:51" ht="15.25" x14ac:dyDescent="1.05">
      <c r="A155" s="22"/>
      <c r="B155" s="77" t="s">
        <v>73</v>
      </c>
      <c r="C155" s="76"/>
      <c r="D155" s="76"/>
      <c r="E155" s="75">
        <f>+(E136*1000-X167*AVERAGE(E$113,E$114))/R167</f>
        <v>59.530792114040743</v>
      </c>
      <c r="F155" s="75"/>
      <c r="G155" s="75"/>
      <c r="H155" s="75">
        <f>+(H136*1000-W155*AVERAGE(H$117,H$118))/Q155</f>
        <v>57.962114256114475</v>
      </c>
      <c r="I155" s="75"/>
      <c r="J155" s="76"/>
      <c r="K155" s="76"/>
      <c r="L155" s="76"/>
      <c r="M155" s="80"/>
      <c r="P155" s="13" t="s">
        <v>15</v>
      </c>
      <c r="Q155" s="55">
        <f>T62</f>
        <v>71014.348800000007</v>
      </c>
      <c r="R155" s="55"/>
      <c r="T155" s="55">
        <f>T73</f>
        <v>56676.526200000008</v>
      </c>
      <c r="U155" s="55"/>
      <c r="W155" s="55">
        <f>+T155-Q155</f>
        <v>-14337.8226</v>
      </c>
      <c r="X155" s="55"/>
      <c r="Z155" s="85">
        <f>+H155*Q155/1000</f>
        <v>4116.1417989691663</v>
      </c>
      <c r="AA155" s="85"/>
      <c r="AC155" s="81"/>
      <c r="AX155" s="55"/>
    </row>
    <row r="156" spans="1:51" x14ac:dyDescent="0.6">
      <c r="A156" s="22"/>
      <c r="C156" s="142"/>
      <c r="D156" s="142"/>
      <c r="E156" s="143"/>
      <c r="F156" s="143"/>
      <c r="G156" s="143"/>
      <c r="H156" s="143"/>
      <c r="I156" s="143"/>
      <c r="J156" s="142"/>
      <c r="K156" s="142"/>
      <c r="L156" s="142"/>
      <c r="M156" s="142"/>
      <c r="Z156" s="144">
        <f>+Z155+Z154</f>
        <v>7786.8259283103262</v>
      </c>
      <c r="AA156" s="144"/>
      <c r="AC156" s="81">
        <f>+H134</f>
        <v>7786.8259283103243</v>
      </c>
      <c r="AD156" s="81"/>
    </row>
    <row r="157" spans="1:51" x14ac:dyDescent="0.6">
      <c r="A157" s="22"/>
      <c r="B157" s="13" t="s">
        <v>74</v>
      </c>
      <c r="C157" s="74"/>
      <c r="D157" s="74"/>
      <c r="E157" s="75">
        <f>(E149*SUM(E65:E68)+E153*SUM(E60:E64,E69:E71))/E72</f>
        <v>63.223412128298719</v>
      </c>
      <c r="F157" s="75">
        <f>(F149*SUM(F65:F68)+F153*SUM(F60:F64,F69:F71))/F72</f>
        <v>61.883817832259759</v>
      </c>
      <c r="G157" s="75">
        <f>(G149*SUM(G65:G68)+G153*SUM(G60:G64,G69:G71))/G72</f>
        <v>62.141509856055983</v>
      </c>
      <c r="H157" s="75">
        <f>(H149*SUM(H65:H68)+H153*SUM(H60:H64,H69:H71))/H72</f>
        <v>61.867914096887887</v>
      </c>
      <c r="I157" s="75">
        <f>(I149*SUM(I65:I68)+I153*SUM(I60:I64,I69:I71))/I72</f>
        <v>57.785234844305194</v>
      </c>
      <c r="J157" s="74"/>
      <c r="K157" s="74"/>
      <c r="L157" s="74"/>
      <c r="M157" s="74"/>
      <c r="AU157" s="55"/>
      <c r="AV157" s="55"/>
      <c r="AW157" s="55"/>
      <c r="AX157" s="55"/>
      <c r="AY157" s="55"/>
    </row>
    <row r="158" spans="1:51" x14ac:dyDescent="0.6">
      <c r="A158" s="22"/>
      <c r="B158" s="13" t="s">
        <v>75</v>
      </c>
      <c r="C158" s="80">
        <f>+C140/SUM(C72:I72)*1000</f>
        <v>61.963635497997579</v>
      </c>
      <c r="E158" s="486"/>
      <c r="F158" s="486"/>
      <c r="G158" s="486"/>
      <c r="H158" s="486"/>
      <c r="I158" s="486"/>
    </row>
    <row r="159" spans="1:51" x14ac:dyDescent="0.6">
      <c r="A159" s="22"/>
      <c r="Q159" s="26" t="str">
        <f>+$E148</f>
        <v>RT{1}</v>
      </c>
      <c r="R159" s="26"/>
      <c r="S159" s="26"/>
      <c r="T159" s="26" t="str">
        <f>+$E148</f>
        <v>RT{1}</v>
      </c>
      <c r="U159" s="26"/>
      <c r="V159" s="26"/>
      <c r="W159" s="26" t="str">
        <f>+$E148</f>
        <v>RT{1}</v>
      </c>
      <c r="X159" s="26"/>
      <c r="Z159" s="26" t="str">
        <f>+$E148</f>
        <v>RT{1}</v>
      </c>
      <c r="AA159" s="26"/>
      <c r="AC159" s="26" t="str">
        <f>+$E148</f>
        <v>RT{1}</v>
      </c>
    </row>
    <row r="160" spans="1:51" x14ac:dyDescent="0.6">
      <c r="A160" s="18" t="s">
        <v>76</v>
      </c>
      <c r="B160" s="16" t="s">
        <v>139</v>
      </c>
      <c r="P160" s="133" t="s">
        <v>25</v>
      </c>
      <c r="Q160" s="38" t="s">
        <v>196</v>
      </c>
      <c r="R160" s="38" t="s">
        <v>192</v>
      </c>
      <c r="T160" s="38" t="s">
        <v>196</v>
      </c>
      <c r="U160" s="38" t="s">
        <v>192</v>
      </c>
      <c r="W160" s="38" t="s">
        <v>196</v>
      </c>
      <c r="X160" s="38" t="s">
        <v>192</v>
      </c>
      <c r="Z160" s="38" t="s">
        <v>197</v>
      </c>
      <c r="AC160" s="38" t="s">
        <v>197</v>
      </c>
    </row>
    <row r="161" spans="1:51" x14ac:dyDescent="0.6">
      <c r="A161" s="22"/>
      <c r="B161" s="17" t="s">
        <v>375</v>
      </c>
      <c r="J161" s="26" t="s">
        <v>302</v>
      </c>
      <c r="K161" s="26"/>
      <c r="P161" s="13" t="s">
        <v>14</v>
      </c>
      <c r="Q161" s="55">
        <f>SUMPRODUCT(E38:E41,M65:M68)</f>
        <v>26159.752399999998</v>
      </c>
      <c r="R161" s="55">
        <f>SUMPRODUCT(E38:E41,E65:E68)</f>
        <v>27055.982899999995</v>
      </c>
      <c r="T161" s="55">
        <f>Q76</f>
        <v>33558.612799999995</v>
      </c>
      <c r="U161" s="55">
        <f>T161-($Q$163*$Q161/($Q$161+$Q$162))</f>
        <v>32659.751167631843</v>
      </c>
      <c r="W161" s="55">
        <f>+T161-Q161</f>
        <v>7398.8603999999978</v>
      </c>
      <c r="X161" s="55">
        <f>-Q161+U161</f>
        <v>6499.9987676318451</v>
      </c>
      <c r="Z161" s="144">
        <f>+E150*Q161/1000</f>
        <v>1879.3848510048974</v>
      </c>
      <c r="AA161" s="144"/>
      <c r="AU161" s="82"/>
      <c r="AV161" s="82"/>
      <c r="AW161" s="82"/>
      <c r="AX161" s="82"/>
      <c r="AY161" s="82"/>
    </row>
    <row r="162" spans="1:51" ht="15.25" x14ac:dyDescent="1.05">
      <c r="A162" s="22"/>
      <c r="B162" s="17" t="s">
        <v>77</v>
      </c>
      <c r="C162" s="26"/>
      <c r="D162" s="26"/>
      <c r="E162" s="26" t="str">
        <f>+E$13</f>
        <v>RT{1}</v>
      </c>
      <c r="F162" s="26" t="str">
        <f>+F$13</f>
        <v>RS{2}</v>
      </c>
      <c r="G162" s="26" t="str">
        <f>+G$13</f>
        <v>GS{3}</v>
      </c>
      <c r="H162" s="26" t="str">
        <f>+H$58</f>
        <v>GST {4}</v>
      </c>
      <c r="I162" s="26" t="str">
        <f>+I$13</f>
        <v>OL/SL</v>
      </c>
      <c r="J162" s="26" t="s">
        <v>165</v>
      </c>
      <c r="K162" s="26"/>
      <c r="L162" s="26"/>
      <c r="M162" s="26"/>
      <c r="P162" s="13" t="s">
        <v>15</v>
      </c>
      <c r="Q162" s="55">
        <f>SUMPRODUCT(Q38:Q41,M65:M68)</f>
        <v>36472.247600000002</v>
      </c>
      <c r="R162" s="195">
        <f>SUMPRODUCT(Q38:Q41,E65:E68)</f>
        <v>37729.017099999997</v>
      </c>
      <c r="T162" s="55">
        <f>Q77</f>
        <v>31226.387200000005</v>
      </c>
      <c r="U162" s="55">
        <f>T162-($Q$163*$Q162/($Q$161+$Q$162))</f>
        <v>29973.183289175857</v>
      </c>
      <c r="W162" s="55">
        <f>+T162-Q162</f>
        <v>-5245.8603999999978</v>
      </c>
      <c r="X162" s="55">
        <f>-Q162+U162</f>
        <v>-6499.0643108241457</v>
      </c>
      <c r="Z162" s="144">
        <f>+E151*Q162/1000</f>
        <v>1836.0456426895994</v>
      </c>
      <c r="AA162" s="85"/>
      <c r="AU162" s="82"/>
      <c r="AV162" s="82"/>
      <c r="AW162" s="82"/>
      <c r="AX162" s="82"/>
      <c r="AY162" s="82"/>
    </row>
    <row r="163" spans="1:51" ht="15.25" x14ac:dyDescent="1.05">
      <c r="A163" s="22"/>
      <c r="P163" s="13" t="s">
        <v>191</v>
      </c>
      <c r="Q163" s="195">
        <f>SUM(W65:W68)/1000</f>
        <v>2152.0655431923001</v>
      </c>
      <c r="R163" s="55">
        <f>SUM(R161:R162)</f>
        <v>64784.999999999993</v>
      </c>
      <c r="T163" s="55">
        <v>0</v>
      </c>
      <c r="U163" s="55">
        <v>0</v>
      </c>
      <c r="W163" s="55">
        <f>+T163-Q163</f>
        <v>-2152.0655431923001</v>
      </c>
      <c r="X163" s="55"/>
      <c r="Z163" s="85">
        <f>+E149*Q163/1000</f>
        <v>127.66364451508286</v>
      </c>
      <c r="AU163" s="82"/>
      <c r="AV163" s="82"/>
      <c r="AW163" s="82"/>
      <c r="AX163" s="82"/>
      <c r="AY163" s="82"/>
    </row>
    <row r="164" spans="1:51" x14ac:dyDescent="0.6">
      <c r="A164" s="22"/>
      <c r="B164" s="13" t="s">
        <v>78</v>
      </c>
      <c r="C164" s="87"/>
      <c r="D164" s="87"/>
      <c r="E164" s="87">
        <v>45.363674999999986</v>
      </c>
      <c r="F164" s="87">
        <v>3120.6010289999999</v>
      </c>
      <c r="G164" s="87">
        <v>1402.7064789999999</v>
      </c>
      <c r="H164" s="87">
        <v>26.353576999999991</v>
      </c>
      <c r="I164" s="87">
        <v>0.50636199999999998</v>
      </c>
      <c r="J164" s="87">
        <f>SUM(E164:I164)</f>
        <v>4595.5311220000003</v>
      </c>
      <c r="K164" s="87"/>
      <c r="L164" s="87"/>
      <c r="M164" s="87"/>
      <c r="Q164" s="55">
        <f>SUM(Q161:Q163)</f>
        <v>64784.065543192301</v>
      </c>
      <c r="Z164" s="144">
        <f>SUM(Z161:Z163)</f>
        <v>3843.0941382095798</v>
      </c>
      <c r="AA164" s="144"/>
      <c r="AC164" s="81">
        <f>+E130</f>
        <v>3843.1400177715718</v>
      </c>
      <c r="AU164" s="82"/>
      <c r="AV164" s="82"/>
      <c r="AW164" s="82"/>
      <c r="AX164" s="82"/>
      <c r="AY164" s="82"/>
    </row>
    <row r="165" spans="1:51" x14ac:dyDescent="0.6">
      <c r="A165" s="22"/>
      <c r="B165" s="307"/>
      <c r="E165" s="102"/>
      <c r="F165" s="102"/>
      <c r="G165" s="102"/>
      <c r="H165" s="356"/>
      <c r="I165" s="356"/>
      <c r="J165" s="356"/>
      <c r="P165" s="133" t="s">
        <v>26</v>
      </c>
      <c r="Q165" s="55"/>
      <c r="R165" s="55"/>
      <c r="T165" s="55"/>
      <c r="U165" s="55"/>
      <c r="W165" s="55"/>
      <c r="X165" s="55"/>
      <c r="AU165" s="82"/>
      <c r="AV165" s="82"/>
      <c r="AW165" s="82"/>
      <c r="AX165" s="82"/>
      <c r="AY165" s="82"/>
    </row>
    <row r="166" spans="1:51" x14ac:dyDescent="0.6">
      <c r="A166" s="22"/>
      <c r="B166" s="13" t="s">
        <v>79</v>
      </c>
      <c r="C166" s="88" t="s">
        <v>80</v>
      </c>
      <c r="D166" s="86"/>
      <c r="E166" s="67"/>
      <c r="F166" s="67"/>
      <c r="G166" s="67"/>
      <c r="H166" s="67"/>
      <c r="I166" s="86"/>
      <c r="J166" s="86"/>
      <c r="K166" s="86"/>
      <c r="L166" s="86"/>
      <c r="M166" s="86"/>
      <c r="P166" s="13" t="s">
        <v>14</v>
      </c>
      <c r="Q166" s="55">
        <f>SUMPRODUCT(E33:E37,M60:M64)+SUMPRODUCT(E42:E44,M69:M71)</f>
        <v>45336.398500000003</v>
      </c>
      <c r="R166" s="55">
        <f>SUMPRODUCT(E33:E37,E60:E64)+SUMPRODUCT(E42:E44,E69:E71)</f>
        <v>47243.095199999996</v>
      </c>
      <c r="T166" s="55">
        <f>Q72</f>
        <v>62735.22</v>
      </c>
      <c r="U166" s="55">
        <f>T166-($Q$168*$Q166/($Q$166+$Q$167))</f>
        <v>60835.123218913381</v>
      </c>
      <c r="W166" s="55">
        <f>+T166-Q166</f>
        <v>17398.821499999998</v>
      </c>
      <c r="X166" s="55">
        <f>-Q166+U166</f>
        <v>15498.724718913378</v>
      </c>
      <c r="Z166" s="144">
        <f>+E154*Q166/1000</f>
        <v>3406.1053343872431</v>
      </c>
      <c r="AA166" s="144"/>
      <c r="AC166" s="81"/>
      <c r="AU166" s="82"/>
      <c r="AV166" s="82"/>
      <c r="AW166" s="82"/>
      <c r="AX166" s="82"/>
      <c r="AY166" s="82"/>
    </row>
    <row r="167" spans="1:51" ht="15.25" x14ac:dyDescent="1.05">
      <c r="A167" s="22"/>
      <c r="B167" s="13" t="s">
        <v>81</v>
      </c>
      <c r="I167" s="86"/>
      <c r="J167" s="86"/>
      <c r="K167" s="86"/>
      <c r="L167" s="86"/>
      <c r="M167" s="86"/>
      <c r="P167" s="13" t="s">
        <v>15</v>
      </c>
      <c r="Q167" s="55">
        <f>SUMPRODUCT(Q33:Q37,M60:M64)+SUMPRODUCT(Q42:Q44,M69:M71)</f>
        <v>80501.601500000004</v>
      </c>
      <c r="R167" s="195">
        <f>SUMPRODUCT(Q33:Q37,E60:E64)+SUMPRODUCT(Q42:Q44,E69:E71)</f>
        <v>83868.904800000004</v>
      </c>
      <c r="T167" s="55">
        <f>Q73</f>
        <v>68376.78</v>
      </c>
      <c r="U167" s="55">
        <f>T167-($Q$168*$Q167/($Q$166+$Q$167))</f>
        <v>65002.872081785717</v>
      </c>
      <c r="W167" s="55">
        <f>+T167-Q167</f>
        <v>-12124.821500000005</v>
      </c>
      <c r="X167" s="55">
        <f>-Q167+U167</f>
        <v>-15498.729418214287</v>
      </c>
      <c r="Z167" s="144">
        <f>+E155*Q167/1000</f>
        <v>4792.3241037438502</v>
      </c>
      <c r="AA167" s="85"/>
      <c r="AC167" s="81"/>
      <c r="AU167" s="82"/>
      <c r="AV167" s="82"/>
      <c r="AW167" s="82"/>
      <c r="AX167" s="82"/>
      <c r="AY167" s="82"/>
    </row>
    <row r="168" spans="1:51" ht="15.25" x14ac:dyDescent="1.05">
      <c r="A168" s="22"/>
      <c r="D168" s="89" t="s">
        <v>82</v>
      </c>
      <c r="E168" s="136">
        <v>122</v>
      </c>
      <c r="G168" s="89" t="s">
        <v>83</v>
      </c>
      <c r="H168" s="90">
        <v>4</v>
      </c>
      <c r="I168" s="86"/>
      <c r="J168" s="86"/>
      <c r="K168" s="86"/>
      <c r="L168" s="86"/>
      <c r="M168" s="86"/>
      <c r="P168" s="13" t="s">
        <v>191</v>
      </c>
      <c r="Q168" s="195">
        <f>SUM(W60:W64,W69:W71)/1000</f>
        <v>5274.0046993009</v>
      </c>
      <c r="R168" s="55">
        <f>SUM(R166:R167)</f>
        <v>131112</v>
      </c>
      <c r="T168" s="13">
        <v>0</v>
      </c>
      <c r="U168" s="55">
        <v>0</v>
      </c>
      <c r="W168" s="55">
        <f>+T168-Q168</f>
        <v>-5274.0046993009</v>
      </c>
      <c r="X168" s="55"/>
      <c r="Z168" s="85">
        <f>+E153*Q168/1000</f>
        <v>343.60904685026065</v>
      </c>
      <c r="AU168" s="82"/>
      <c r="AV168" s="82"/>
      <c r="AW168" s="82"/>
      <c r="AX168" s="82"/>
      <c r="AY168" s="82"/>
    </row>
    <row r="169" spans="1:51" x14ac:dyDescent="0.6">
      <c r="A169" s="22"/>
      <c r="D169" s="91" t="s">
        <v>84</v>
      </c>
      <c r="E169" s="90">
        <v>244</v>
      </c>
      <c r="G169" s="91" t="s">
        <v>85</v>
      </c>
      <c r="H169" s="90">
        <v>8</v>
      </c>
      <c r="I169" s="86"/>
      <c r="J169" s="86"/>
      <c r="K169" s="86"/>
      <c r="L169" s="86"/>
      <c r="M169" s="260"/>
      <c r="N169" s="261"/>
      <c r="Q169" s="161">
        <f>SUM(Q166:Q168)</f>
        <v>131112.00469930089</v>
      </c>
      <c r="R169" s="26"/>
      <c r="S169" s="26"/>
      <c r="T169" s="26"/>
      <c r="U169" s="26"/>
      <c r="V169" s="26"/>
      <c r="W169" s="26"/>
      <c r="X169" s="26"/>
      <c r="Z169" s="144">
        <f>SUM(Z166:Z168)</f>
        <v>8542.0384849813545</v>
      </c>
      <c r="AA169" s="144"/>
      <c r="AC169" s="81">
        <f>+E134</f>
        <v>8542.1367479257624</v>
      </c>
      <c r="AU169" s="81"/>
      <c r="AV169" s="81"/>
      <c r="AW169" s="81"/>
      <c r="AX169" s="81"/>
      <c r="AY169" s="81"/>
    </row>
    <row r="170" spans="1:51" ht="15.25" x14ac:dyDescent="1.05">
      <c r="A170" s="22"/>
      <c r="D170" s="270"/>
      <c r="E170" s="270"/>
      <c r="F170" s="271"/>
      <c r="G170" s="89" t="s">
        <v>86</v>
      </c>
      <c r="H170" s="13">
        <f>+H168+H169</f>
        <v>12</v>
      </c>
      <c r="I170" s="86"/>
      <c r="J170" s="86"/>
      <c r="K170" s="86"/>
      <c r="L170" s="86"/>
      <c r="M170" s="260"/>
      <c r="N170" s="261"/>
      <c r="Q170" s="55"/>
      <c r="R170" s="55"/>
      <c r="T170" s="55"/>
      <c r="U170" s="55"/>
      <c r="W170" s="55"/>
      <c r="X170" s="55"/>
      <c r="Z170" s="85"/>
      <c r="AA170" s="85"/>
      <c r="AX170" s="81"/>
    </row>
    <row r="171" spans="1:51" x14ac:dyDescent="0.6">
      <c r="A171" s="22"/>
      <c r="B171" s="21" t="s">
        <v>158</v>
      </c>
      <c r="C171" s="92"/>
      <c r="D171" s="93"/>
      <c r="L171" s="94"/>
      <c r="M171" s="86"/>
      <c r="N171" s="86"/>
      <c r="O171" s="87" t="s">
        <v>251</v>
      </c>
      <c r="Q171" s="55"/>
      <c r="R171" s="55"/>
      <c r="T171" s="55"/>
      <c r="U171" s="55"/>
      <c r="W171" s="55"/>
      <c r="X171" s="55"/>
      <c r="Z171" s="144"/>
      <c r="AA171" s="144"/>
      <c r="AC171" s="81">
        <f>SUM(AC164:AC169)</f>
        <v>12385.276765697334</v>
      </c>
    </row>
    <row r="172" spans="1:51" x14ac:dyDescent="0.6">
      <c r="A172" s="22"/>
      <c r="B172" s="307"/>
      <c r="C172" s="92"/>
      <c r="D172" s="373"/>
      <c r="E172" s="93"/>
      <c r="G172" s="346"/>
      <c r="H172" s="84"/>
      <c r="L172" s="94"/>
      <c r="N172" s="262" t="s">
        <v>251</v>
      </c>
      <c r="Q172" s="55"/>
      <c r="R172" s="55"/>
      <c r="T172" s="55"/>
      <c r="U172" s="55"/>
      <c r="W172" s="55"/>
      <c r="X172" s="55"/>
      <c r="Z172" s="144"/>
      <c r="AA172" s="144"/>
      <c r="AC172" s="81"/>
    </row>
    <row r="173" spans="1:51" x14ac:dyDescent="0.6">
      <c r="A173" s="22"/>
      <c r="B173" s="21" t="s">
        <v>87</v>
      </c>
      <c r="C173" s="13" t="s">
        <v>25</v>
      </c>
      <c r="D173" s="11">
        <f>'Attachment 3 - 23-24'!C8</f>
        <v>49.59</v>
      </c>
      <c r="E173" s="93" t="s">
        <v>88</v>
      </c>
      <c r="G173" s="89" t="s">
        <v>162</v>
      </c>
      <c r="H173" s="81">
        <f>ROUND(D173*E168*J$164,0)</f>
        <v>27802871</v>
      </c>
      <c r="I173" s="89"/>
      <c r="J173" s="454"/>
      <c r="K173" s="455"/>
      <c r="L173" s="142"/>
      <c r="Q173" s="55"/>
      <c r="R173" s="55"/>
      <c r="T173" s="55"/>
      <c r="U173" s="55"/>
      <c r="W173" s="55"/>
      <c r="X173" s="55"/>
      <c r="Z173" s="144"/>
      <c r="AA173" s="144"/>
      <c r="AC173" s="81"/>
    </row>
    <row r="174" spans="1:51" ht="15.25" x14ac:dyDescent="1.05">
      <c r="A174" s="22"/>
      <c r="B174" s="21"/>
      <c r="C174" s="13" t="s">
        <v>26</v>
      </c>
      <c r="D174" s="310">
        <f>D173</f>
        <v>49.59</v>
      </c>
      <c r="E174" s="93" t="s">
        <v>88</v>
      </c>
      <c r="G174" s="121" t="s">
        <v>163</v>
      </c>
      <c r="H174" s="122">
        <f>ROUND(D174*E169*J$164,0)</f>
        <v>55605743</v>
      </c>
      <c r="I174" s="89"/>
      <c r="J174" s="454"/>
      <c r="K174" s="455"/>
      <c r="L174" s="142"/>
      <c r="Q174" s="55"/>
      <c r="R174" s="55"/>
      <c r="T174" s="55"/>
      <c r="U174" s="55"/>
      <c r="W174" s="55"/>
      <c r="X174" s="55"/>
      <c r="Z174" s="85"/>
      <c r="AA174" s="85"/>
      <c r="AC174" s="81"/>
    </row>
    <row r="175" spans="1:51" x14ac:dyDescent="0.6">
      <c r="A175" s="22"/>
      <c r="B175" s="400"/>
      <c r="C175" s="400"/>
      <c r="D175" s="400"/>
      <c r="E175" s="400"/>
      <c r="F175" s="400"/>
      <c r="G175" s="89" t="s">
        <v>164</v>
      </c>
      <c r="H175" s="81">
        <f>SUM(H173:H174)</f>
        <v>83408614</v>
      </c>
      <c r="I175" s="89"/>
      <c r="J175" s="453"/>
      <c r="K175" s="455"/>
      <c r="L175" s="142"/>
      <c r="P175" s="307" t="s">
        <v>299</v>
      </c>
      <c r="Z175" s="144"/>
      <c r="AA175" s="144"/>
      <c r="AC175" s="81"/>
    </row>
    <row r="176" spans="1:51" x14ac:dyDescent="0.6">
      <c r="A176" s="22"/>
      <c r="B176" s="13" t="s">
        <v>153</v>
      </c>
      <c r="I176" s="89"/>
      <c r="J176" s="453"/>
      <c r="K176" s="455"/>
      <c r="L176" s="142"/>
      <c r="O176" s="13">
        <v>2015</v>
      </c>
      <c r="P176" s="357">
        <f>E72</f>
        <v>195897</v>
      </c>
      <c r="Q176" s="357">
        <f>F72</f>
        <v>9492857</v>
      </c>
      <c r="R176" s="357">
        <f>G72</f>
        <v>5722744</v>
      </c>
      <c r="S176" s="357">
        <f>H72</f>
        <v>189040</v>
      </c>
      <c r="T176" s="357">
        <f>I72</f>
        <v>117012</v>
      </c>
      <c r="U176" s="357">
        <f>SUM(P176:T176)</f>
        <v>15717550</v>
      </c>
    </row>
    <row r="177" spans="1:50" x14ac:dyDescent="0.6">
      <c r="A177" s="22"/>
      <c r="B177" s="17" t="s">
        <v>154</v>
      </c>
      <c r="I177" s="89"/>
      <c r="J177" s="89"/>
      <c r="K177" s="89"/>
      <c r="L177" s="142"/>
      <c r="O177" s="13">
        <v>2014</v>
      </c>
      <c r="P177" s="357">
        <v>300812</v>
      </c>
      <c r="Q177" s="357">
        <v>9139433</v>
      </c>
      <c r="R177" s="357">
        <v>6011880</v>
      </c>
      <c r="S177" s="357">
        <v>242920</v>
      </c>
      <c r="T177" s="357">
        <v>114222</v>
      </c>
      <c r="U177" s="357">
        <f>SUM(P177:T177)</f>
        <v>15809267</v>
      </c>
    </row>
    <row r="178" spans="1:50" x14ac:dyDescent="0.6">
      <c r="A178" s="22"/>
      <c r="B178" s="17"/>
      <c r="C178" s="105" t="str">
        <f>" ---------- Rate "&amp;C30&amp;" ----------"</f>
        <v xml:space="preserve"> ---------- Rate  ----------</v>
      </c>
      <c r="D178" s="106"/>
      <c r="E178" s="106"/>
      <c r="I178" s="89"/>
      <c r="J178" s="89"/>
      <c r="K178" s="89"/>
      <c r="L178" s="142"/>
      <c r="O178" s="13">
        <v>2013</v>
      </c>
      <c r="P178" s="357">
        <v>298034</v>
      </c>
      <c r="Q178" s="357">
        <v>8751355</v>
      </c>
      <c r="R178" s="357">
        <v>5786197</v>
      </c>
      <c r="S178" s="357">
        <v>228915</v>
      </c>
      <c r="T178" s="357">
        <v>115314</v>
      </c>
      <c r="U178" s="357">
        <f>SUM(P178:T178)</f>
        <v>15179815</v>
      </c>
    </row>
    <row r="179" spans="1:50" x14ac:dyDescent="0.6">
      <c r="A179" s="22"/>
      <c r="C179" s="38" t="s">
        <v>140</v>
      </c>
      <c r="E179" s="38" t="s">
        <v>141</v>
      </c>
      <c r="I179" s="89"/>
      <c r="J179" s="89"/>
      <c r="K179" s="89"/>
      <c r="L179" s="142"/>
      <c r="P179" s="269">
        <f t="shared" ref="P179:U179" si="21">(P176-P177)/P177</f>
        <v>-0.34877265534619628</v>
      </c>
      <c r="Q179" s="269">
        <f t="shared" si="21"/>
        <v>3.8670232606333454E-2</v>
      </c>
      <c r="R179" s="269">
        <f t="shared" si="21"/>
        <v>-4.8094107001470425E-2</v>
      </c>
      <c r="S179" s="269">
        <f t="shared" si="21"/>
        <v>-0.22180141610406717</v>
      </c>
      <c r="T179" s="269">
        <f t="shared" si="21"/>
        <v>2.442611756054E-2</v>
      </c>
      <c r="U179" s="269">
        <f t="shared" si="21"/>
        <v>-5.8014707449750829E-3</v>
      </c>
    </row>
    <row r="180" spans="1:50" x14ac:dyDescent="0.6">
      <c r="A180" s="22"/>
      <c r="B180" s="89" t="s">
        <v>142</v>
      </c>
      <c r="C180" s="107"/>
      <c r="E180" s="118">
        <f>SUM(R65/(R65+R66))</f>
        <v>0.52422952981238513</v>
      </c>
      <c r="F180" s="112"/>
      <c r="I180" s="89"/>
      <c r="J180" s="89"/>
      <c r="K180" s="89"/>
      <c r="L180" s="142"/>
      <c r="P180" s="269">
        <f t="shared" ref="P180:U180" si="22">(P176-P178)/P178</f>
        <v>-0.34270251045182765</v>
      </c>
      <c r="Q180" s="269">
        <f t="shared" si="22"/>
        <v>8.472996467404191E-2</v>
      </c>
      <c r="R180" s="269">
        <f t="shared" si="22"/>
        <v>-1.0966270246242912E-2</v>
      </c>
      <c r="S180" s="269">
        <f t="shared" si="22"/>
        <v>-0.17419129371163969</v>
      </c>
      <c r="T180" s="269">
        <f t="shared" si="22"/>
        <v>1.4725011707164785E-2</v>
      </c>
      <c r="U180" s="269">
        <f t="shared" si="22"/>
        <v>3.5424344763094938E-2</v>
      </c>
    </row>
    <row r="181" spans="1:50" x14ac:dyDescent="0.6">
      <c r="A181" s="22"/>
      <c r="B181" s="89" t="s">
        <v>144</v>
      </c>
      <c r="C181" s="108"/>
      <c r="E181" s="109">
        <f>1-E180</f>
        <v>0.47577047018761487</v>
      </c>
      <c r="G181" s="53"/>
      <c r="I181" s="89"/>
      <c r="J181" s="89"/>
      <c r="K181" s="89"/>
      <c r="L181" s="142"/>
      <c r="AX181" s="118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x14ac:dyDescent="0.6">
      <c r="A182" s="22"/>
      <c r="B182" s="110" t="s">
        <v>155</v>
      </c>
      <c r="C182" s="111">
        <v>0.86519999999999997</v>
      </c>
      <c r="D182" s="13" t="s">
        <v>143</v>
      </c>
      <c r="J182" s="89"/>
      <c r="K182" s="89"/>
      <c r="L182" s="142"/>
    </row>
    <row r="183" spans="1:50" x14ac:dyDescent="0.6">
      <c r="A183" s="13"/>
      <c r="J183" s="89"/>
      <c r="K183" s="89"/>
      <c r="L183" s="142"/>
      <c r="P183" s="307" t="s">
        <v>300</v>
      </c>
    </row>
    <row r="184" spans="1:50" x14ac:dyDescent="0.6">
      <c r="A184" s="18" t="s">
        <v>89</v>
      </c>
      <c r="B184" s="16" t="s">
        <v>90</v>
      </c>
      <c r="P184" s="87">
        <f>E164</f>
        <v>45.363674999999986</v>
      </c>
      <c r="Q184" s="87">
        <f>F164</f>
        <v>3120.6010289999999</v>
      </c>
      <c r="R184" s="87">
        <f>G164</f>
        <v>1402.7064789999999</v>
      </c>
      <c r="S184" s="87">
        <f>H164</f>
        <v>26.353576999999991</v>
      </c>
      <c r="T184" s="87">
        <f>I164</f>
        <v>0.50636199999999998</v>
      </c>
      <c r="U184" s="356">
        <f>SUM(P184:T184)</f>
        <v>4595.5311220000003</v>
      </c>
    </row>
    <row r="185" spans="1:50" x14ac:dyDescent="0.6">
      <c r="A185" s="18"/>
      <c r="B185" s="17" t="s">
        <v>309</v>
      </c>
      <c r="F185" s="375">
        <v>2</v>
      </c>
      <c r="G185" s="13" t="s">
        <v>92</v>
      </c>
      <c r="O185" s="13">
        <v>2014</v>
      </c>
      <c r="P185" s="13">
        <v>103.3</v>
      </c>
      <c r="Q185" s="356">
        <v>3286</v>
      </c>
      <c r="R185" s="356">
        <v>1769</v>
      </c>
      <c r="S185" s="356">
        <v>44.1</v>
      </c>
      <c r="T185" s="356">
        <v>2</v>
      </c>
      <c r="U185" s="356">
        <f>SUM(P185:T185)</f>
        <v>5204.4000000000005</v>
      </c>
    </row>
    <row r="186" spans="1:50" x14ac:dyDescent="0.6">
      <c r="A186" s="18"/>
      <c r="B186" s="17" t="s">
        <v>312</v>
      </c>
      <c r="F186" s="376">
        <v>17.21</v>
      </c>
      <c r="G186" s="13" t="s">
        <v>92</v>
      </c>
      <c r="Q186" s="356"/>
      <c r="R186" s="356"/>
      <c r="S186" s="356"/>
      <c r="T186" s="356"/>
      <c r="U186" s="356"/>
    </row>
    <row r="187" spans="1:50" x14ac:dyDescent="0.6">
      <c r="A187" s="22"/>
      <c r="B187" s="17" t="s">
        <v>308</v>
      </c>
      <c r="F187" s="374">
        <f>F185+F186</f>
        <v>19.21</v>
      </c>
      <c r="G187" s="13" t="s">
        <v>92</v>
      </c>
      <c r="Q187" s="356"/>
      <c r="R187" s="356"/>
      <c r="S187" s="356"/>
      <c r="T187" s="356"/>
      <c r="U187" s="356"/>
    </row>
    <row r="188" spans="1:50" x14ac:dyDescent="0.6">
      <c r="A188" s="22"/>
      <c r="B188" s="16"/>
      <c r="E188" s="92"/>
      <c r="F188" s="93"/>
      <c r="P188" s="350">
        <f>(P184-P185)/P185</f>
        <v>-0.5608550338818975</v>
      </c>
      <c r="Q188" s="350">
        <f t="shared" ref="Q188" si="23">(Q184-Q185)/Q185</f>
        <v>-5.0334440353012801E-2</v>
      </c>
      <c r="R188" s="350">
        <f t="shared" ref="R188" si="24">(R184-R185)/R185</f>
        <v>-0.20706247654041834</v>
      </c>
      <c r="S188" s="350">
        <f t="shared" ref="S188" si="25">(S184-S185)/S185</f>
        <v>-0.40241321995464874</v>
      </c>
      <c r="T188" s="350">
        <f t="shared" ref="T188" si="26">(T184-T185)/T185</f>
        <v>-0.74681900000000001</v>
      </c>
      <c r="U188" s="350">
        <f t="shared" ref="U188" si="27">(U184-U185)/U185</f>
        <v>-0.11699117631235112</v>
      </c>
    </row>
    <row r="189" spans="1:50" x14ac:dyDescent="0.6">
      <c r="A189" s="18" t="s">
        <v>93</v>
      </c>
      <c r="B189" s="16" t="s">
        <v>167</v>
      </c>
    </row>
    <row r="190" spans="1:50" x14ac:dyDescent="0.6">
      <c r="A190" s="18"/>
      <c r="B190" s="16"/>
    </row>
    <row r="191" spans="1:50" x14ac:dyDescent="0.6">
      <c r="A191" s="18"/>
      <c r="B191" s="16"/>
      <c r="C191" s="26"/>
      <c r="D191" s="26"/>
      <c r="E191" s="26" t="str">
        <f>+E$13</f>
        <v>RT{1}</v>
      </c>
      <c r="F191" s="26" t="str">
        <f>+F$13</f>
        <v>RS{2}</v>
      </c>
      <c r="G191" s="26" t="str">
        <f>+G$13</f>
        <v>GS{3}</v>
      </c>
      <c r="H191" s="155" t="str">
        <f>+H$58</f>
        <v>GST {4}</v>
      </c>
      <c r="I191" s="26" t="str">
        <f>+I$13</f>
        <v>OL/SL</v>
      </c>
      <c r="J191" s="26"/>
      <c r="K191" s="26"/>
    </row>
    <row r="192" spans="1:50" x14ac:dyDescent="0.6">
      <c r="A192" s="22"/>
      <c r="B192" s="89" t="s">
        <v>94</v>
      </c>
      <c r="C192" s="145"/>
      <c r="D192" s="145"/>
      <c r="E192" s="146">
        <v>0</v>
      </c>
      <c r="F192" s="146">
        <v>0</v>
      </c>
      <c r="G192" s="146">
        <f>E192</f>
        <v>0</v>
      </c>
      <c r="H192" s="146">
        <f>E192</f>
        <v>0</v>
      </c>
      <c r="I192" s="146">
        <v>0</v>
      </c>
      <c r="J192" s="145"/>
      <c r="K192" s="145"/>
      <c r="L192" s="145"/>
    </row>
    <row r="193" spans="1:18" x14ac:dyDescent="0.6">
      <c r="A193" s="22"/>
      <c r="B193" s="89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</row>
    <row r="194" spans="1:18" x14ac:dyDescent="0.6">
      <c r="A194" s="22"/>
      <c r="B194" s="89" t="s">
        <v>131</v>
      </c>
      <c r="C194" s="145"/>
      <c r="D194" s="145"/>
      <c r="E194" s="146">
        <f>$H$175*(E$164/$J$164)/E$72</f>
        <v>4.2029636907263646</v>
      </c>
      <c r="F194" s="146">
        <f>$H$175*(F$164/$J$164)/F$72</f>
        <v>5.9664568159364118</v>
      </c>
      <c r="G194" s="146">
        <f>$H$175*(G$164/$J$164)/G$72</f>
        <v>4.4487466835906817</v>
      </c>
      <c r="H194" s="146">
        <f>$H$175*(H$164/$J$164)/H$72</f>
        <v>2.5302361435459697</v>
      </c>
      <c r="I194" s="146">
        <f>$H$175*(I$164/$J$164)/I$72</f>
        <v>7.8542712744742463E-2</v>
      </c>
      <c r="J194" s="145"/>
      <c r="K194" s="145"/>
      <c r="L194" s="145"/>
      <c r="M194" s="145"/>
    </row>
    <row r="195" spans="1:18" x14ac:dyDescent="0.6">
      <c r="A195" s="22"/>
      <c r="B195" s="89" t="s">
        <v>198</v>
      </c>
      <c r="C195" s="145"/>
      <c r="D195" s="145"/>
      <c r="E195" s="146">
        <f>$H$173*(E$164/$J$164)/SUM(E65:E68)</f>
        <v>4.2363096820301216</v>
      </c>
      <c r="F195" s="146">
        <f>$H$173*(F$164/$J$164)/SUM(F65:F68)</f>
        <v>4.7706856871149963</v>
      </c>
      <c r="G195" s="146">
        <f>$H$173*(G$164/$J$164)/SUM(G65:G68)</f>
        <v>3.9818258731188045</v>
      </c>
      <c r="H195" s="146"/>
      <c r="I195" s="146">
        <f>$H$173*(I$164/$J$164)/SUM(I65:I68)</f>
        <v>7.8540698145554547E-2</v>
      </c>
      <c r="J195" s="145"/>
      <c r="K195" s="145"/>
      <c r="L195" s="145"/>
      <c r="M195" s="145"/>
    </row>
    <row r="196" spans="1:18" x14ac:dyDescent="0.6">
      <c r="A196" s="22"/>
      <c r="B196" s="89" t="s">
        <v>199</v>
      </c>
      <c r="C196" s="145"/>
      <c r="D196" s="145"/>
      <c r="E196" s="146">
        <f>$H$173*(E$164/$J$164)/R161</f>
        <v>10.143757251943024</v>
      </c>
      <c r="F196" s="146"/>
      <c r="G196" s="146"/>
      <c r="H196" s="146">
        <f>$H$173*(H$164/$J$164)/Q150</f>
        <v>5.4480672904828698</v>
      </c>
      <c r="I196" s="146"/>
      <c r="J196" s="145"/>
      <c r="K196" s="145"/>
      <c r="L196" s="145"/>
      <c r="M196" s="145"/>
    </row>
    <row r="197" spans="1:18" x14ac:dyDescent="0.6">
      <c r="A197" s="22"/>
      <c r="B197" s="89" t="s">
        <v>201</v>
      </c>
      <c r="C197" s="145"/>
      <c r="D197" s="145"/>
      <c r="E197" s="146">
        <f>$H$174*(E$164/$J$164)/(E72-SUM(E65:E68))</f>
        <v>4.1864867851295164</v>
      </c>
      <c r="F197" s="146">
        <f>$H$174*(F$164/$J$164)/(F72-SUM(F65:F68))</f>
        <v>6.8213404007441616</v>
      </c>
      <c r="G197" s="146">
        <f>$H$174*(G$164/$J$164)/(G72-SUM(G65:G68))</f>
        <v>4.7258291059427284</v>
      </c>
      <c r="H197" s="146"/>
      <c r="I197" s="146">
        <f>$H$174*(I$164/$J$164)/(I72-SUM(I65:I68))</f>
        <v>7.8543720083075252E-2</v>
      </c>
      <c r="J197" s="145"/>
      <c r="K197" s="145"/>
      <c r="L197" s="145"/>
      <c r="M197" s="225"/>
    </row>
    <row r="198" spans="1:18" x14ac:dyDescent="0.6">
      <c r="A198" s="22"/>
      <c r="B198" s="89" t="s">
        <v>200</v>
      </c>
      <c r="C198" s="145"/>
      <c r="D198" s="145"/>
      <c r="E198" s="146">
        <f>$H$174*(E$164/$J$164)/R166</f>
        <v>11.618600624031533</v>
      </c>
      <c r="F198" s="147"/>
      <c r="G198" s="147"/>
      <c r="H198" s="146">
        <f>$H$174*(H$164/$J$164)/Q154</f>
        <v>6.0129605951654126</v>
      </c>
      <c r="I198" s="146"/>
      <c r="J198" s="145"/>
      <c r="K198" s="145"/>
      <c r="L198" s="145"/>
      <c r="M198" s="145"/>
    </row>
    <row r="199" spans="1:18" x14ac:dyDescent="0.6">
      <c r="A199" s="22"/>
      <c r="B199" s="89"/>
      <c r="C199" s="145"/>
      <c r="D199" s="145"/>
      <c r="E199" s="146"/>
      <c r="F199" s="146"/>
      <c r="G199" s="146"/>
      <c r="H199" s="146"/>
      <c r="I199" s="146"/>
      <c r="J199" s="145"/>
      <c r="K199" s="145"/>
      <c r="L199" s="145"/>
      <c r="M199" s="225" t="s">
        <v>251</v>
      </c>
    </row>
    <row r="200" spans="1:18" ht="15.5" x14ac:dyDescent="0.7">
      <c r="A200" s="22"/>
      <c r="B200" s="578" t="str">
        <f>$B$1</f>
        <v xml:space="preserve">Jersey Central Power &amp; Light </v>
      </c>
      <c r="C200" s="578"/>
      <c r="D200" s="578"/>
      <c r="E200" s="578"/>
      <c r="F200" s="578"/>
      <c r="G200" s="578"/>
      <c r="H200" s="578"/>
      <c r="I200" s="578"/>
      <c r="J200" s="578"/>
      <c r="K200" s="578"/>
      <c r="L200" s="578"/>
      <c r="M200" s="145"/>
    </row>
    <row r="201" spans="1:18" ht="15.5" x14ac:dyDescent="0.7">
      <c r="A201" s="22"/>
      <c r="B201" s="578" t="str">
        <f>$B$2</f>
        <v>Attachment 2</v>
      </c>
      <c r="C201" s="578"/>
      <c r="D201" s="578"/>
      <c r="E201" s="578"/>
      <c r="F201" s="578"/>
      <c r="G201" s="578"/>
      <c r="H201" s="578"/>
      <c r="I201" s="578"/>
      <c r="J201" s="578"/>
      <c r="K201" s="578"/>
      <c r="L201" s="578"/>
      <c r="M201" s="145"/>
    </row>
    <row r="202" spans="1:18" x14ac:dyDescent="0.6">
      <c r="A202" s="22"/>
      <c r="E202" s="145"/>
      <c r="F202" s="145"/>
      <c r="G202" s="145"/>
      <c r="H202" s="145"/>
      <c r="L202" s="145"/>
      <c r="M202" s="145"/>
      <c r="N202" s="145"/>
      <c r="O202" s="145"/>
      <c r="P202" s="145"/>
      <c r="Q202" s="145"/>
      <c r="R202" s="145"/>
    </row>
    <row r="203" spans="1:18" x14ac:dyDescent="0.6">
      <c r="A203" s="22"/>
      <c r="M203" s="145"/>
      <c r="N203" s="145"/>
      <c r="O203" s="145"/>
      <c r="P203" s="145"/>
      <c r="Q203" s="145"/>
      <c r="R203" s="145"/>
    </row>
    <row r="204" spans="1:18" x14ac:dyDescent="0.6">
      <c r="A204" s="18" t="s">
        <v>95</v>
      </c>
      <c r="B204" s="16" t="s">
        <v>96</v>
      </c>
      <c r="F204" s="102">
        <f>F211-F194</f>
        <v>79.856347252017343</v>
      </c>
      <c r="G204" s="13">
        <f>F204/D288</f>
        <v>1.0059969879577435</v>
      </c>
      <c r="M204" s="145"/>
      <c r="N204" s="145"/>
      <c r="O204" s="145"/>
      <c r="P204" s="145"/>
      <c r="Q204" s="145"/>
      <c r="R204" s="145"/>
    </row>
    <row r="205" spans="1:18" x14ac:dyDescent="0.6">
      <c r="A205" s="22"/>
      <c r="B205" s="16"/>
      <c r="M205" s="145"/>
      <c r="N205" s="145"/>
      <c r="O205" s="145"/>
      <c r="P205" s="145"/>
      <c r="Q205" s="145"/>
      <c r="R205" s="145"/>
    </row>
    <row r="206" spans="1:18" x14ac:dyDescent="0.6">
      <c r="A206" s="22"/>
      <c r="B206" s="16" t="s">
        <v>97</v>
      </c>
      <c r="M206" s="145"/>
      <c r="N206" s="145"/>
      <c r="O206" s="145"/>
      <c r="P206" s="145"/>
      <c r="Q206" s="145"/>
      <c r="R206" s="145"/>
    </row>
    <row r="207" spans="1:18" x14ac:dyDescent="0.6">
      <c r="A207" s="22"/>
      <c r="B207" s="17" t="s">
        <v>351</v>
      </c>
      <c r="M207" s="145"/>
      <c r="N207" s="145"/>
      <c r="O207" s="145"/>
      <c r="P207" s="145"/>
      <c r="Q207" s="145"/>
      <c r="R207" s="145"/>
    </row>
    <row r="208" spans="1:18" x14ac:dyDescent="0.6">
      <c r="A208" s="22"/>
      <c r="B208" s="17" t="s">
        <v>21</v>
      </c>
      <c r="M208" s="145"/>
      <c r="N208" s="145"/>
      <c r="O208" s="145"/>
      <c r="P208" s="145"/>
      <c r="Q208" s="145"/>
      <c r="R208" s="145"/>
    </row>
    <row r="209" spans="1:18" x14ac:dyDescent="0.6">
      <c r="A209" s="22"/>
      <c r="C209" s="26"/>
      <c r="D209" s="26"/>
      <c r="E209" s="26" t="str">
        <f>+E$13</f>
        <v>RT{1}</v>
      </c>
      <c r="F209" s="26" t="str">
        <f>+F$13</f>
        <v>RS{2}</v>
      </c>
      <c r="G209" s="26" t="str">
        <f>+G$13</f>
        <v>GS{3}</v>
      </c>
      <c r="H209" s="155" t="str">
        <f>+H$58</f>
        <v>GST {4}</v>
      </c>
      <c r="I209" s="26" t="str">
        <f>+I$13</f>
        <v>OL/SL</v>
      </c>
      <c r="J209" s="26"/>
      <c r="K209" s="26"/>
      <c r="M209" s="145"/>
      <c r="N209" s="145"/>
      <c r="O209" s="145"/>
      <c r="P209" s="145"/>
      <c r="Q209" s="145"/>
      <c r="R209" s="145"/>
    </row>
    <row r="210" spans="1:18" x14ac:dyDescent="0.6">
      <c r="A210" s="22"/>
      <c r="C210" s="26"/>
      <c r="D210" s="26"/>
      <c r="E210" s="74"/>
      <c r="F210" s="26"/>
      <c r="G210" s="26"/>
      <c r="M210" s="145"/>
      <c r="N210" s="145"/>
      <c r="O210" s="145"/>
      <c r="P210" s="145"/>
      <c r="Q210" s="145"/>
      <c r="R210" s="145"/>
    </row>
    <row r="211" spans="1:18" x14ac:dyDescent="0.6">
      <c r="A211" s="22"/>
      <c r="B211" s="28" t="s">
        <v>17</v>
      </c>
      <c r="C211" s="74"/>
      <c r="D211" s="74"/>
      <c r="E211" s="74">
        <f>+E149+(E$95*$F$187)+E$192+E195</f>
        <v>85.034523003396671</v>
      </c>
      <c r="F211" s="74">
        <f>+F149+(F$95*$F$187)+F$192+F195</f>
        <v>85.822804067953754</v>
      </c>
      <c r="G211" s="74">
        <f>+G149+(G$95*$F$187)+G$192+G195</f>
        <v>85.84542194532699</v>
      </c>
      <c r="H211" s="74"/>
      <c r="I211" s="74">
        <f>+I149+(I$95*$F$187)+I$192+I195</f>
        <v>76.003227469086156</v>
      </c>
      <c r="J211" s="74"/>
      <c r="K211" s="74"/>
      <c r="L211" s="74"/>
      <c r="M211" s="145"/>
      <c r="N211" s="145"/>
      <c r="O211" s="145"/>
      <c r="P211" s="145"/>
      <c r="Q211" s="145"/>
      <c r="R211" s="145"/>
    </row>
    <row r="212" spans="1:18" x14ac:dyDescent="0.6">
      <c r="A212" s="22"/>
      <c r="B212" s="77" t="s">
        <v>72</v>
      </c>
      <c r="C212" s="74"/>
      <c r="D212" s="74"/>
      <c r="E212" s="74">
        <f>+E150+(E$95*$F$187)+E$192+E$196</f>
        <v>103.46313096641428</v>
      </c>
      <c r="F212" s="74"/>
      <c r="G212" s="74"/>
      <c r="H212" s="74">
        <f>+H150+(H$95*$F$187)+H$192+H$196</f>
        <v>98.567918568611191</v>
      </c>
      <c r="I212" s="74"/>
      <c r="J212" s="74"/>
      <c r="K212" s="74"/>
      <c r="M212" s="145"/>
      <c r="N212" s="145"/>
      <c r="O212" s="145"/>
      <c r="P212" s="145"/>
      <c r="Q212" s="145"/>
      <c r="R212" s="145"/>
    </row>
    <row r="213" spans="1:18" x14ac:dyDescent="0.6">
      <c r="A213" s="22"/>
      <c r="B213" s="77" t="s">
        <v>73</v>
      </c>
      <c r="C213" s="74"/>
      <c r="D213" s="74"/>
      <c r="E213" s="74">
        <f>+E151+(E$95*$F$187)+E$192</f>
        <v>71.817661712168743</v>
      </c>
      <c r="F213" s="74"/>
      <c r="G213" s="74"/>
      <c r="H213" s="74">
        <f>+H151+(H$95*$F$187)+H$192</f>
        <v>72.193160687346818</v>
      </c>
      <c r="I213" s="74"/>
      <c r="J213" s="74"/>
      <c r="K213" s="74"/>
      <c r="M213" s="145"/>
      <c r="N213" s="145"/>
      <c r="O213" s="145"/>
      <c r="P213" s="145"/>
      <c r="Q213" s="145"/>
      <c r="R213" s="145"/>
    </row>
    <row r="214" spans="1:18" x14ac:dyDescent="0.6">
      <c r="A214" s="22"/>
      <c r="B214" s="89" t="s">
        <v>142</v>
      </c>
      <c r="C214" s="74"/>
      <c r="D214" s="74"/>
      <c r="E214" s="74"/>
      <c r="F214" s="74">
        <f>(F211*SUM(F65:F68)-C182*10*E181*SUM(F65:F68))/SUM(F65:F68)</f>
        <v>81.706437959890508</v>
      </c>
      <c r="G214" s="74"/>
      <c r="H214" s="74"/>
      <c r="I214" s="74"/>
      <c r="J214" s="74"/>
      <c r="K214" s="74"/>
      <c r="M214" s="145"/>
      <c r="N214" s="145"/>
      <c r="O214" s="145"/>
      <c r="P214" s="145"/>
      <c r="Q214" s="145"/>
      <c r="R214" s="145"/>
    </row>
    <row r="215" spans="1:18" x14ac:dyDescent="0.6">
      <c r="A215" s="22"/>
      <c r="B215" s="89" t="s">
        <v>144</v>
      </c>
      <c r="C215" s="74"/>
      <c r="D215" s="74"/>
      <c r="E215" s="74"/>
      <c r="F215" s="74">
        <f>+F214+C182*10</f>
        <v>90.358437959890509</v>
      </c>
      <c r="G215" s="119"/>
      <c r="H215" s="74"/>
      <c r="I215" s="74"/>
      <c r="J215" s="74"/>
      <c r="K215" s="74"/>
      <c r="M215" s="145"/>
      <c r="N215" s="145"/>
      <c r="O215" s="145"/>
      <c r="P215" s="145"/>
      <c r="Q215" s="145"/>
      <c r="R215" s="145"/>
    </row>
    <row r="216" spans="1:18" x14ac:dyDescent="0.6">
      <c r="A216" s="22"/>
      <c r="C216" s="74"/>
      <c r="D216" s="74"/>
      <c r="E216" s="74"/>
      <c r="F216" s="74"/>
      <c r="G216" s="74"/>
      <c r="H216" s="74"/>
      <c r="I216" s="74"/>
      <c r="J216" s="74"/>
      <c r="K216" s="74"/>
      <c r="M216" s="145"/>
      <c r="N216" s="145"/>
      <c r="O216" s="145"/>
      <c r="P216" s="145"/>
      <c r="Q216" s="145"/>
      <c r="R216" s="145"/>
    </row>
    <row r="217" spans="1:18" x14ac:dyDescent="0.6">
      <c r="A217" s="22"/>
      <c r="B217" s="28" t="s">
        <v>18</v>
      </c>
      <c r="C217" s="74"/>
      <c r="D217" s="74"/>
      <c r="E217" s="74">
        <f>+E153+(E$95*$F$187)+E$192+E197</f>
        <v>90.814700711705513</v>
      </c>
      <c r="F217" s="74">
        <f>+F153+(F$95*$F$187)+F$192+F197</f>
        <v>91.832296527106863</v>
      </c>
      <c r="G217" s="74">
        <f>+G153+(G$95*$F$187)+G$192+G197</f>
        <v>89.385374283780578</v>
      </c>
      <c r="H217" s="74"/>
      <c r="I217" s="74">
        <f>+I153+(I$95*$F$187)+I$192+I197</f>
        <v>81.009264545960505</v>
      </c>
      <c r="J217" s="74"/>
      <c r="K217" s="74"/>
      <c r="L217" s="74"/>
      <c r="M217" s="145"/>
      <c r="N217" s="145"/>
      <c r="O217" s="145"/>
      <c r="P217" s="145"/>
      <c r="Q217" s="145"/>
      <c r="R217" s="145"/>
    </row>
    <row r="218" spans="1:18" x14ac:dyDescent="0.6">
      <c r="A218" s="22"/>
      <c r="B218" s="77" t="s">
        <v>72</v>
      </c>
      <c r="C218" s="74"/>
      <c r="D218" s="74"/>
      <c r="E218" s="74">
        <f>+E154+(E$95*$F$187)+E$192+E$198</f>
        <v>108.22496248855933</v>
      </c>
      <c r="F218" s="74"/>
      <c r="G218" s="74"/>
      <c r="H218" s="74">
        <f>+H154+(H$95*$F$187)+H$192+H$198</f>
        <v>96.706581112226644</v>
      </c>
      <c r="I218" s="74"/>
      <c r="J218" s="74"/>
      <c r="K218" s="74"/>
      <c r="M218" s="145"/>
      <c r="N218" s="145"/>
      <c r="O218" s="145"/>
      <c r="P218" s="145"/>
      <c r="Q218" s="145"/>
      <c r="R218" s="145"/>
    </row>
    <row r="219" spans="1:18" x14ac:dyDescent="0.6">
      <c r="A219" s="22"/>
      <c r="B219" s="77" t="s">
        <v>73</v>
      </c>
      <c r="C219" s="74"/>
      <c r="D219" s="74"/>
      <c r="E219" s="74">
        <f>+E155+(E$95*$F$187)+E$192</f>
        <v>81.007557295072772</v>
      </c>
      <c r="F219" s="74"/>
      <c r="G219" s="74"/>
      <c r="H219" s="74">
        <f>+H155+(H$95*$F$187)+H$192</f>
        <v>79.438879437146497</v>
      </c>
      <c r="I219" s="74"/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6">
      <c r="A220" s="22"/>
      <c r="C220" s="74"/>
      <c r="D220" s="74"/>
      <c r="E220" s="74"/>
      <c r="F220" s="74"/>
      <c r="G220" s="74"/>
      <c r="H220" s="74"/>
      <c r="I220" s="74"/>
      <c r="J220" s="74"/>
      <c r="K220" s="74"/>
      <c r="M220" s="145"/>
      <c r="N220" s="145"/>
      <c r="O220" s="145"/>
      <c r="P220" s="145"/>
      <c r="Q220" s="145"/>
      <c r="R220" s="145"/>
    </row>
    <row r="221" spans="1:18" x14ac:dyDescent="0.6">
      <c r="A221" s="22"/>
      <c r="B221" s="13" t="s">
        <v>98</v>
      </c>
      <c r="C221" s="74"/>
      <c r="D221" s="74"/>
      <c r="E221" s="74">
        <f>+E157+(E$95*$F$187)+E$192+E194</f>
        <v>88.903141000057104</v>
      </c>
      <c r="F221" s="74">
        <f>+F157+(F$95*$F$187)+F$192+F194</f>
        <v>89.327039829228198</v>
      </c>
      <c r="G221" s="74">
        <f>+G157+(G$95*$F$187)+G$192+G194</f>
        <v>88.067021720678696</v>
      </c>
      <c r="H221" s="74">
        <f>((H212*SUMPRODUCT(H38:H41,H65:H68)+H213*SUMPRODUCT(T38:T41,H65:H68))+(H218*(SUMPRODUCT(H33:H37,H60:H64)+SUMPRODUCT(H42:H44,H69:H71))+H219*(SUMPRODUCT(T33:T37,H60:H64)+SUMPRODUCT(T42:T44,H69:H71))))/H72</f>
        <v>85.8749154214659</v>
      </c>
      <c r="I221" s="74">
        <f>+I157+(I$95*$F$187)+I$192+I194</f>
        <v>79.340542738081965</v>
      </c>
      <c r="J221" s="74"/>
      <c r="K221" s="74"/>
      <c r="L221" s="74"/>
      <c r="M221" s="145"/>
      <c r="N221" s="145"/>
      <c r="O221" s="145"/>
      <c r="P221" s="145"/>
      <c r="Q221" s="145"/>
      <c r="R221" s="145"/>
    </row>
    <row r="222" spans="1:18" x14ac:dyDescent="0.6">
      <c r="A222" s="22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145"/>
      <c r="N222" s="145"/>
      <c r="O222" s="145"/>
      <c r="P222" s="145"/>
      <c r="Q222" s="145"/>
      <c r="R222" s="145"/>
    </row>
    <row r="223" spans="1:18" x14ac:dyDescent="0.6">
      <c r="A223" s="22"/>
      <c r="B223" s="16" t="s">
        <v>99</v>
      </c>
      <c r="M223" s="145"/>
      <c r="N223" s="145"/>
      <c r="O223" s="145"/>
      <c r="P223" s="145"/>
      <c r="Q223" s="145"/>
      <c r="R223" s="145"/>
    </row>
    <row r="224" spans="1:18" x14ac:dyDescent="0.6">
      <c r="A224" s="22"/>
      <c r="B224" s="17" t="s">
        <v>358</v>
      </c>
      <c r="M224" s="145"/>
      <c r="N224" s="145"/>
      <c r="O224" s="145"/>
      <c r="P224" s="145"/>
      <c r="Q224" s="145"/>
      <c r="R224" s="145"/>
    </row>
    <row r="225" spans="1:18" x14ac:dyDescent="0.6">
      <c r="A225" s="22"/>
      <c r="B225" s="17"/>
      <c r="M225" s="145"/>
      <c r="N225" s="145"/>
      <c r="O225" s="145"/>
      <c r="P225" s="145"/>
      <c r="Q225" s="145"/>
      <c r="R225" s="145"/>
    </row>
    <row r="226" spans="1:18" x14ac:dyDescent="0.6">
      <c r="A226" s="22"/>
      <c r="B226" s="77"/>
      <c r="C226" s="74"/>
      <c r="D226" s="74"/>
      <c r="I226" s="89"/>
      <c r="J226" s="80"/>
      <c r="K226" s="80"/>
      <c r="L226" s="93"/>
      <c r="M226" s="145"/>
      <c r="N226" s="145"/>
      <c r="O226" s="145"/>
      <c r="P226" s="145"/>
      <c r="Q226" s="145"/>
      <c r="R226" s="145"/>
    </row>
    <row r="227" spans="1:18" x14ac:dyDescent="0.6">
      <c r="A227" s="22"/>
      <c r="C227" s="74"/>
      <c r="D227" s="74"/>
    </row>
    <row r="228" spans="1:18" x14ac:dyDescent="0.6">
      <c r="A228" s="22"/>
      <c r="B228" s="37" t="s">
        <v>101</v>
      </c>
      <c r="C228" s="74"/>
      <c r="D228" s="74"/>
      <c r="I228" s="96"/>
      <c r="L228" s="93"/>
    </row>
    <row r="229" spans="1:18" x14ac:dyDescent="0.6">
      <c r="A229" s="22"/>
      <c r="B229" s="77"/>
      <c r="C229" s="74"/>
      <c r="D229" s="74"/>
      <c r="I229" s="89"/>
      <c r="J229" s="97"/>
      <c r="K229" s="97"/>
      <c r="L229" s="93"/>
    </row>
    <row r="230" spans="1:18" ht="15.5" x14ac:dyDescent="0.7">
      <c r="A230" s="22"/>
      <c r="B230" s="578" t="str">
        <f>$B$1</f>
        <v xml:space="preserve">Jersey Central Power &amp; Light </v>
      </c>
      <c r="C230" s="578"/>
      <c r="D230" s="578"/>
      <c r="E230" s="578"/>
      <c r="F230" s="578"/>
      <c r="G230" s="578"/>
      <c r="H230" s="578"/>
      <c r="I230" s="578"/>
      <c r="J230" s="578"/>
      <c r="K230" s="578"/>
      <c r="L230" s="578"/>
    </row>
    <row r="231" spans="1:18" ht="15.5" x14ac:dyDescent="0.7">
      <c r="A231" s="22"/>
      <c r="B231" s="578" t="str">
        <f>$B$2</f>
        <v>Attachment 2</v>
      </c>
      <c r="C231" s="578"/>
      <c r="D231" s="578"/>
      <c r="E231" s="578"/>
      <c r="F231" s="578"/>
      <c r="G231" s="578"/>
      <c r="H231" s="578"/>
      <c r="I231" s="578"/>
      <c r="J231" s="578"/>
      <c r="K231" s="578"/>
      <c r="L231" s="578"/>
    </row>
    <row r="232" spans="1:18" ht="15.5" x14ac:dyDescent="0.7">
      <c r="A232" s="22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</row>
    <row r="233" spans="1:18" ht="15.5" x14ac:dyDescent="0.7">
      <c r="A233" s="18" t="s">
        <v>106</v>
      </c>
      <c r="B233" s="163" t="s">
        <v>238</v>
      </c>
      <c r="C233" s="20"/>
      <c r="E233" s="165"/>
      <c r="F233" s="38"/>
      <c r="L233" s="166"/>
    </row>
    <row r="234" spans="1:18" ht="15.5" x14ac:dyDescent="0.7">
      <c r="B234" s="13" t="s">
        <v>239</v>
      </c>
      <c r="L234" s="166"/>
    </row>
    <row r="235" spans="1:18" ht="15.5" x14ac:dyDescent="0.7">
      <c r="E235" s="26" t="s">
        <v>61</v>
      </c>
      <c r="F235" s="26" t="s">
        <v>62</v>
      </c>
      <c r="G235" s="26" t="s">
        <v>65</v>
      </c>
      <c r="H235" s="26" t="s">
        <v>203</v>
      </c>
      <c r="I235" s="26" t="s">
        <v>55</v>
      </c>
      <c r="L235" s="166"/>
    </row>
    <row r="236" spans="1:18" ht="15.5" x14ac:dyDescent="0.7">
      <c r="L236" s="166"/>
    </row>
    <row r="237" spans="1:18" ht="15.5" x14ac:dyDescent="0.7">
      <c r="B237" s="28" t="s">
        <v>17</v>
      </c>
      <c r="E237" s="55">
        <f>'Composite Cost Allocation'!E110</f>
        <v>2152065.5431923</v>
      </c>
      <c r="G237" s="55">
        <f>'Composite Cost Allocation'!G110</f>
        <v>2131270000</v>
      </c>
      <c r="I237" s="55">
        <f>'Composite Cost Allocation'!I110</f>
        <v>39005000</v>
      </c>
      <c r="L237" s="166"/>
    </row>
    <row r="238" spans="1:18" ht="15.5" x14ac:dyDescent="0.7">
      <c r="B238" s="77" t="s">
        <v>72</v>
      </c>
      <c r="E238" s="55">
        <f>'Composite Cost Allocation'!E111</f>
        <v>26158679</v>
      </c>
      <c r="H238" s="55">
        <f>'Composite Cost Allocation'!H111</f>
        <v>29265169.300000001</v>
      </c>
      <c r="L238" s="166"/>
    </row>
    <row r="239" spans="1:18" ht="15.5" x14ac:dyDescent="0.7">
      <c r="B239" s="77" t="s">
        <v>73</v>
      </c>
      <c r="E239" s="55">
        <f>'Composite Cost Allocation'!E112</f>
        <v>36474255.456807703</v>
      </c>
      <c r="H239" s="55">
        <f>'Composite Cost Allocation'!H112</f>
        <v>35728830.700000003</v>
      </c>
      <c r="L239" s="166"/>
    </row>
    <row r="240" spans="1:18" ht="15.5" x14ac:dyDescent="0.7">
      <c r="B240" s="89" t="s">
        <v>142</v>
      </c>
      <c r="F240" s="55">
        <f>'Composite Cost Allocation'!F113</f>
        <v>2074593000</v>
      </c>
      <c r="L240" s="166"/>
    </row>
    <row r="241" spans="1:14" ht="15.5" x14ac:dyDescent="0.7">
      <c r="B241" s="89" t="s">
        <v>144</v>
      </c>
      <c r="F241" s="55">
        <f>'Composite Cost Allocation'!F114</f>
        <v>1882820000</v>
      </c>
      <c r="L241" s="166"/>
    </row>
    <row r="242" spans="1:14" ht="15.5" x14ac:dyDescent="0.7">
      <c r="L242" s="166"/>
    </row>
    <row r="243" spans="1:14" ht="15.5" x14ac:dyDescent="0.7">
      <c r="B243" s="28" t="s">
        <v>18</v>
      </c>
      <c r="E243" s="55">
        <f>'Composite Cost Allocation'!E116</f>
        <v>5274004.6993009001</v>
      </c>
      <c r="F243" s="55">
        <f>'Composite Cost Allocation'!F116</f>
        <v>5535444000</v>
      </c>
      <c r="G243" s="55">
        <f>'Composite Cost Allocation'!G116</f>
        <v>3591474000</v>
      </c>
      <c r="I243" s="55">
        <f>'Composite Cost Allocation'!I116</f>
        <v>78007000</v>
      </c>
      <c r="L243" s="166"/>
    </row>
    <row r="244" spans="1:14" ht="15.5" x14ac:dyDescent="0.7">
      <c r="B244" s="77" t="s">
        <v>72</v>
      </c>
      <c r="E244" s="55">
        <f>'Composite Cost Allocation'!E117</f>
        <v>45337857.591087818</v>
      </c>
      <c r="H244" s="55">
        <f>'Composite Cost Allocation'!H117</f>
        <v>53031651.199999988</v>
      </c>
      <c r="L244" s="166"/>
    </row>
    <row r="245" spans="1:14" ht="15.5" x14ac:dyDescent="0.7">
      <c r="B245" s="77" t="s">
        <v>73</v>
      </c>
      <c r="E245" s="55">
        <f>'Composite Cost Allocation'!E118</f>
        <v>80500137.709611282</v>
      </c>
      <c r="H245" s="55">
        <f>'Composite Cost Allocation'!H118</f>
        <v>71014348.799999997</v>
      </c>
      <c r="L245" s="166"/>
    </row>
    <row r="246" spans="1:14" ht="15.5" x14ac:dyDescent="0.7">
      <c r="J246" s="26" t="s">
        <v>13</v>
      </c>
      <c r="K246" s="26"/>
      <c r="M246" s="249" t="s">
        <v>274</v>
      </c>
      <c r="N246" s="249" t="s">
        <v>275</v>
      </c>
    </row>
    <row r="247" spans="1:14" x14ac:dyDescent="0.6">
      <c r="B247" s="89" t="s">
        <v>162</v>
      </c>
      <c r="E247" s="55">
        <f>SUM(E237:E241)</f>
        <v>64785000</v>
      </c>
      <c r="F247" s="55">
        <f>SUM(F237:F241)</f>
        <v>3957413000</v>
      </c>
      <c r="G247" s="55">
        <f>SUM(G237:G241)</f>
        <v>2131270000</v>
      </c>
      <c r="H247" s="55">
        <f>SUM(H237:H241)</f>
        <v>64994000</v>
      </c>
      <c r="I247" s="55">
        <f>SUM(I237:I241)</f>
        <v>39005000</v>
      </c>
      <c r="J247" s="55">
        <f>SUM(E247:I247)</f>
        <v>6257467000</v>
      </c>
      <c r="K247" s="55"/>
      <c r="M247" s="264">
        <f>ROUND(J247*$E$95/1000,0)</f>
        <v>6995843</v>
      </c>
      <c r="N247" s="264">
        <f>ROUND(J247*$E$98/1000,0)</f>
        <v>6934938</v>
      </c>
    </row>
    <row r="248" spans="1:14" x14ac:dyDescent="0.6">
      <c r="B248" s="89" t="s">
        <v>163</v>
      </c>
      <c r="E248" s="138">
        <f>SUM(E243:E245)</f>
        <v>131112000</v>
      </c>
      <c r="F248" s="138">
        <f>SUM(F243:F245)</f>
        <v>5535444000</v>
      </c>
      <c r="G248" s="133">
        <f>SUM(G243:G245)</f>
        <v>3591474000</v>
      </c>
      <c r="H248" s="133">
        <f>SUM(H243:H245)</f>
        <v>124045999.99999999</v>
      </c>
      <c r="I248" s="133">
        <f>SUM(I243:I245)</f>
        <v>78007000</v>
      </c>
      <c r="J248" s="138">
        <f>SUM(E248:I248)</f>
        <v>9460083000</v>
      </c>
      <c r="K248" s="138"/>
      <c r="M248" s="264">
        <f>ROUND(J248*$E$95/1000,0)</f>
        <v>10576365</v>
      </c>
      <c r="N248" s="264">
        <f>ROUND(J248*$E$98/1000,0)</f>
        <v>10484289</v>
      </c>
    </row>
    <row r="249" spans="1:14" x14ac:dyDescent="0.6">
      <c r="B249" s="89" t="s">
        <v>164</v>
      </c>
      <c r="E249" s="55">
        <f>SUM(E247:E248)</f>
        <v>195897000</v>
      </c>
      <c r="F249" s="55">
        <f>SUM(F247:F248)</f>
        <v>9492857000</v>
      </c>
      <c r="G249" s="55">
        <f>SUM(G247:G248)</f>
        <v>5722744000</v>
      </c>
      <c r="H249" s="55">
        <f>SUM(H247:H248)</f>
        <v>189040000</v>
      </c>
      <c r="I249" s="55">
        <f>SUM(I247:I248)</f>
        <v>117012000</v>
      </c>
      <c r="J249" s="55">
        <f>SUM(E249:I249)</f>
        <v>15717550000</v>
      </c>
      <c r="K249" s="55"/>
      <c r="M249" s="265">
        <f>SUM(M247:M248)</f>
        <v>17572208</v>
      </c>
      <c r="N249" s="265">
        <f>SUM(N247:N248)</f>
        <v>17419227</v>
      </c>
    </row>
    <row r="250" spans="1:14" ht="15.5" x14ac:dyDescent="0.7">
      <c r="A250" s="22"/>
      <c r="B250" s="166"/>
      <c r="C250" s="166"/>
      <c r="D250" s="166"/>
      <c r="E250" s="166"/>
      <c r="F250" s="166"/>
      <c r="G250" s="166"/>
      <c r="H250" s="166"/>
      <c r="I250" s="166"/>
      <c r="J250" s="263" t="s">
        <v>251</v>
      </c>
      <c r="K250" s="263"/>
      <c r="L250" s="166"/>
    </row>
    <row r="251" spans="1:14" ht="15.5" x14ac:dyDescent="0.7">
      <c r="A251" s="22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</row>
    <row r="253" spans="1:14" x14ac:dyDescent="0.6">
      <c r="A253" s="6" t="s">
        <v>133</v>
      </c>
      <c r="B253" s="1" t="s">
        <v>168</v>
      </c>
      <c r="C253"/>
      <c r="D253"/>
      <c r="E253"/>
      <c r="F253"/>
      <c r="G253"/>
      <c r="H253"/>
      <c r="I253"/>
      <c r="J253"/>
      <c r="K253"/>
      <c r="L253"/>
    </row>
    <row r="254" spans="1:14" x14ac:dyDescent="0.6">
      <c r="A254" s="7"/>
      <c r="B254" s="1"/>
      <c r="C254"/>
      <c r="D254"/>
      <c r="E254"/>
      <c r="F254"/>
      <c r="G254"/>
      <c r="H254"/>
      <c r="I254"/>
      <c r="J254"/>
      <c r="K254"/>
      <c r="L254"/>
    </row>
    <row r="255" spans="1:14" x14ac:dyDescent="0.6">
      <c r="A255" s="7"/>
      <c r="B255"/>
      <c r="C255" s="2"/>
      <c r="D255" s="2"/>
      <c r="E255" s="26" t="str">
        <f>+E$13</f>
        <v>RT{1}</v>
      </c>
      <c r="F255" s="26" t="str">
        <f>+F$13</f>
        <v>RS{2}</v>
      </c>
      <c r="G255" s="26" t="str">
        <f>+G$13</f>
        <v>GS{3}</v>
      </c>
      <c r="H255" s="155" t="str">
        <f>+H$58</f>
        <v>GST {4}</v>
      </c>
      <c r="I255" s="26" t="str">
        <f>+I$13</f>
        <v>OL/SL</v>
      </c>
      <c r="J255" s="2" t="s">
        <v>13</v>
      </c>
      <c r="K255" s="2"/>
      <c r="L255" s="2"/>
    </row>
    <row r="256" spans="1:14" x14ac:dyDescent="0.6">
      <c r="A256" s="7"/>
      <c r="B256" t="s">
        <v>134</v>
      </c>
      <c r="C256"/>
      <c r="D256"/>
      <c r="E256"/>
      <c r="F256"/>
      <c r="G256"/>
      <c r="H256"/>
      <c r="I256"/>
      <c r="J256"/>
      <c r="K256"/>
      <c r="L256"/>
    </row>
    <row r="257" spans="1:15" x14ac:dyDescent="0.6">
      <c r="A257" s="7"/>
      <c r="B257" s="28" t="s">
        <v>17</v>
      </c>
      <c r="C257" s="149"/>
      <c r="D257" s="149"/>
      <c r="E257" s="149">
        <f>+E211*E237/1000000</f>
        <v>182.999866937403</v>
      </c>
      <c r="F257" s="149"/>
      <c r="G257" s="149">
        <f>+G211*G237/1000000</f>
        <v>182959.77242941706</v>
      </c>
      <c r="H257" s="144"/>
      <c r="I257" s="149">
        <f>+I211*I237/1000000</f>
        <v>2964.5058874317056</v>
      </c>
      <c r="J257" s="149"/>
      <c r="K257" s="149"/>
      <c r="L257" s="149"/>
    </row>
    <row r="258" spans="1:15" x14ac:dyDescent="0.6">
      <c r="A258" s="7"/>
      <c r="B258" s="77" t="s">
        <v>72</v>
      </c>
      <c r="C258" s="149"/>
      <c r="D258" s="149"/>
      <c r="E258" s="149">
        <f>+E212*E238/1000000</f>
        <v>2706.4588312853907</v>
      </c>
      <c r="F258" s="149"/>
      <c r="G258" s="149"/>
      <c r="H258" s="149">
        <f>+H212*H238/1000000</f>
        <v>2884.6068244590201</v>
      </c>
      <c r="I258" s="149"/>
      <c r="J258" s="149"/>
      <c r="K258" s="149"/>
      <c r="L258" s="149"/>
    </row>
    <row r="259" spans="1:15" x14ac:dyDescent="0.6">
      <c r="A259" s="7"/>
      <c r="B259" s="77" t="s">
        <v>73</v>
      </c>
      <c r="C259" s="149"/>
      <c r="D259" s="149"/>
      <c r="E259" s="149">
        <f>+E213*E239/1000000</f>
        <v>2619.4957396002401</v>
      </c>
      <c r="F259" s="149"/>
      <c r="G259" s="149"/>
      <c r="H259" s="149">
        <f>+H213*H239/1000000</f>
        <v>2579.3772158961106</v>
      </c>
      <c r="I259" s="149"/>
      <c r="J259" s="149"/>
      <c r="K259" s="149"/>
      <c r="L259" s="81"/>
      <c r="M259" s="81"/>
      <c r="N259" s="81"/>
    </row>
    <row r="260" spans="1:15" x14ac:dyDescent="0.6">
      <c r="A260" s="7"/>
      <c r="B260" s="89" t="s">
        <v>142</v>
      </c>
      <c r="C260" s="149"/>
      <c r="D260" s="149"/>
      <c r="E260" s="149"/>
      <c r="F260" s="149">
        <f>+F214*F240/1000000</f>
        <v>169507.60424652314</v>
      </c>
      <c r="G260" s="149"/>
      <c r="H260" s="144"/>
      <c r="I260" s="149"/>
      <c r="J260" s="149"/>
      <c r="K260" s="149"/>
      <c r="L260" s="149"/>
      <c r="O260" s="81"/>
    </row>
    <row r="261" spans="1:15" x14ac:dyDescent="0.6">
      <c r="A261" s="7"/>
      <c r="B261" s="89" t="s">
        <v>144</v>
      </c>
      <c r="C261" s="149"/>
      <c r="D261" s="149"/>
      <c r="E261" s="149"/>
      <c r="F261" s="149">
        <f>+F215*F241/1000000</f>
        <v>170128.67415964106</v>
      </c>
      <c r="G261" s="149"/>
      <c r="H261" s="144"/>
      <c r="I261" s="149"/>
      <c r="J261" s="149"/>
      <c r="K261" s="149"/>
      <c r="L261" s="149"/>
    </row>
    <row r="262" spans="1:15" x14ac:dyDescent="0.6">
      <c r="A262" s="7"/>
      <c r="C262" s="149"/>
      <c r="D262" s="149"/>
      <c r="E262" s="149"/>
      <c r="F262" s="149"/>
      <c r="G262" s="149"/>
      <c r="H262" s="144"/>
      <c r="I262" s="149"/>
      <c r="J262" s="149"/>
      <c r="K262" s="149"/>
      <c r="L262" s="149"/>
    </row>
    <row r="263" spans="1:15" x14ac:dyDescent="0.6">
      <c r="A263" s="7"/>
      <c r="B263" s="28" t="s">
        <v>18</v>
      </c>
      <c r="C263" s="149"/>
      <c r="D263" s="149"/>
      <c r="E263" s="149">
        <f>+E217*E243/1000000</f>
        <v>478.95715831913964</v>
      </c>
      <c r="F263" s="149">
        <f>+F217*F243/1000000</f>
        <v>508332.53481719451</v>
      </c>
      <c r="G263" s="149">
        <f>+G217*G243/1000000</f>
        <v>321025.24772046658</v>
      </c>
      <c r="I263" s="149">
        <f>+I217*I243/1000000</f>
        <v>6319.2896994367411</v>
      </c>
      <c r="J263" s="149"/>
      <c r="K263" s="149"/>
      <c r="L263" s="149"/>
    </row>
    <row r="264" spans="1:15" x14ac:dyDescent="0.6">
      <c r="A264" s="7"/>
      <c r="B264" s="77" t="s">
        <v>72</v>
      </c>
      <c r="C264" s="149"/>
      <c r="D264" s="149"/>
      <c r="E264" s="149">
        <f>+E218*E244/1000000</f>
        <v>4906.6879371071245</v>
      </c>
      <c r="F264" s="3"/>
      <c r="G264" s="3"/>
      <c r="H264" s="149">
        <f>+H218*H244/1000000</f>
        <v>5128.509678288111</v>
      </c>
      <c r="I264" s="3"/>
      <c r="J264" s="149"/>
      <c r="K264" s="149"/>
      <c r="L264" s="149"/>
    </row>
    <row r="265" spans="1:15" x14ac:dyDescent="0.6">
      <c r="A265" s="7"/>
      <c r="B265" s="77" t="s">
        <v>73</v>
      </c>
      <c r="C265" s="3"/>
      <c r="D265" s="3"/>
      <c r="E265" s="149">
        <f>+E219*E245/1000000</f>
        <v>6521.119517772584</v>
      </c>
      <c r="H265" s="149">
        <f>+H219*H245/1000000</f>
        <v>5641.300292630669</v>
      </c>
      <c r="J265" s="149"/>
      <c r="K265" s="149"/>
      <c r="L265" s="149"/>
    </row>
    <row r="266" spans="1:15" x14ac:dyDescent="0.6">
      <c r="A266" s="7"/>
      <c r="B266" s="5"/>
      <c r="C266"/>
      <c r="D266"/>
      <c r="E266"/>
      <c r="F266"/>
      <c r="G266"/>
      <c r="H266"/>
      <c r="I266"/>
      <c r="J266"/>
      <c r="K266"/>
      <c r="L266"/>
    </row>
    <row r="267" spans="1:15" x14ac:dyDescent="0.6">
      <c r="A267" s="7"/>
      <c r="B267" t="s">
        <v>135</v>
      </c>
      <c r="C267"/>
      <c r="D267"/>
      <c r="E267"/>
      <c r="F267"/>
      <c r="G267"/>
      <c r="H267"/>
      <c r="I267"/>
      <c r="J267"/>
      <c r="K267"/>
      <c r="L267"/>
    </row>
    <row r="268" spans="1:15" x14ac:dyDescent="0.6">
      <c r="A268" s="7"/>
      <c r="B268" s="5" t="s">
        <v>25</v>
      </c>
      <c r="D268"/>
      <c r="E268" s="3">
        <f>SUM(E257:E261)</f>
        <v>5508.9544378230339</v>
      </c>
      <c r="F268" s="3">
        <f>SUM(F257:F261)</f>
        <v>339636.2784061642</v>
      </c>
      <c r="G268" s="3">
        <f>SUM(G257:G261)</f>
        <v>182959.77242941706</v>
      </c>
      <c r="H268" s="3">
        <f>SUM(H257:H261)</f>
        <v>5463.9840403551307</v>
      </c>
      <c r="I268" s="3">
        <f>SUM(I257:I261)</f>
        <v>2964.5058874317056</v>
      </c>
      <c r="J268" s="151">
        <f>SUM(E268:I268)</f>
        <v>536533.49520119105</v>
      </c>
      <c r="K268" s="151"/>
      <c r="L268"/>
    </row>
    <row r="269" spans="1:15" x14ac:dyDescent="0.6">
      <c r="A269" s="7"/>
      <c r="B269" s="5" t="s">
        <v>26</v>
      </c>
      <c r="D269"/>
      <c r="E269" s="3">
        <f>SUM(E263:E265)</f>
        <v>11906.764613198848</v>
      </c>
      <c r="F269" s="3">
        <f>SUM(F263:F265)</f>
        <v>508332.53481719451</v>
      </c>
      <c r="G269" s="3">
        <f>SUM(G263:G265)</f>
        <v>321025.24772046658</v>
      </c>
      <c r="H269" s="3">
        <f>SUM(H263:H265)</f>
        <v>10769.809970918781</v>
      </c>
      <c r="I269" s="3">
        <f>SUM(I263:I265)</f>
        <v>6319.2896994367411</v>
      </c>
      <c r="J269" s="151">
        <f>SUM(E269:I269)</f>
        <v>858353.64682121552</v>
      </c>
      <c r="K269" s="151"/>
      <c r="L269"/>
    </row>
    <row r="270" spans="1:15" x14ac:dyDescent="0.6">
      <c r="A270" s="7"/>
      <c r="B270" s="5" t="s">
        <v>13</v>
      </c>
      <c r="D270"/>
      <c r="E270" s="3">
        <f>SUM(E268:E269)</f>
        <v>17415.719051021882</v>
      </c>
      <c r="F270" s="3">
        <f>SUM(F268:F269)</f>
        <v>847968.81322335871</v>
      </c>
      <c r="G270" s="3">
        <f>SUM(G268:G269)</f>
        <v>503985.02014988364</v>
      </c>
      <c r="H270" s="3">
        <f>SUM(H268:H269)</f>
        <v>16233.794011273912</v>
      </c>
      <c r="I270" s="3">
        <f>SUM(I268:I269)</f>
        <v>9283.7955868684476</v>
      </c>
      <c r="J270" s="3">
        <f>SUM(E270:I270)</f>
        <v>1394887.1420224064</v>
      </c>
      <c r="K270" s="3"/>
    </row>
    <row r="271" spans="1:15" x14ac:dyDescent="0.6">
      <c r="A271" s="7"/>
      <c r="B271"/>
      <c r="C271"/>
      <c r="D271"/>
      <c r="E271"/>
      <c r="F271"/>
      <c r="G271"/>
      <c r="H271"/>
      <c r="J271"/>
      <c r="K271"/>
    </row>
    <row r="272" spans="1:15" x14ac:dyDescent="0.6">
      <c r="A272" s="7"/>
      <c r="B272" t="s">
        <v>136</v>
      </c>
      <c r="C272"/>
      <c r="D272"/>
      <c r="E272"/>
      <c r="F272"/>
      <c r="G272"/>
      <c r="H272"/>
      <c r="J272"/>
      <c r="K272"/>
    </row>
    <row r="273" spans="1:14" x14ac:dyDescent="0.6">
      <c r="A273" s="7"/>
      <c r="B273" s="5" t="s">
        <v>25</v>
      </c>
      <c r="C273"/>
      <c r="D273"/>
      <c r="E273" s="150">
        <f t="shared" ref="E273:J273" si="28">+E268/E270</f>
        <v>0.31632081464358436</v>
      </c>
      <c r="F273" s="150">
        <f t="shared" si="28"/>
        <v>0.40052920945891263</v>
      </c>
      <c r="G273" s="150">
        <f t="shared" si="28"/>
        <v>0.36302621132470442</v>
      </c>
      <c r="H273" s="150">
        <f t="shared" si="28"/>
        <v>0.33658084096425933</v>
      </c>
      <c r="I273" s="150">
        <f t="shared" si="28"/>
        <v>0.31932046108650636</v>
      </c>
      <c r="J273" s="150">
        <f t="shared" si="28"/>
        <v>0.38464294281420264</v>
      </c>
      <c r="K273" s="150"/>
    </row>
    <row r="274" spans="1:14" x14ac:dyDescent="0.6">
      <c r="A274" s="7"/>
      <c r="B274" s="5" t="s">
        <v>26</v>
      </c>
      <c r="C274"/>
      <c r="D274"/>
      <c r="E274" s="150">
        <f t="shared" ref="E274:J274" si="29">+E269/E270</f>
        <v>0.68367918535641559</v>
      </c>
      <c r="F274" s="150">
        <f t="shared" si="29"/>
        <v>0.59947079054108732</v>
      </c>
      <c r="G274" s="150">
        <f t="shared" si="29"/>
        <v>0.63697378867529564</v>
      </c>
      <c r="H274" s="150">
        <f t="shared" si="29"/>
        <v>0.66341915903574056</v>
      </c>
      <c r="I274" s="150">
        <f t="shared" si="29"/>
        <v>0.68067953891349353</v>
      </c>
      <c r="J274" s="150">
        <f t="shared" si="29"/>
        <v>0.61535705718579747</v>
      </c>
      <c r="K274" s="150"/>
    </row>
    <row r="275" spans="1:14" x14ac:dyDescent="0.6">
      <c r="A275" s="7"/>
      <c r="B275" s="5"/>
      <c r="C275"/>
      <c r="D275"/>
      <c r="E275" s="150"/>
      <c r="F275" s="150"/>
      <c r="G275" s="150"/>
      <c r="H275" s="150"/>
      <c r="I275" s="150"/>
      <c r="J275" s="150"/>
      <c r="K275" s="150"/>
    </row>
    <row r="276" spans="1:14" ht="15.5" x14ac:dyDescent="0.7">
      <c r="A276" s="22"/>
      <c r="B276" s="578" t="str">
        <f>$B$1</f>
        <v xml:space="preserve">Jersey Central Power &amp; Light </v>
      </c>
      <c r="C276" s="578"/>
      <c r="D276" s="578"/>
      <c r="E276" s="578"/>
      <c r="F276" s="578"/>
      <c r="G276" s="578"/>
      <c r="H276" s="578"/>
      <c r="I276" s="578"/>
      <c r="J276" s="578"/>
      <c r="K276" s="578"/>
      <c r="L276" s="578"/>
    </row>
    <row r="277" spans="1:14" ht="15.5" x14ac:dyDescent="0.7">
      <c r="A277" s="22"/>
      <c r="B277" s="578" t="str">
        <f>$B$2</f>
        <v>Attachment 2</v>
      </c>
      <c r="C277" s="578"/>
      <c r="D277" s="578"/>
      <c r="E277" s="578"/>
      <c r="F277" s="578"/>
      <c r="G277" s="578"/>
      <c r="H277" s="578"/>
      <c r="I277" s="578"/>
      <c r="J277" s="578"/>
      <c r="K277" s="578"/>
      <c r="L277" s="578"/>
    </row>
    <row r="278" spans="1:14" x14ac:dyDescent="0.6">
      <c r="F278"/>
      <c r="G278"/>
      <c r="H278"/>
      <c r="J278"/>
      <c r="K278"/>
    </row>
    <row r="279" spans="1:14" x14ac:dyDescent="0.6">
      <c r="F279"/>
      <c r="G279"/>
      <c r="H279"/>
      <c r="J279"/>
      <c r="K279"/>
    </row>
    <row r="280" spans="1:14" x14ac:dyDescent="0.6">
      <c r="A280" s="6" t="s">
        <v>243</v>
      </c>
      <c r="C280" s="266" t="s">
        <v>391</v>
      </c>
      <c r="D280" s="224"/>
      <c r="E280" s="224"/>
      <c r="F280"/>
      <c r="G280"/>
      <c r="H280"/>
      <c r="J280"/>
      <c r="K280"/>
    </row>
    <row r="281" spans="1:14" x14ac:dyDescent="0.6">
      <c r="F281"/>
      <c r="G281"/>
      <c r="H281"/>
      <c r="J281"/>
      <c r="K281"/>
    </row>
    <row r="282" spans="1:14" x14ac:dyDescent="0.6">
      <c r="A282" s="13"/>
      <c r="J282"/>
      <c r="K282"/>
    </row>
    <row r="283" spans="1:14" x14ac:dyDescent="0.6">
      <c r="A283" s="13"/>
      <c r="J283"/>
      <c r="K283"/>
    </row>
    <row r="284" spans="1:14" x14ac:dyDescent="0.6">
      <c r="A284" s="6" t="s">
        <v>241</v>
      </c>
      <c r="B284" s="1" t="s">
        <v>244</v>
      </c>
      <c r="C284"/>
      <c r="D284"/>
      <c r="E284"/>
      <c r="G284" s="81"/>
      <c r="J284"/>
      <c r="K284"/>
    </row>
    <row r="285" spans="1:14" x14ac:dyDescent="0.6">
      <c r="A285" s="7"/>
      <c r="C285" s="74"/>
      <c r="D285" s="74"/>
      <c r="J285"/>
      <c r="K285"/>
    </row>
    <row r="286" spans="1:14" x14ac:dyDescent="0.6">
      <c r="A286" s="7"/>
      <c r="B286" s="16" t="s">
        <v>102</v>
      </c>
      <c r="C286" s="74"/>
      <c r="D286" s="74"/>
      <c r="J286"/>
      <c r="K286"/>
    </row>
    <row r="287" spans="1:14" x14ac:dyDescent="0.6">
      <c r="A287" s="7"/>
      <c r="B287" s="89" t="s">
        <v>103</v>
      </c>
      <c r="C287" s="144">
        <f>(+SUMPRODUCT(C221:I221,C72:I72))/1000</f>
        <v>1394887.2836926819</v>
      </c>
      <c r="J287"/>
      <c r="K287"/>
    </row>
    <row r="288" spans="1:14" x14ac:dyDescent="0.6">
      <c r="A288" s="7"/>
      <c r="C288" s="89" t="s">
        <v>104</v>
      </c>
      <c r="D288" s="283">
        <f>+C287/SUMPRODUCT(E72:I72,E95:I95)*1000</f>
        <v>79.380304521718585</v>
      </c>
      <c r="E288" s="13" t="s">
        <v>105</v>
      </c>
      <c r="J288"/>
      <c r="K288"/>
      <c r="M288" s="258" t="s">
        <v>266</v>
      </c>
      <c r="N288" s="259">
        <f>C287/SUMPRODUCT(E72:I72,E98:I98)*1000</f>
        <v>80.077448367386296</v>
      </c>
    </row>
    <row r="289" spans="1:21" x14ac:dyDescent="0.6">
      <c r="A289" s="7"/>
      <c r="J289"/>
      <c r="K289"/>
      <c r="O289" s="258" t="s">
        <v>264</v>
      </c>
      <c r="P289" s="258"/>
      <c r="Q289" s="258"/>
      <c r="R289" s="258"/>
    </row>
    <row r="290" spans="1:21" x14ac:dyDescent="0.6">
      <c r="A290" s="7"/>
      <c r="C290" s="89"/>
      <c r="D290" s="250"/>
      <c r="I290" s="13" t="s">
        <v>251</v>
      </c>
      <c r="J290"/>
      <c r="K290"/>
    </row>
    <row r="291" spans="1:21" x14ac:dyDescent="0.6">
      <c r="A291" s="6" t="s">
        <v>242</v>
      </c>
      <c r="B291" s="1" t="s">
        <v>219</v>
      </c>
      <c r="C291" s="89"/>
      <c r="D291" s="237"/>
      <c r="J291"/>
      <c r="K291"/>
    </row>
    <row r="292" spans="1:21" x14ac:dyDescent="0.6">
      <c r="A292" s="7"/>
      <c r="B292"/>
      <c r="C292"/>
      <c r="D292"/>
      <c r="E292"/>
      <c r="F292"/>
      <c r="G292"/>
      <c r="H292"/>
      <c r="J292"/>
      <c r="K292"/>
    </row>
    <row r="293" spans="1:21" x14ac:dyDescent="0.6">
      <c r="A293" s="7"/>
      <c r="B293" s="13" t="s">
        <v>273</v>
      </c>
      <c r="G293" s="235" t="s">
        <v>176</v>
      </c>
      <c r="H293" s="133"/>
      <c r="I293" s="133"/>
      <c r="J293" s="10"/>
      <c r="K293" s="10"/>
      <c r="M293" s="13" t="s">
        <v>272</v>
      </c>
    </row>
    <row r="294" spans="1:21" x14ac:dyDescent="0.6">
      <c r="A294" s="7"/>
      <c r="B294" s="71" t="s">
        <v>25</v>
      </c>
      <c r="C294" s="284">
        <f>+J268/SUMPRODUCT(Q64:U64,E$95:I$95)*1000</f>
        <v>76.693183911346452</v>
      </c>
      <c r="D294" s="13" t="s">
        <v>137</v>
      </c>
      <c r="H294" s="26" t="s">
        <v>25</v>
      </c>
      <c r="I294" s="236">
        <f>ROUND(C294/$D$288,4)</f>
        <v>0.96609999999999996</v>
      </c>
      <c r="M294" s="227" t="s">
        <v>25</v>
      </c>
      <c r="N294" s="228">
        <f>J268/SUMPRODUCT(Q64:U64,E$98:I$98)*1000</f>
        <v>77.36672858329753</v>
      </c>
      <c r="R294" s="235" t="s">
        <v>176</v>
      </c>
      <c r="S294" s="133"/>
      <c r="T294" s="133"/>
      <c r="U294" s="10"/>
    </row>
    <row r="295" spans="1:21" x14ac:dyDescent="0.6">
      <c r="A295" s="7"/>
      <c r="B295" s="71" t="s">
        <v>26</v>
      </c>
      <c r="C295" s="142">
        <f>+J269/SUMPRODUCT(Q60:U60,E$95:I$95)*1000</f>
        <v>81.157714067357588</v>
      </c>
      <c r="D295" s="13" t="s">
        <v>137</v>
      </c>
      <c r="H295" s="26" t="s">
        <v>26</v>
      </c>
      <c r="I295" s="236">
        <f>ROUND(C295/$D$288,4)</f>
        <v>1.0224</v>
      </c>
      <c r="M295" s="227" t="s">
        <v>26</v>
      </c>
      <c r="N295" s="228">
        <f>J269/SUMPRODUCT(Q60:U60,E$98:I$98)*1000</f>
        <v>81.870467706077108</v>
      </c>
      <c r="O295" s="226" t="s">
        <v>265</v>
      </c>
      <c r="P295" s="226"/>
      <c r="Q295" s="234"/>
      <c r="S295" s="229" t="s">
        <v>25</v>
      </c>
      <c r="T295" s="230">
        <f>ROUND(N294/N288,4)</f>
        <v>0.96609999999999996</v>
      </c>
    </row>
    <row r="296" spans="1:21" x14ac:dyDescent="0.6">
      <c r="A296" s="7"/>
      <c r="O296" s="226" t="s">
        <v>265</v>
      </c>
      <c r="P296" s="226"/>
      <c r="Q296" s="234"/>
      <c r="S296" s="229" t="s">
        <v>26</v>
      </c>
      <c r="T296" s="230">
        <f>ROUND(N295/N288,4)</f>
        <v>1.0224</v>
      </c>
    </row>
    <row r="297" spans="1:21" x14ac:dyDescent="0.6">
      <c r="A297" s="7"/>
      <c r="G297" s="235" t="s">
        <v>307</v>
      </c>
    </row>
    <row r="298" spans="1:21" x14ac:dyDescent="0.6">
      <c r="A298" s="7"/>
      <c r="B298"/>
      <c r="C298"/>
      <c r="D298"/>
      <c r="E298" s="137"/>
      <c r="F298" s="4"/>
      <c r="G298"/>
      <c r="H298" s="26" t="s">
        <v>25</v>
      </c>
      <c r="I298" s="368">
        <f>IF(I295&gt;I294,1,I294)</f>
        <v>1</v>
      </c>
      <c r="J298"/>
      <c r="K298"/>
      <c r="L298"/>
    </row>
    <row r="299" spans="1:21" x14ac:dyDescent="0.6">
      <c r="A299" s="16" t="s">
        <v>108</v>
      </c>
      <c r="E299" s="98"/>
      <c r="F299" s="101"/>
      <c r="H299" s="26" t="s">
        <v>26</v>
      </c>
      <c r="I299" s="368">
        <f>IF(I295&gt;I294,1,I295)</f>
        <v>1</v>
      </c>
      <c r="J299"/>
      <c r="K299"/>
      <c r="L299"/>
    </row>
    <row r="300" spans="1:21" x14ac:dyDescent="0.6">
      <c r="A300" s="22"/>
      <c r="B300" s="89" t="s">
        <v>132</v>
      </c>
      <c r="C300" s="102">
        <f>D173</f>
        <v>49.59</v>
      </c>
      <c r="D300" s="93" t="s">
        <v>160</v>
      </c>
      <c r="E300" s="98"/>
      <c r="F300" s="101"/>
      <c r="I300"/>
      <c r="J300"/>
      <c r="K300"/>
      <c r="L300"/>
    </row>
    <row r="301" spans="1:21" x14ac:dyDescent="0.6">
      <c r="A301" s="22"/>
      <c r="B301" s="89"/>
      <c r="C301" s="102">
        <f>D174</f>
        <v>49.59</v>
      </c>
      <c r="D301" s="93" t="s">
        <v>161</v>
      </c>
      <c r="E301" s="98"/>
      <c r="F301" s="101"/>
      <c r="I301"/>
      <c r="J301"/>
      <c r="K301"/>
      <c r="L301"/>
    </row>
    <row r="302" spans="1:21" x14ac:dyDescent="0.6">
      <c r="A302" s="22"/>
      <c r="B302" s="89" t="s">
        <v>159</v>
      </c>
      <c r="C302" s="505" t="s">
        <v>349</v>
      </c>
      <c r="D302" s="93"/>
      <c r="E302" s="98"/>
      <c r="F302" s="101"/>
      <c r="I302"/>
      <c r="J302"/>
      <c r="K302"/>
      <c r="L302"/>
    </row>
    <row r="303" spans="1:21" x14ac:dyDescent="0.6">
      <c r="A303" s="22"/>
      <c r="B303" s="89" t="s">
        <v>109</v>
      </c>
      <c r="C303" s="148">
        <f>+H168</f>
        <v>4</v>
      </c>
      <c r="D303" s="13" t="s">
        <v>110</v>
      </c>
      <c r="E303" s="98"/>
      <c r="F303" s="101"/>
      <c r="I303"/>
      <c r="J303"/>
      <c r="K303"/>
      <c r="L303"/>
    </row>
    <row r="304" spans="1:21" x14ac:dyDescent="0.6">
      <c r="A304" s="22"/>
      <c r="B304" s="89"/>
      <c r="C304" s="148">
        <f>+H169</f>
        <v>8</v>
      </c>
      <c r="D304" s="13" t="s">
        <v>111</v>
      </c>
      <c r="E304" s="98"/>
      <c r="F304" s="101"/>
      <c r="I304"/>
      <c r="J304"/>
      <c r="K304"/>
      <c r="L304"/>
    </row>
    <row r="305" spans="1:13" x14ac:dyDescent="0.6">
      <c r="A305" s="22"/>
      <c r="B305" s="346" t="s">
        <v>310</v>
      </c>
      <c r="C305" s="102">
        <f>+F187</f>
        <v>19.21</v>
      </c>
      <c r="D305" s="13" t="s">
        <v>113</v>
      </c>
      <c r="E305" s="98"/>
      <c r="F305" s="101"/>
      <c r="I305"/>
      <c r="J305"/>
      <c r="K305"/>
      <c r="L305"/>
    </row>
    <row r="306" spans="1:13" x14ac:dyDescent="0.6">
      <c r="A306" s="22"/>
      <c r="B306" s="89" t="s">
        <v>114</v>
      </c>
      <c r="C306" s="307" t="s">
        <v>392</v>
      </c>
      <c r="E306" s="98"/>
      <c r="F306" s="101"/>
      <c r="I306"/>
      <c r="J306"/>
      <c r="K306"/>
      <c r="L306"/>
      <c r="M306" s="307" t="s">
        <v>251</v>
      </c>
    </row>
    <row r="307" spans="1:13" x14ac:dyDescent="0.6">
      <c r="A307" s="22"/>
      <c r="B307" s="89" t="s">
        <v>115</v>
      </c>
      <c r="C307" s="485" t="s">
        <v>393</v>
      </c>
      <c r="E307" s="98"/>
      <c r="F307" s="101"/>
      <c r="I307"/>
      <c r="J307"/>
      <c r="K307"/>
      <c r="L307"/>
    </row>
    <row r="308" spans="1:13" x14ac:dyDescent="0.6">
      <c r="A308" s="22"/>
      <c r="B308" s="89"/>
      <c r="C308" s="485" t="s">
        <v>394</v>
      </c>
      <c r="E308" s="98"/>
      <c r="F308" s="101"/>
      <c r="I308"/>
      <c r="J308"/>
      <c r="K308"/>
      <c r="L308"/>
    </row>
    <row r="309" spans="1:13" x14ac:dyDescent="0.6">
      <c r="A309" s="22"/>
      <c r="B309" s="89" t="s">
        <v>116</v>
      </c>
      <c r="C309" s="307" t="s">
        <v>395</v>
      </c>
      <c r="E309" s="98"/>
      <c r="F309" s="101"/>
      <c r="I309"/>
      <c r="J309"/>
      <c r="K309"/>
      <c r="L309"/>
    </row>
    <row r="310" spans="1:13" x14ac:dyDescent="0.6">
      <c r="A310" s="22"/>
      <c r="B310" s="89" t="s">
        <v>270</v>
      </c>
      <c r="C310" s="13" t="s">
        <v>271</v>
      </c>
      <c r="E310" s="98"/>
      <c r="F310" s="101"/>
      <c r="I310"/>
      <c r="J310"/>
      <c r="K310"/>
      <c r="L310"/>
    </row>
    <row r="311" spans="1:13" x14ac:dyDescent="0.6">
      <c r="A311" s="22"/>
      <c r="B311" s="89" t="s">
        <v>267</v>
      </c>
      <c r="C311" s="13" t="s">
        <v>268</v>
      </c>
      <c r="E311" s="98"/>
      <c r="F311" s="101"/>
      <c r="I311"/>
      <c r="J311"/>
      <c r="K311"/>
      <c r="L311"/>
    </row>
    <row r="312" spans="1:13" x14ac:dyDescent="0.6">
      <c r="A312" s="22"/>
      <c r="B312" s="89" t="s">
        <v>118</v>
      </c>
      <c r="C312" s="13" t="s">
        <v>214</v>
      </c>
      <c r="E312" s="100"/>
      <c r="F312" s="101"/>
      <c r="I312"/>
      <c r="J312"/>
      <c r="K312"/>
      <c r="L312"/>
    </row>
    <row r="313" spans="1:13" x14ac:dyDescent="0.6">
      <c r="C313" s="13" t="s">
        <v>119</v>
      </c>
      <c r="E313" s="98"/>
      <c r="F313" s="101"/>
      <c r="I313"/>
      <c r="J313"/>
      <c r="K313"/>
      <c r="L313"/>
    </row>
    <row r="314" spans="1:13" x14ac:dyDescent="0.6">
      <c r="B314" s="89" t="s">
        <v>120</v>
      </c>
      <c r="C314" s="103" t="s">
        <v>189</v>
      </c>
      <c r="E314" s="98"/>
      <c r="F314" s="101"/>
      <c r="I314"/>
      <c r="J314"/>
      <c r="K314"/>
      <c r="L314"/>
    </row>
    <row r="315" spans="1:13" x14ac:dyDescent="0.6">
      <c r="A315" s="22"/>
      <c r="C315" s="103" t="s">
        <v>121</v>
      </c>
      <c r="E315" s="99"/>
      <c r="I315"/>
      <c r="J315"/>
      <c r="K315"/>
      <c r="L315"/>
    </row>
    <row r="316" spans="1:13" x14ac:dyDescent="0.6">
      <c r="C316" s="103" t="s">
        <v>188</v>
      </c>
      <c r="I316"/>
      <c r="J316"/>
      <c r="K316"/>
      <c r="L316"/>
    </row>
    <row r="317" spans="1:13" x14ac:dyDescent="0.6">
      <c r="A317" s="7"/>
      <c r="B317" s="404" t="s">
        <v>313</v>
      </c>
      <c r="C317" s="405" t="s">
        <v>314</v>
      </c>
      <c r="D317"/>
      <c r="E317" s="137"/>
      <c r="F317" s="4"/>
      <c r="G317"/>
      <c r="H317"/>
      <c r="I317"/>
      <c r="J317"/>
      <c r="K317"/>
      <c r="L317"/>
    </row>
    <row r="318" spans="1:13" x14ac:dyDescent="0.6">
      <c r="A318" s="7"/>
      <c r="B318" s="403" t="s">
        <v>251</v>
      </c>
      <c r="C318" s="9"/>
      <c r="D318"/>
      <c r="E318" s="137"/>
      <c r="F318" s="137"/>
      <c r="G318"/>
      <c r="H318"/>
      <c r="I318"/>
      <c r="J318"/>
      <c r="K318"/>
      <c r="L318"/>
    </row>
  </sheetData>
  <sheetProtection algorithmName="SHA-512" hashValue="6PmE+nzTjK26/sAeDo1mnwLpPmFpMmciGJSbbmdEM8rjuQF5TiH/p4s8IKYkG1ht+RVpPgpjVo9vYnu3tn/Wsw==" saltValue="+sBycqCbv1JR9FIGRNI69A==" spinCount="100000" sheet="1" objects="1" scenarios="1" selectLockedCells="1" selectUnlockedCells="1"/>
  <mergeCells count="17">
    <mergeCell ref="B1:L1"/>
    <mergeCell ref="B2:L2"/>
    <mergeCell ref="B52:L52"/>
    <mergeCell ref="B53:L53"/>
    <mergeCell ref="B5:L5"/>
    <mergeCell ref="M30:N30"/>
    <mergeCell ref="B276:L276"/>
    <mergeCell ref="B277:L277"/>
    <mergeCell ref="B3:L3"/>
    <mergeCell ref="B230:L230"/>
    <mergeCell ref="B231:L231"/>
    <mergeCell ref="B103:L103"/>
    <mergeCell ref="B104:L104"/>
    <mergeCell ref="B143:L143"/>
    <mergeCell ref="B144:L144"/>
    <mergeCell ref="B200:L200"/>
    <mergeCell ref="B201:L201"/>
  </mergeCells>
  <phoneticPr fontId="33" type="noConversion"/>
  <pageMargins left="0.97" right="0.79" top="0.69" bottom="0.69" header="0.33" footer="0.5"/>
  <pageSetup scale="69" fitToHeight="0" orientation="landscape" r:id="rId1"/>
  <headerFooter alignWithMargins="0">
    <oddFooter>&amp;L&amp;F    &amp;A&amp;CPage &amp;P of &amp;N&amp;R&amp;D</oddFooter>
  </headerFooter>
  <rowBreaks count="6" manualBreakCount="6">
    <brk id="51" max="11" man="1"/>
    <brk id="102" max="11" man="1"/>
    <brk id="142" max="11" man="1"/>
    <brk id="198" max="11" man="1"/>
    <brk id="229" max="11" man="1"/>
    <brk id="275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86"/>
  <sheetViews>
    <sheetView view="pageBreakPreview" zoomScale="80" zoomScaleNormal="88" zoomScaleSheetLayoutView="80" workbookViewId="0"/>
  </sheetViews>
  <sheetFormatPr defaultColWidth="9.08984375" defaultRowHeight="13" x14ac:dyDescent="0.6"/>
  <cols>
    <col min="1" max="1" width="16.08984375" style="12" customWidth="1"/>
    <col min="2" max="2" width="27.90625" style="13" customWidth="1"/>
    <col min="3" max="3" width="11.90625" style="13" customWidth="1"/>
    <col min="4" max="4" width="9.54296875" style="13" customWidth="1"/>
    <col min="5" max="5" width="14.453125" style="13" customWidth="1"/>
    <col min="6" max="6" width="15" style="13" customWidth="1"/>
    <col min="7" max="7" width="16.90625" style="13" bestFit="1" customWidth="1"/>
    <col min="8" max="9" width="14.08984375" style="13" customWidth="1"/>
    <col min="10" max="10" width="15.90625" style="13" customWidth="1"/>
    <col min="11" max="11" width="3.08984375" style="13" hidden="1" customWidth="1"/>
    <col min="12" max="12" width="5.54296875" style="13" hidden="1" customWidth="1"/>
    <col min="13" max="14" width="4.54296875" style="13" hidden="1" customWidth="1"/>
    <col min="15" max="15" width="20.1796875" style="13" hidden="1" customWidth="1"/>
    <col min="16" max="16" width="21.453125" style="13" hidden="1" customWidth="1"/>
    <col min="17" max="17" width="18.26953125" style="13" hidden="1" customWidth="1"/>
    <col min="18" max="19" width="13.6328125" style="13" hidden="1" customWidth="1"/>
    <col min="20" max="20" width="14.1796875" style="13" hidden="1" customWidth="1"/>
    <col min="21" max="21" width="14.08984375" style="13" hidden="1" customWidth="1"/>
    <col min="22" max="22" width="13.6328125" style="13" hidden="1" customWidth="1"/>
    <col min="23" max="23" width="14.90625" style="13" hidden="1" customWidth="1"/>
    <col min="24" max="24" width="17.90625" style="13" customWidth="1"/>
    <col min="25" max="25" width="16.453125" style="13" bestFit="1" customWidth="1"/>
    <col min="26" max="26" width="14.08984375" style="13" customWidth="1"/>
    <col min="27" max="27" width="13.6328125" style="13" customWidth="1"/>
    <col min="28" max="28" width="13.54296875" style="13" customWidth="1"/>
    <col min="29" max="29" width="13.6328125" style="13" customWidth="1"/>
    <col min="30" max="30" width="17.54296875" style="13" customWidth="1"/>
    <col min="31" max="31" width="16.6328125" style="13" customWidth="1"/>
    <col min="32" max="32" width="14.453125" style="13" customWidth="1"/>
    <col min="33" max="16384" width="9.08984375" style="13"/>
  </cols>
  <sheetData>
    <row r="1" spans="1:16" ht="15.5" x14ac:dyDescent="0.7">
      <c r="B1" s="578" t="s">
        <v>69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16" ht="15.5" x14ac:dyDescent="0.7">
      <c r="B2" s="578" t="s">
        <v>187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16" ht="15.5" x14ac:dyDescent="0.7">
      <c r="B3" s="578" t="str">
        <f>'BGS PTY21 Cost Alloc'!$B$3</f>
        <v>2023 BGS Auction Cost and Bid Factor Tables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</row>
    <row r="4" spans="1:16" ht="5.5" customHeight="1" x14ac:dyDescent="0.7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ht="16.5" customHeight="1" x14ac:dyDescent="0.7">
      <c r="B5" s="578" t="s">
        <v>306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</row>
    <row r="6" spans="1:16" ht="6.5" customHeight="1" x14ac:dyDescent="0.6">
      <c r="N6" s="120" t="s">
        <v>251</v>
      </c>
    </row>
    <row r="7" spans="1:16" x14ac:dyDescent="0.6">
      <c r="A7" s="18" t="s">
        <v>252</v>
      </c>
      <c r="B7" s="172" t="s">
        <v>356</v>
      </c>
      <c r="C7" s="20"/>
      <c r="E7" s="165" t="s">
        <v>282</v>
      </c>
      <c r="F7" s="288">
        <v>20</v>
      </c>
      <c r="G7" s="16"/>
      <c r="P7" s="272" t="s">
        <v>251</v>
      </c>
    </row>
    <row r="8" spans="1:16" ht="14.25" customHeight="1" x14ac:dyDescent="0.6">
      <c r="A8" s="22"/>
      <c r="B8" s="13" t="s">
        <v>237</v>
      </c>
      <c r="C8" s="23"/>
      <c r="D8" s="23"/>
      <c r="M8" s="23"/>
      <c r="N8" s="23"/>
    </row>
    <row r="9" spans="1:16" ht="4" customHeight="1" x14ac:dyDescent="0.6">
      <c r="A9" s="22"/>
    </row>
    <row r="10" spans="1:16" x14ac:dyDescent="0.6">
      <c r="A10" s="22"/>
      <c r="B10" t="s">
        <v>134</v>
      </c>
      <c r="C10"/>
      <c r="D10"/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J10"/>
      <c r="K10"/>
      <c r="L10"/>
      <c r="M10" s="30"/>
      <c r="N10" s="30"/>
    </row>
    <row r="11" spans="1:16" x14ac:dyDescent="0.6">
      <c r="A11" s="22"/>
      <c r="B11" s="28" t="s">
        <v>17</v>
      </c>
      <c r="C11" s="149"/>
      <c r="D11" s="149"/>
      <c r="E11" s="149">
        <f>'BGS PTY19 Cost Alloc'!E265</f>
        <v>131.39700221017802</v>
      </c>
      <c r="F11" s="149"/>
      <c r="G11" s="149">
        <f>'BGS PTY19 Cost Alloc'!G265</f>
        <v>130068.8056723456</v>
      </c>
      <c r="H11" s="144"/>
      <c r="I11" s="149">
        <f>'BGS PTY19 Cost Alloc'!I265</f>
        <v>1803.4286877914358</v>
      </c>
      <c r="J11" s="149"/>
      <c r="K11" s="149"/>
      <c r="L11" s="149"/>
      <c r="M11" s="30"/>
      <c r="N11" s="30"/>
    </row>
    <row r="12" spans="1:16" x14ac:dyDescent="0.6">
      <c r="A12" s="22"/>
      <c r="B12" s="77" t="s">
        <v>72</v>
      </c>
      <c r="C12" s="149"/>
      <c r="D12" s="149"/>
      <c r="E12" s="149">
        <f>'BGS PTY19 Cost Alloc'!E266</f>
        <v>2240.6364239920799</v>
      </c>
      <c r="F12" s="149"/>
      <c r="G12" s="149"/>
      <c r="H12" s="149">
        <f>'BGS PTY19 Cost Alloc'!H266</f>
        <v>2110.1696716938009</v>
      </c>
      <c r="I12" s="149"/>
      <c r="J12" s="149"/>
      <c r="K12" s="149"/>
      <c r="L12" s="149"/>
      <c r="M12" s="30"/>
      <c r="N12" s="30"/>
    </row>
    <row r="13" spans="1:16" x14ac:dyDescent="0.6">
      <c r="A13" s="22"/>
      <c r="B13" s="77" t="s">
        <v>73</v>
      </c>
      <c r="C13" s="149"/>
      <c r="D13" s="149"/>
      <c r="E13" s="149">
        <f>'BGS PTY19 Cost Alloc'!E267</f>
        <v>1583.5269949204671</v>
      </c>
      <c r="F13" s="149"/>
      <c r="G13" s="149"/>
      <c r="H13" s="149">
        <f>'BGS PTY19 Cost Alloc'!H267</f>
        <v>1557.2854289347856</v>
      </c>
      <c r="I13" s="149"/>
      <c r="J13" s="149"/>
      <c r="K13" s="149"/>
      <c r="L13" s="149"/>
      <c r="M13" s="30"/>
      <c r="N13" s="30"/>
    </row>
    <row r="14" spans="1:16" x14ac:dyDescent="0.6">
      <c r="A14" s="22"/>
      <c r="B14" s="89" t="s">
        <v>142</v>
      </c>
      <c r="C14" s="149"/>
      <c r="D14" s="149"/>
      <c r="E14" s="149"/>
      <c r="F14" s="149">
        <f>'BGS PTY19 Cost Alloc'!F268</f>
        <v>121544.94805043569</v>
      </c>
      <c r="G14" s="149"/>
      <c r="H14" s="144"/>
      <c r="I14" s="149"/>
      <c r="J14" s="149"/>
      <c r="K14" s="149"/>
      <c r="L14" s="149"/>
      <c r="M14" s="30"/>
      <c r="N14" s="30"/>
    </row>
    <row r="15" spans="1:16" x14ac:dyDescent="0.6">
      <c r="A15" s="22"/>
      <c r="B15" s="89" t="s">
        <v>144</v>
      </c>
      <c r="C15" s="149"/>
      <c r="D15" s="149"/>
      <c r="E15" s="149"/>
      <c r="F15" s="149">
        <f>'BGS PTY19 Cost Alloc'!F269</f>
        <v>126599.63095014532</v>
      </c>
      <c r="G15" s="149"/>
      <c r="H15" s="144"/>
      <c r="I15" s="149"/>
      <c r="J15" s="149"/>
      <c r="K15" s="149"/>
      <c r="L15" s="149"/>
      <c r="M15" s="30"/>
      <c r="N15" s="30"/>
    </row>
    <row r="16" spans="1:16" x14ac:dyDescent="0.6">
      <c r="A16" s="22"/>
      <c r="C16" s="149"/>
      <c r="D16" s="149"/>
      <c r="E16" s="149"/>
      <c r="F16" s="149"/>
      <c r="G16" s="149"/>
      <c r="H16" s="144"/>
      <c r="I16" s="149"/>
      <c r="J16" s="149"/>
      <c r="K16" s="149"/>
      <c r="L16" s="149"/>
      <c r="M16" s="30"/>
      <c r="N16" s="30"/>
    </row>
    <row r="17" spans="1:16" x14ac:dyDescent="0.6">
      <c r="A17" s="22"/>
      <c r="B17" s="28" t="s">
        <v>18</v>
      </c>
      <c r="C17" s="149"/>
      <c r="D17" s="149"/>
      <c r="E17" s="149">
        <f>'BGS PTY19 Cost Alloc'!E271</f>
        <v>302.62776292140063</v>
      </c>
      <c r="F17" s="149">
        <f>'BGS PTY19 Cost Alloc'!F271</f>
        <v>357713.95207652677</v>
      </c>
      <c r="G17" s="149">
        <f>'BGS PTY19 Cost Alloc'!G271</f>
        <v>210881.06715566956</v>
      </c>
      <c r="I17" s="149">
        <f>'BGS PTY19 Cost Alloc'!I271</f>
        <v>3423.4283069625067</v>
      </c>
      <c r="J17" s="149"/>
      <c r="K17" s="149"/>
      <c r="L17" s="149"/>
      <c r="M17" s="30"/>
      <c r="N17" s="30"/>
    </row>
    <row r="18" spans="1:16" x14ac:dyDescent="0.6">
      <c r="A18" s="22"/>
      <c r="B18" s="77" t="s">
        <v>72</v>
      </c>
      <c r="C18" s="149"/>
      <c r="D18" s="149"/>
      <c r="E18" s="149">
        <f>'BGS PTY19 Cost Alloc'!E272</f>
        <v>3683.3625074866641</v>
      </c>
      <c r="F18" s="3"/>
      <c r="G18" s="3"/>
      <c r="H18" s="149">
        <f>'BGS PTY19 Cost Alloc'!H272</f>
        <v>3459.1333272275647</v>
      </c>
      <c r="I18" s="3"/>
      <c r="J18" s="149"/>
      <c r="K18" s="149"/>
      <c r="L18" s="149"/>
      <c r="M18" s="30"/>
      <c r="N18" s="30"/>
    </row>
    <row r="19" spans="1:16" x14ac:dyDescent="0.6">
      <c r="A19" s="22"/>
      <c r="B19" s="77" t="s">
        <v>73</v>
      </c>
      <c r="C19" s="3"/>
      <c r="D19" s="3"/>
      <c r="E19" s="149">
        <f>'BGS PTY19 Cost Alloc'!E273</f>
        <v>3537.1681525976142</v>
      </c>
      <c r="H19" s="149">
        <f>'BGS PTY19 Cost Alloc'!H273</f>
        <v>3034.0993778948909</v>
      </c>
      <c r="J19" s="149"/>
      <c r="K19" s="149"/>
      <c r="L19" s="149"/>
      <c r="M19" s="30"/>
      <c r="N19" s="30"/>
    </row>
    <row r="20" spans="1:16" ht="5" customHeight="1" x14ac:dyDescent="0.6">
      <c r="A20" s="22"/>
      <c r="B20" s="5"/>
      <c r="C20"/>
      <c r="D20"/>
      <c r="E20"/>
      <c r="F20"/>
      <c r="G20"/>
      <c r="H20"/>
      <c r="I20"/>
      <c r="J20"/>
      <c r="K20"/>
      <c r="L20"/>
      <c r="M20" s="30"/>
      <c r="N20" s="30"/>
    </row>
    <row r="21" spans="1:16" x14ac:dyDescent="0.6">
      <c r="A21" s="22"/>
      <c r="B21" t="s">
        <v>135</v>
      </c>
      <c r="C21"/>
      <c r="D21"/>
      <c r="E21"/>
      <c r="F21"/>
      <c r="G21"/>
      <c r="H21"/>
      <c r="I21"/>
      <c r="J21"/>
      <c r="K21"/>
      <c r="L21"/>
      <c r="M21" s="30"/>
      <c r="N21" s="30"/>
    </row>
    <row r="22" spans="1:16" x14ac:dyDescent="0.6">
      <c r="A22" s="22"/>
      <c r="B22" s="5" t="s">
        <v>25</v>
      </c>
      <c r="D22"/>
      <c r="E22" s="3">
        <f>SUM(E11:E15)</f>
        <v>3955.5604211227251</v>
      </c>
      <c r="F22" s="3">
        <f>SUM(F11:F15)</f>
        <v>248144.579000581</v>
      </c>
      <c r="G22" s="3">
        <f>SUM(G11:G15)</f>
        <v>130068.8056723456</v>
      </c>
      <c r="H22" s="3">
        <f>SUM(H11:H15)</f>
        <v>3667.4551006285865</v>
      </c>
      <c r="I22" s="3">
        <f>SUM(I11:I15)</f>
        <v>1803.4286877914358</v>
      </c>
      <c r="J22" s="151">
        <f>SUM(E22:I22)</f>
        <v>387639.82888246939</v>
      </c>
      <c r="K22" s="151"/>
      <c r="L22" s="151"/>
      <c r="M22" s="31"/>
      <c r="N22" s="31"/>
    </row>
    <row r="23" spans="1:16" x14ac:dyDescent="0.6">
      <c r="A23" s="22"/>
      <c r="B23" s="5" t="s">
        <v>26</v>
      </c>
      <c r="D23"/>
      <c r="E23" s="3">
        <f>SUM(E17:E19)</f>
        <v>7523.1584230056787</v>
      </c>
      <c r="F23" s="3">
        <f>SUM(F17:F19)</f>
        <v>357713.95207652677</v>
      </c>
      <c r="G23" s="3">
        <f>SUM(G17:G19)</f>
        <v>210881.06715566956</v>
      </c>
      <c r="H23" s="3">
        <f>SUM(H17:H19)</f>
        <v>6493.2327051224556</v>
      </c>
      <c r="I23" s="3">
        <f>SUM(I17:I19)</f>
        <v>3423.4283069625067</v>
      </c>
      <c r="J23" s="151">
        <f>SUM(E23:I23)</f>
        <v>586034.83866728691</v>
      </c>
      <c r="K23" s="151"/>
      <c r="L23" s="151"/>
      <c r="M23" s="31"/>
      <c r="N23" s="31"/>
    </row>
    <row r="24" spans="1:16" x14ac:dyDescent="0.6">
      <c r="A24" s="18"/>
      <c r="B24" s="5" t="s">
        <v>13</v>
      </c>
      <c r="D24"/>
      <c r="E24" s="3">
        <f>SUM(E22:E23)</f>
        <v>11478.718844128403</v>
      </c>
      <c r="F24" s="3">
        <f>SUM(F22:F23)</f>
        <v>605858.53107710776</v>
      </c>
      <c r="G24" s="3">
        <f>SUM(G22:G23)</f>
        <v>340949.87282801513</v>
      </c>
      <c r="H24" s="3">
        <f>SUM(H22:H23)</f>
        <v>10160.687805751042</v>
      </c>
      <c r="I24" s="3">
        <f>SUM(I22:I23)</f>
        <v>5226.8569947539427</v>
      </c>
      <c r="J24" s="3">
        <f>SUM(E24:I24)</f>
        <v>973674.66754975624</v>
      </c>
      <c r="K24" s="3"/>
      <c r="L24" s="3"/>
      <c r="M24" s="31"/>
      <c r="N24" s="31"/>
    </row>
    <row r="25" spans="1:16" hidden="1" x14ac:dyDescent="0.6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hidden="1" x14ac:dyDescent="0.6">
      <c r="A26" s="22"/>
      <c r="B26" s="2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6" x14ac:dyDescent="0.6">
      <c r="A27" s="22"/>
    </row>
    <row r="28" spans="1:16" x14ac:dyDescent="0.6">
      <c r="A28" s="18" t="s">
        <v>253</v>
      </c>
      <c r="B28" s="172" t="s">
        <v>360</v>
      </c>
      <c r="C28" s="20"/>
      <c r="E28" s="165" t="s">
        <v>282</v>
      </c>
      <c r="F28" s="288">
        <v>18</v>
      </c>
      <c r="G28" s="16" t="s">
        <v>251</v>
      </c>
      <c r="P28" s="272" t="s">
        <v>251</v>
      </c>
    </row>
    <row r="29" spans="1:16" x14ac:dyDescent="0.6">
      <c r="A29" s="22"/>
      <c r="B29" s="13" t="s">
        <v>237</v>
      </c>
      <c r="C29" s="23"/>
      <c r="D29" s="23"/>
    </row>
    <row r="30" spans="1:16" x14ac:dyDescent="0.6">
      <c r="A30" s="22"/>
    </row>
    <row r="31" spans="1:16" x14ac:dyDescent="0.6">
      <c r="A31" s="22"/>
      <c r="B31" t="s">
        <v>134</v>
      </c>
      <c r="C31"/>
      <c r="D31"/>
      <c r="E31" s="26" t="s">
        <v>61</v>
      </c>
      <c r="F31" s="26" t="s">
        <v>62</v>
      </c>
      <c r="G31" s="26" t="s">
        <v>65</v>
      </c>
      <c r="H31" s="26" t="s">
        <v>203</v>
      </c>
      <c r="I31" s="26" t="s">
        <v>55</v>
      </c>
      <c r="J31"/>
      <c r="K31"/>
      <c r="L31"/>
    </row>
    <row r="32" spans="1:16" x14ac:dyDescent="0.6">
      <c r="A32" s="22"/>
      <c r="B32" s="28" t="s">
        <v>17</v>
      </c>
      <c r="C32" s="149"/>
      <c r="D32" s="149"/>
      <c r="E32" s="149">
        <f>'BGS PTY20 Cost Alloc'!E263</f>
        <v>169.27377018445765</v>
      </c>
      <c r="F32" s="149"/>
      <c r="G32" s="149">
        <f>'BGS PTY20 Cost Alloc'!G263</f>
        <v>168889.44858487972</v>
      </c>
      <c r="H32" s="144"/>
      <c r="I32" s="149">
        <f>'BGS PTY20 Cost Alloc'!I263</f>
        <v>2569.3273019053745</v>
      </c>
      <c r="J32" s="149"/>
      <c r="K32" s="149"/>
      <c r="L32" s="149"/>
    </row>
    <row r="33" spans="1:12" x14ac:dyDescent="0.6">
      <c r="A33" s="22"/>
      <c r="B33" s="77" t="s">
        <v>72</v>
      </c>
      <c r="C33" s="149"/>
      <c r="D33" s="149"/>
      <c r="E33" s="149">
        <f>'BGS PTY20 Cost Alloc'!E264</f>
        <v>2675.7899775131641</v>
      </c>
      <c r="F33" s="149"/>
      <c r="G33" s="149"/>
      <c r="H33" s="149">
        <f>'BGS PTY20 Cost Alloc'!H264</f>
        <v>2711.1855725738037</v>
      </c>
      <c r="I33" s="149"/>
      <c r="J33" s="149"/>
      <c r="K33" s="149"/>
      <c r="L33" s="149"/>
    </row>
    <row r="34" spans="1:12" x14ac:dyDescent="0.6">
      <c r="A34" s="22"/>
      <c r="B34" s="77" t="s">
        <v>73</v>
      </c>
      <c r="C34" s="149"/>
      <c r="D34" s="149"/>
      <c r="E34" s="149">
        <f>'BGS PTY20 Cost Alloc'!E265</f>
        <v>2250.7074329209172</v>
      </c>
      <c r="F34" s="149"/>
      <c r="G34" s="149"/>
      <c r="H34" s="149">
        <f>'BGS PTY20 Cost Alloc'!H265</f>
        <v>2213.6444798201728</v>
      </c>
      <c r="I34" s="149"/>
      <c r="J34" s="149"/>
      <c r="K34" s="149"/>
      <c r="L34" s="149"/>
    </row>
    <row r="35" spans="1:12" x14ac:dyDescent="0.6">
      <c r="A35" s="22"/>
      <c r="B35" s="89" t="s">
        <v>142</v>
      </c>
      <c r="C35" s="149"/>
      <c r="D35" s="149"/>
      <c r="E35" s="149"/>
      <c r="F35" s="149">
        <f>'BGS PTY20 Cost Alloc'!F266</f>
        <v>157187.76368196064</v>
      </c>
      <c r="G35" s="149"/>
      <c r="H35" s="144"/>
      <c r="I35" s="149"/>
      <c r="J35" s="149"/>
      <c r="K35" s="149"/>
      <c r="L35" s="149"/>
    </row>
    <row r="36" spans="1:12" x14ac:dyDescent="0.6">
      <c r="A36" s="22"/>
      <c r="B36" s="89" t="s">
        <v>144</v>
      </c>
      <c r="C36" s="149"/>
      <c r="D36" s="149"/>
      <c r="E36" s="149"/>
      <c r="F36" s="149">
        <f>'BGS PTY20 Cost Alloc'!F267</f>
        <v>158947.66554167616</v>
      </c>
      <c r="G36" s="149"/>
      <c r="H36" s="144"/>
      <c r="I36" s="149"/>
      <c r="J36" s="149"/>
      <c r="K36" s="149"/>
      <c r="L36" s="149"/>
    </row>
    <row r="37" spans="1:12" x14ac:dyDescent="0.6">
      <c r="A37" s="22"/>
      <c r="C37" s="149"/>
      <c r="D37" s="149"/>
      <c r="E37" s="149"/>
      <c r="F37" s="149"/>
      <c r="G37" s="149"/>
      <c r="H37" s="144"/>
      <c r="I37" s="149"/>
      <c r="J37" s="149"/>
      <c r="K37" s="149"/>
      <c r="L37" s="149"/>
    </row>
    <row r="38" spans="1:12" x14ac:dyDescent="0.6">
      <c r="A38" s="22"/>
      <c r="B38" s="28" t="s">
        <v>18</v>
      </c>
      <c r="C38" s="149"/>
      <c r="D38" s="149"/>
      <c r="E38" s="149">
        <f>'BGS PTY20 Cost Alloc'!E269</f>
        <v>403.18340744761713</v>
      </c>
      <c r="F38" s="149">
        <f>'BGS PTY20 Cost Alloc'!F269</f>
        <v>450363.50180876045</v>
      </c>
      <c r="G38" s="149">
        <f>'BGS PTY20 Cost Alloc'!G269</f>
        <v>277832.22883312748</v>
      </c>
      <c r="I38" s="149">
        <f>'BGS PTY20 Cost Alloc'!I269</f>
        <v>5075.4814212853044</v>
      </c>
      <c r="J38" s="149"/>
      <c r="K38" s="149"/>
      <c r="L38" s="149"/>
    </row>
    <row r="39" spans="1:12" x14ac:dyDescent="0.6">
      <c r="A39" s="22"/>
      <c r="B39" s="77" t="s">
        <v>72</v>
      </c>
      <c r="C39" s="149"/>
      <c r="D39" s="149"/>
      <c r="E39" s="149">
        <f>'BGS PTY20 Cost Alloc'!E270</f>
        <v>4436.477395063127</v>
      </c>
      <c r="F39" s="3"/>
      <c r="G39" s="3"/>
      <c r="H39" s="149">
        <f>'BGS PTY20 Cost Alloc'!H270</f>
        <v>4523.1412539089088</v>
      </c>
      <c r="I39" s="3"/>
      <c r="J39" s="149"/>
      <c r="K39" s="149"/>
      <c r="L39" s="149"/>
    </row>
    <row r="40" spans="1:12" x14ac:dyDescent="0.6">
      <c r="A40" s="22"/>
      <c r="B40" s="77" t="s">
        <v>73</v>
      </c>
      <c r="C40" s="3"/>
      <c r="D40" s="3"/>
      <c r="E40" s="149">
        <f>'BGS PTY20 Cost Alloc'!E271</f>
        <v>5183.3343678835108</v>
      </c>
      <c r="H40" s="149">
        <f>'BGS PTY20 Cost Alloc'!H271</f>
        <v>4478.9375410660305</v>
      </c>
      <c r="J40" s="149"/>
      <c r="K40" s="149"/>
      <c r="L40" s="149"/>
    </row>
    <row r="41" spans="1:12" x14ac:dyDescent="0.6">
      <c r="A41" s="22"/>
      <c r="B41" s="5"/>
      <c r="C41"/>
      <c r="D41"/>
      <c r="E41"/>
      <c r="F41"/>
      <c r="G41"/>
      <c r="H41"/>
      <c r="I41"/>
      <c r="J41"/>
      <c r="K41"/>
      <c r="L41"/>
    </row>
    <row r="42" spans="1:12" x14ac:dyDescent="0.6">
      <c r="A42" s="22"/>
      <c r="B42" t="s">
        <v>135</v>
      </c>
      <c r="C42"/>
      <c r="D42"/>
      <c r="E42"/>
      <c r="F42"/>
      <c r="G42"/>
      <c r="H42"/>
      <c r="I42"/>
      <c r="J42"/>
      <c r="K42"/>
      <c r="L42"/>
    </row>
    <row r="43" spans="1:12" x14ac:dyDescent="0.6">
      <c r="A43" s="22"/>
      <c r="B43" s="5" t="s">
        <v>25</v>
      </c>
      <c r="D43"/>
      <c r="E43" s="3">
        <f>SUM(E32:E36)</f>
        <v>5095.7711806185389</v>
      </c>
      <c r="F43" s="3">
        <f>SUM(F32:F36)</f>
        <v>316135.42922363681</v>
      </c>
      <c r="G43" s="3">
        <f>SUM(G32:G36)</f>
        <v>168889.44858487972</v>
      </c>
      <c r="H43" s="3">
        <f>SUM(H32:H36)</f>
        <v>4924.8300523939761</v>
      </c>
      <c r="I43" s="3">
        <f>SUM(I32:I36)</f>
        <v>2569.3273019053745</v>
      </c>
      <c r="J43" s="151">
        <f>SUM(E43:I43)</f>
        <v>497614.80634343438</v>
      </c>
      <c r="K43" s="151"/>
      <c r="L43" s="151"/>
    </row>
    <row r="44" spans="1:12" x14ac:dyDescent="0.6">
      <c r="A44" s="22"/>
      <c r="B44" s="5" t="s">
        <v>26</v>
      </c>
      <c r="D44"/>
      <c r="E44" s="3">
        <f>SUM(E38:E40)</f>
        <v>10022.995170394255</v>
      </c>
      <c r="F44" s="3">
        <f>SUM(F38:F40)</f>
        <v>450363.50180876045</v>
      </c>
      <c r="G44" s="3">
        <f>SUM(G38:G40)</f>
        <v>277832.22883312748</v>
      </c>
      <c r="H44" s="3">
        <f>SUM(H38:H40)</f>
        <v>9002.0787949749392</v>
      </c>
      <c r="I44" s="3">
        <f>SUM(I38:I40)</f>
        <v>5075.4814212853044</v>
      </c>
      <c r="J44" s="151">
        <f>SUM(E44:I44)</f>
        <v>752296.28602854244</v>
      </c>
      <c r="K44" s="151"/>
      <c r="L44" s="151"/>
    </row>
    <row r="45" spans="1:12" x14ac:dyDescent="0.6">
      <c r="A45" s="18"/>
      <c r="B45" s="5" t="s">
        <v>13</v>
      </c>
      <c r="D45"/>
      <c r="E45" s="3">
        <f>SUM(E43:E44)</f>
        <v>15118.766351012793</v>
      </c>
      <c r="F45" s="3">
        <f>SUM(F43:F44)</f>
        <v>766498.93103239732</v>
      </c>
      <c r="G45" s="3">
        <f>SUM(G43:G44)</f>
        <v>446721.67741800717</v>
      </c>
      <c r="H45" s="3">
        <f>SUM(H43:H44)</f>
        <v>13926.908847368915</v>
      </c>
      <c r="I45" s="3">
        <f>SUM(I43:I44)</f>
        <v>7644.8087231906793</v>
      </c>
      <c r="J45" s="3">
        <f>SUM(E45:I45)</f>
        <v>1249911.0923719769</v>
      </c>
      <c r="K45" s="3"/>
      <c r="L45" s="3"/>
    </row>
    <row r="46" spans="1:12" x14ac:dyDescent="0.6">
      <c r="A46" s="18"/>
      <c r="B46" s="5"/>
      <c r="D46"/>
      <c r="E46" s="3"/>
      <c r="F46" s="3"/>
      <c r="G46" s="3"/>
      <c r="H46" s="3"/>
      <c r="I46" s="3"/>
      <c r="J46" s="3"/>
      <c r="K46" s="3"/>
      <c r="L46" s="3"/>
    </row>
    <row r="47" spans="1:12" x14ac:dyDescent="0.6">
      <c r="A47" s="13"/>
      <c r="B47" s="36" t="str">
        <f>'BGS PTY21 Cost Alloc'!B46</f>
        <v>{1} For BGS purposes the RT rate class includes the RS and GS rate class Off-Peak (OPWH) and Controlled Water Heating (CTWH) provisions.  The RT rate class also includes the</v>
      </c>
      <c r="D47"/>
      <c r="E47" s="3"/>
      <c r="F47" s="3"/>
      <c r="G47" s="3"/>
      <c r="H47" s="3"/>
      <c r="I47" s="3"/>
      <c r="J47" s="3"/>
      <c r="K47" s="3"/>
      <c r="L47" s="3"/>
    </row>
    <row r="48" spans="1:12" x14ac:dyDescent="0.6">
      <c r="A48" s="13"/>
      <c r="B48" s="36" t="str">
        <f>'BGS PTY21 Cost Alloc'!B47</f>
        <v xml:space="preserve">  summer billing month RGT rate class usage.  OPWH and CTWH is billed on the average RT rates, while RT and Summer RGT use is billed at on-peak and off-peak rates.</v>
      </c>
      <c r="D48"/>
      <c r="E48" s="3"/>
      <c r="F48" s="3"/>
      <c r="G48" s="3"/>
      <c r="H48" s="3"/>
      <c r="I48" s="3"/>
      <c r="J48" s="3"/>
      <c r="K48" s="3"/>
      <c r="L48" s="3"/>
    </row>
    <row r="49" spans="1:16" x14ac:dyDescent="0.6">
      <c r="A49" s="13"/>
      <c r="B49" s="36" t="str">
        <f>'BGS PTY21 Cost Alloc'!B48</f>
        <v xml:space="preserve">{2} For BGS purposes the RS rate class excludes the Off-Peak and Controlled Water Heating provisions and includes  </v>
      </c>
      <c r="D49"/>
      <c r="E49" s="3"/>
      <c r="F49" s="3"/>
      <c r="G49" s="3"/>
      <c r="H49" s="3"/>
      <c r="I49" s="3"/>
      <c r="J49" s="3"/>
      <c r="K49" s="3"/>
      <c r="L49" s="3"/>
    </row>
    <row r="50" spans="1:16" x14ac:dyDescent="0.6">
      <c r="A50" s="13"/>
      <c r="B50" s="36" t="str">
        <f>'BGS PTY21 Cost Alloc'!B49</f>
        <v xml:space="preserve">     the winter billing month RGT rate class usage</v>
      </c>
      <c r="D50"/>
      <c r="E50" s="3"/>
      <c r="F50" s="3"/>
      <c r="G50" s="3"/>
      <c r="H50" s="3"/>
      <c r="I50" s="3"/>
      <c r="J50" s="3"/>
      <c r="K50" s="3"/>
      <c r="L50" s="3"/>
    </row>
    <row r="51" spans="1:16" x14ac:dyDescent="0.6">
      <c r="A51" s="13"/>
      <c r="B51" s="36" t="str">
        <f>'BGS PTY21 Cost Alloc'!B50</f>
        <v>{3} For BGS purposes the GS rate class excludes the Off-Peak and Controlled Water Heating provisions</v>
      </c>
      <c r="D51"/>
      <c r="E51" s="3"/>
      <c r="F51" s="3"/>
      <c r="G51" s="3"/>
      <c r="H51" s="3"/>
      <c r="I51" s="3"/>
      <c r="J51" s="3"/>
      <c r="K51" s="3"/>
      <c r="L51" s="3"/>
    </row>
    <row r="52" spans="1:16" x14ac:dyDescent="0.6">
      <c r="A52" s="36"/>
      <c r="B52" s="164" t="str">
        <f>'BGS PTY21 Cost Alloc'!B101</f>
        <v>{4} The GS and GST units exclude the units associated with the 500 kW and above PLS accounts that will be required to take service under BGS-CIEP</v>
      </c>
      <c r="D52"/>
      <c r="E52" s="3"/>
      <c r="F52" s="3"/>
      <c r="G52" s="3"/>
      <c r="H52" s="3"/>
      <c r="I52" s="3"/>
      <c r="J52" s="3"/>
      <c r="K52" s="3"/>
      <c r="L52" s="3"/>
    </row>
    <row r="53" spans="1:16" x14ac:dyDescent="0.6">
      <c r="A53" s="13"/>
      <c r="B53" s="164" t="str">
        <f>'BGS PTY21 Cost Alloc'!B102</f>
        <v xml:space="preserve"> </v>
      </c>
    </row>
    <row r="54" spans="1:16" ht="15.5" x14ac:dyDescent="0.7">
      <c r="B54" s="578" t="s">
        <v>69</v>
      </c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</row>
    <row r="55" spans="1:16" ht="15.5" x14ac:dyDescent="0.7">
      <c r="B55" s="578" t="s">
        <v>187</v>
      </c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</row>
    <row r="56" spans="1:16" ht="15.5" x14ac:dyDescent="0.7">
      <c r="B56" s="578"/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78"/>
    </row>
    <row r="57" spans="1:16" x14ac:dyDescent="0.6">
      <c r="N57" s="120" t="s">
        <v>251</v>
      </c>
    </row>
    <row r="59" spans="1:16" x14ac:dyDescent="0.6">
      <c r="E59" s="17"/>
    </row>
    <row r="60" spans="1:16" x14ac:dyDescent="0.6">
      <c r="A60" s="18" t="s">
        <v>254</v>
      </c>
      <c r="B60" s="172" t="s">
        <v>409</v>
      </c>
      <c r="C60" s="20"/>
      <c r="E60" s="165" t="s">
        <v>282</v>
      </c>
      <c r="F60" s="288">
        <v>15</v>
      </c>
      <c r="G60" s="13" t="s">
        <v>251</v>
      </c>
      <c r="P60" s="272" t="s">
        <v>251</v>
      </c>
    </row>
    <row r="61" spans="1:16" x14ac:dyDescent="0.6">
      <c r="A61" s="22"/>
      <c r="B61" s="13" t="s">
        <v>237</v>
      </c>
      <c r="C61" s="23"/>
      <c r="D61" s="23"/>
    </row>
    <row r="62" spans="1:16" x14ac:dyDescent="0.6">
      <c r="A62" s="22"/>
    </row>
    <row r="63" spans="1:16" x14ac:dyDescent="0.6">
      <c r="A63" s="22"/>
      <c r="B63" t="s">
        <v>134</v>
      </c>
      <c r="C63"/>
      <c r="D63"/>
      <c r="E63" s="26" t="s">
        <v>61</v>
      </c>
      <c r="F63" s="26" t="s">
        <v>62</v>
      </c>
      <c r="G63" s="26" t="s">
        <v>65</v>
      </c>
      <c r="H63" s="26" t="s">
        <v>203</v>
      </c>
      <c r="I63" s="26" t="s">
        <v>55</v>
      </c>
      <c r="J63"/>
      <c r="K63"/>
      <c r="L63"/>
    </row>
    <row r="64" spans="1:16" x14ac:dyDescent="0.6">
      <c r="A64" s="22"/>
      <c r="B64" s="28" t="s">
        <v>17</v>
      </c>
      <c r="C64" s="149"/>
      <c r="D64" s="149"/>
      <c r="E64" s="149">
        <f>'BGS PTY21 Cost Alloc'!E257</f>
        <v>182.999866937403</v>
      </c>
      <c r="F64" s="149"/>
      <c r="G64" s="149">
        <f>'BGS PTY21 Cost Alloc'!G257</f>
        <v>182959.77242941706</v>
      </c>
      <c r="H64" s="144"/>
      <c r="I64" s="149">
        <f>'BGS PTY21 Cost Alloc'!I257</f>
        <v>2964.5058874317056</v>
      </c>
      <c r="J64" s="149"/>
      <c r="K64" s="149"/>
      <c r="L64" s="149"/>
    </row>
    <row r="65" spans="1:12" x14ac:dyDescent="0.6">
      <c r="A65" s="22"/>
      <c r="B65" s="77" t="s">
        <v>72</v>
      </c>
      <c r="C65" s="149"/>
      <c r="D65" s="149"/>
      <c r="E65" s="149">
        <f>'BGS PTY21 Cost Alloc'!E258</f>
        <v>2706.4588312853907</v>
      </c>
      <c r="F65" s="149"/>
      <c r="G65" s="149"/>
      <c r="H65" s="149">
        <f>'BGS PTY21 Cost Alloc'!H258</f>
        <v>2884.6068244590201</v>
      </c>
      <c r="I65" s="149"/>
      <c r="J65" s="149"/>
      <c r="K65" s="149"/>
      <c r="L65" s="149"/>
    </row>
    <row r="66" spans="1:12" x14ac:dyDescent="0.6">
      <c r="A66" s="22"/>
      <c r="B66" s="77" t="s">
        <v>73</v>
      </c>
      <c r="C66" s="149"/>
      <c r="D66" s="149"/>
      <c r="E66" s="149">
        <f>'BGS PTY21 Cost Alloc'!E259</f>
        <v>2619.4957396002401</v>
      </c>
      <c r="F66" s="149"/>
      <c r="G66" s="149"/>
      <c r="H66" s="149">
        <f>'BGS PTY21 Cost Alloc'!H259</f>
        <v>2579.3772158961106</v>
      </c>
      <c r="I66" s="149"/>
      <c r="J66" s="149"/>
      <c r="K66" s="149"/>
      <c r="L66" s="149"/>
    </row>
    <row r="67" spans="1:12" x14ac:dyDescent="0.6">
      <c r="A67" s="22"/>
      <c r="B67" s="89" t="s">
        <v>142</v>
      </c>
      <c r="C67" s="149"/>
      <c r="D67" s="149"/>
      <c r="E67" s="149"/>
      <c r="F67" s="149">
        <f>'BGS PTY21 Cost Alloc'!F260</f>
        <v>169507.60424652314</v>
      </c>
      <c r="G67" s="149"/>
      <c r="H67" s="144"/>
      <c r="I67" s="149"/>
      <c r="J67" s="149"/>
      <c r="K67" s="149"/>
      <c r="L67" s="149"/>
    </row>
    <row r="68" spans="1:12" x14ac:dyDescent="0.6">
      <c r="A68" s="22"/>
      <c r="B68" s="89" t="s">
        <v>144</v>
      </c>
      <c r="C68" s="149"/>
      <c r="D68" s="149"/>
      <c r="E68" s="149"/>
      <c r="F68" s="149">
        <f>'BGS PTY21 Cost Alloc'!F261</f>
        <v>170128.67415964106</v>
      </c>
      <c r="G68" s="149"/>
      <c r="H68" s="144"/>
      <c r="I68" s="149"/>
      <c r="J68" s="149"/>
      <c r="K68" s="149"/>
      <c r="L68" s="149"/>
    </row>
    <row r="69" spans="1:12" x14ac:dyDescent="0.6">
      <c r="A69" s="22"/>
      <c r="C69" s="149"/>
      <c r="D69" s="149"/>
      <c r="E69" s="149"/>
      <c r="F69" s="149"/>
      <c r="G69" s="149"/>
      <c r="H69" s="144"/>
      <c r="I69" s="149"/>
      <c r="J69" s="149"/>
      <c r="K69" s="149"/>
      <c r="L69" s="149"/>
    </row>
    <row r="70" spans="1:12" x14ac:dyDescent="0.6">
      <c r="A70" s="22"/>
      <c r="B70" s="28" t="s">
        <v>18</v>
      </c>
      <c r="C70" s="149"/>
      <c r="D70" s="149"/>
      <c r="E70" s="149">
        <f>'BGS PTY21 Cost Alloc'!E263</f>
        <v>478.95715831913964</v>
      </c>
      <c r="F70" s="149">
        <f>'BGS PTY21 Cost Alloc'!F263</f>
        <v>508332.53481719451</v>
      </c>
      <c r="G70" s="149">
        <f>'BGS PTY21 Cost Alloc'!G263</f>
        <v>321025.24772046658</v>
      </c>
      <c r="I70" s="149">
        <f>'BGS PTY21 Cost Alloc'!I263</f>
        <v>6319.2896994367411</v>
      </c>
      <c r="J70" s="149"/>
      <c r="K70" s="149"/>
      <c r="L70" s="149"/>
    </row>
    <row r="71" spans="1:12" x14ac:dyDescent="0.6">
      <c r="A71" s="22"/>
      <c r="B71" s="77" t="s">
        <v>72</v>
      </c>
      <c r="C71" s="149"/>
      <c r="D71" s="149"/>
      <c r="E71" s="149">
        <f>'BGS PTY21 Cost Alloc'!E264</f>
        <v>4906.6879371071245</v>
      </c>
      <c r="F71" s="3"/>
      <c r="G71" s="3"/>
      <c r="H71" s="149">
        <f>'BGS PTY21 Cost Alloc'!H264</f>
        <v>5128.509678288111</v>
      </c>
      <c r="I71" s="3"/>
      <c r="J71" s="149"/>
      <c r="K71" s="149"/>
      <c r="L71" s="149"/>
    </row>
    <row r="72" spans="1:12" x14ac:dyDescent="0.6">
      <c r="A72" s="22"/>
      <c r="B72" s="77" t="s">
        <v>73</v>
      </c>
      <c r="C72" s="3"/>
      <c r="D72" s="3"/>
      <c r="E72" s="149">
        <f>'BGS PTY21 Cost Alloc'!E265</f>
        <v>6521.119517772584</v>
      </c>
      <c r="H72" s="149">
        <f>'BGS PTY21 Cost Alloc'!H265</f>
        <v>5641.300292630669</v>
      </c>
      <c r="J72" s="149"/>
      <c r="K72" s="149"/>
      <c r="L72" s="149"/>
    </row>
    <row r="73" spans="1:12" x14ac:dyDescent="0.6">
      <c r="A73" s="22"/>
      <c r="B73" s="5"/>
      <c r="C73"/>
      <c r="D73"/>
      <c r="E73"/>
      <c r="F73"/>
      <c r="G73"/>
      <c r="H73"/>
      <c r="I73"/>
      <c r="J73"/>
      <c r="K73"/>
      <c r="L73"/>
    </row>
    <row r="74" spans="1:12" x14ac:dyDescent="0.6">
      <c r="A74" s="22"/>
      <c r="B74" t="s">
        <v>135</v>
      </c>
      <c r="C74"/>
      <c r="D74"/>
      <c r="E74"/>
      <c r="F74"/>
      <c r="G74"/>
      <c r="H74"/>
      <c r="I74"/>
      <c r="J74"/>
      <c r="K74"/>
      <c r="L74"/>
    </row>
    <row r="75" spans="1:12" x14ac:dyDescent="0.6">
      <c r="A75" s="22"/>
      <c r="B75" s="5" t="s">
        <v>25</v>
      </c>
      <c r="D75"/>
      <c r="E75" s="3">
        <f>SUM(E64:E68)</f>
        <v>5508.9544378230339</v>
      </c>
      <c r="F75" s="3">
        <f>SUM(F64:F68)</f>
        <v>339636.2784061642</v>
      </c>
      <c r="G75" s="3">
        <f>SUM(G64:G68)</f>
        <v>182959.77242941706</v>
      </c>
      <c r="H75" s="3">
        <f>SUM(H64:H68)</f>
        <v>5463.9840403551307</v>
      </c>
      <c r="I75" s="3">
        <f>SUM(I64:I68)</f>
        <v>2964.5058874317056</v>
      </c>
      <c r="J75" s="151">
        <f>SUM(E75:I75)</f>
        <v>536533.49520119105</v>
      </c>
      <c r="K75" s="151"/>
      <c r="L75" s="151"/>
    </row>
    <row r="76" spans="1:12" x14ac:dyDescent="0.6">
      <c r="A76" s="22"/>
      <c r="B76" s="5" t="s">
        <v>26</v>
      </c>
      <c r="D76"/>
      <c r="E76" s="3">
        <f>SUM(E70:E72)</f>
        <v>11906.764613198848</v>
      </c>
      <c r="F76" s="3">
        <f>SUM(F70:F72)</f>
        <v>508332.53481719451</v>
      </c>
      <c r="G76" s="3">
        <f>SUM(G70:G72)</f>
        <v>321025.24772046658</v>
      </c>
      <c r="H76" s="3">
        <f>SUM(H70:H72)</f>
        <v>10769.809970918781</v>
      </c>
      <c r="I76" s="3">
        <f>SUM(I70:I72)</f>
        <v>6319.2896994367411</v>
      </c>
      <c r="J76" s="151">
        <f>SUM(E76:I76)</f>
        <v>858353.64682121552</v>
      </c>
      <c r="K76" s="151"/>
      <c r="L76" s="151"/>
    </row>
    <row r="77" spans="1:12" x14ac:dyDescent="0.6">
      <c r="A77" s="18"/>
      <c r="B77" s="5" t="s">
        <v>13</v>
      </c>
      <c r="D77"/>
      <c r="E77" s="3">
        <f>SUM(E75:E76)</f>
        <v>17415.719051021882</v>
      </c>
      <c r="F77" s="3">
        <f>SUM(F75:F76)</f>
        <v>847968.81322335871</v>
      </c>
      <c r="G77" s="3">
        <f>SUM(G75:G76)</f>
        <v>503985.02014988364</v>
      </c>
      <c r="H77" s="3">
        <f>SUM(H75:H76)</f>
        <v>16233.794011273912</v>
      </c>
      <c r="I77" s="3">
        <f>SUM(I75:I76)</f>
        <v>9283.7955868684476</v>
      </c>
      <c r="J77" s="3">
        <f>SUM(E77:I77)</f>
        <v>1394887.1420224064</v>
      </c>
      <c r="K77" s="3"/>
      <c r="L77" s="3"/>
    </row>
    <row r="81" spans="1:31" x14ac:dyDescent="0.6">
      <c r="A81" s="18" t="s">
        <v>255</v>
      </c>
      <c r="B81" s="163" t="s">
        <v>357</v>
      </c>
      <c r="C81" s="20"/>
      <c r="E81" s="17"/>
    </row>
    <row r="82" spans="1:31" x14ac:dyDescent="0.6">
      <c r="A82" s="22"/>
      <c r="B82" s="13" t="s">
        <v>237</v>
      </c>
      <c r="C82" s="23"/>
      <c r="D82" s="23"/>
    </row>
    <row r="83" spans="1:31" x14ac:dyDescent="0.6">
      <c r="A83" s="22"/>
    </row>
    <row r="84" spans="1:31" x14ac:dyDescent="0.6">
      <c r="A84" s="22"/>
      <c r="B84" t="s">
        <v>134</v>
      </c>
      <c r="C84"/>
      <c r="D84"/>
      <c r="E84" s="26" t="s">
        <v>61</v>
      </c>
      <c r="F84" s="26" t="s">
        <v>62</v>
      </c>
      <c r="G84" s="26" t="s">
        <v>65</v>
      </c>
      <c r="H84" s="26" t="s">
        <v>203</v>
      </c>
      <c r="I84" s="26" t="s">
        <v>55</v>
      </c>
      <c r="J84"/>
      <c r="K84"/>
      <c r="L84"/>
    </row>
    <row r="85" spans="1:31" x14ac:dyDescent="0.6">
      <c r="A85" s="22"/>
      <c r="B85" s="28" t="s">
        <v>17</v>
      </c>
      <c r="C85" s="149"/>
      <c r="D85" s="149"/>
      <c r="E85" s="149">
        <f>(E11*$F$7+E32*$F$28+E64*$F$60)/($F$7+$F$28+$F$60)</f>
        <v>158.86539455820457</v>
      </c>
      <c r="F85" s="149"/>
      <c r="G85" s="149">
        <f>(G11*$F$7+G32*$F$28+G64*$F$60)/($F$7+$F$28+$F$60)</f>
        <v>158222.31649841517</v>
      </c>
      <c r="H85" s="144"/>
      <c r="I85" s="149">
        <f>(I11*$F$7+I32*$F$28+I64*$F$60)/($F$7+$F$28+$F$60)</f>
        <v>2392.1519528603972</v>
      </c>
      <c r="J85" s="149"/>
      <c r="K85" s="149"/>
      <c r="L85" s="149"/>
    </row>
    <row r="86" spans="1:31" x14ac:dyDescent="0.6">
      <c r="A86" s="22"/>
      <c r="B86" s="77" t="s">
        <v>72</v>
      </c>
      <c r="C86" s="149"/>
      <c r="D86" s="149"/>
      <c r="E86" s="149">
        <f>(E12*$F$7+E33*$F$28+E65*$F$60)/($F$7+$F$28+$F$60)</f>
        <v>2520.2609536671584</v>
      </c>
      <c r="F86" s="149"/>
      <c r="G86" s="149"/>
      <c r="H86" s="149">
        <f>(H12*$F$7+H33*$F$28+H65*$F$60)/($F$7+$F$28+$F$60)</f>
        <v>2533.4686057941467</v>
      </c>
      <c r="I86" s="149"/>
      <c r="J86" s="149"/>
      <c r="K86" s="149"/>
      <c r="L86" s="149"/>
    </row>
    <row r="87" spans="1:31" x14ac:dyDescent="0.6">
      <c r="A87" s="22"/>
      <c r="B87" s="77" t="s">
        <v>73</v>
      </c>
      <c r="C87" s="149"/>
      <c r="D87" s="149"/>
      <c r="E87" s="149">
        <f>(E13*$F$7+E34*$F$28+E66*$F$60)/($F$7+$F$28+$F$60)</f>
        <v>2103.3152789620649</v>
      </c>
      <c r="F87" s="149"/>
      <c r="G87" s="149"/>
      <c r="H87" s="149">
        <f>(H13*$F$7+H34*$F$28+H66*$F$60)/($F$7+$F$28+$F$60)</f>
        <v>2069.4710840358584</v>
      </c>
      <c r="I87" s="149"/>
      <c r="J87" s="149"/>
      <c r="K87" s="149"/>
      <c r="L87" s="149"/>
      <c r="O87" s="47"/>
      <c r="P87" s="47"/>
      <c r="Q87" s="44"/>
      <c r="R87" s="44"/>
      <c r="S87" s="44"/>
      <c r="T87" s="47"/>
      <c r="U87" s="47"/>
      <c r="V87" s="44"/>
      <c r="W87" s="44"/>
      <c r="X87" s="44"/>
      <c r="Y87" s="47"/>
      <c r="Z87" s="47"/>
      <c r="AA87" s="44"/>
      <c r="AB87" s="44"/>
      <c r="AC87" s="44"/>
      <c r="AD87" s="47"/>
      <c r="AE87" s="47"/>
    </row>
    <row r="88" spans="1:31" x14ac:dyDescent="0.6">
      <c r="A88" s="22"/>
      <c r="B88" s="89" t="s">
        <v>142</v>
      </c>
      <c r="C88" s="149"/>
      <c r="D88" s="149"/>
      <c r="E88" s="149"/>
      <c r="F88" s="149">
        <f>(F14*$F$7+F35*$F$28+F67*$F$60)/($F$7+$F$28+$F$60)</f>
        <v>147224.39190531796</v>
      </c>
      <c r="G88" s="149"/>
      <c r="H88" s="144"/>
      <c r="I88" s="149"/>
      <c r="J88" s="149"/>
      <c r="K88" s="149"/>
      <c r="L88" s="149"/>
      <c r="O88" s="47"/>
      <c r="P88" s="47"/>
      <c r="Q88" s="47"/>
      <c r="R88" s="47"/>
      <c r="S88" s="47"/>
      <c r="T88" s="47"/>
      <c r="U88" s="47"/>
      <c r="V88" s="377"/>
      <c r="W88" s="377"/>
      <c r="X88" s="377"/>
      <c r="Y88" s="47"/>
      <c r="Z88" s="47"/>
      <c r="AA88" s="377"/>
      <c r="AB88" s="377"/>
      <c r="AC88" s="377"/>
      <c r="AD88" s="47"/>
      <c r="AE88" s="47"/>
    </row>
    <row r="89" spans="1:31" x14ac:dyDescent="0.6">
      <c r="A89" s="22"/>
      <c r="B89" s="89" t="s">
        <v>144</v>
      </c>
      <c r="C89" s="149"/>
      <c r="D89" s="149"/>
      <c r="E89" s="149"/>
      <c r="F89" s="149">
        <f>(F15*$F$7+F36*$F$28+F68*$F$60)/($F$7+$F$28+$F$60)</f>
        <v>149905.29643674893</v>
      </c>
      <c r="G89" s="149"/>
      <c r="H89" s="144"/>
      <c r="I89" s="149"/>
      <c r="J89" s="149"/>
      <c r="K89" s="149"/>
      <c r="L89" s="149"/>
      <c r="O89" s="163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x14ac:dyDescent="0.6">
      <c r="A90" s="22"/>
      <c r="C90" s="149"/>
      <c r="D90" s="149"/>
      <c r="E90" s="149"/>
      <c r="F90" s="149"/>
      <c r="G90" s="149"/>
      <c r="H90" s="144"/>
      <c r="I90" s="149"/>
      <c r="J90" s="149"/>
      <c r="K90" s="149"/>
      <c r="L90" s="149"/>
      <c r="O90" s="398"/>
      <c r="P90" s="47"/>
      <c r="Q90" s="382"/>
      <c r="R90" s="382"/>
      <c r="S90" s="382"/>
      <c r="T90" s="382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x14ac:dyDescent="0.6">
      <c r="A91" s="22"/>
      <c r="B91" s="28" t="s">
        <v>18</v>
      </c>
      <c r="C91" s="149"/>
      <c r="D91" s="149"/>
      <c r="E91" s="149">
        <f>(E17*$F$7+E38*$F$28+E70*$F$60)/($F$7+$F$28+$F$60)</f>
        <v>386.68328240136253</v>
      </c>
      <c r="F91" s="149">
        <f>(F17*$F$7+F38*$F$28+F70*$F$60)/($F$7+$F$28+$F$60)</f>
        <v>431807.7376669083</v>
      </c>
      <c r="G91" s="149">
        <f>(G17*$F$7+G38*$F$28+G70*$F$60)/($F$7+$F$28+$F$60)</f>
        <v>264792.07882861665</v>
      </c>
      <c r="I91" s="149">
        <f>(I17*$F$7+I38*$F$28+I70*$F$60)/($F$7+$F$28+$F$60)</f>
        <v>4804.0863625271077</v>
      </c>
      <c r="J91" s="149"/>
      <c r="K91" s="149"/>
      <c r="L91" s="149"/>
      <c r="O91" s="398"/>
      <c r="P91" s="47"/>
      <c r="Q91" s="382"/>
      <c r="R91" s="382"/>
      <c r="S91" s="382"/>
      <c r="T91" s="382"/>
      <c r="U91" s="47"/>
      <c r="V91" s="163"/>
      <c r="W91" s="47"/>
      <c r="X91" s="47"/>
      <c r="Y91" s="47"/>
      <c r="Z91" s="47"/>
      <c r="AA91" s="163"/>
      <c r="AB91" s="47"/>
      <c r="AC91" s="47"/>
      <c r="AD91" s="47"/>
      <c r="AE91" s="47"/>
    </row>
    <row r="92" spans="1:31" x14ac:dyDescent="0.6">
      <c r="A92" s="22"/>
      <c r="B92" s="77" t="s">
        <v>72</v>
      </c>
      <c r="C92" s="149"/>
      <c r="D92" s="149"/>
      <c r="E92" s="149">
        <f>(E18*$F$7+E39*$F$28+E71*$F$60)/($F$7+$F$28+$F$60)</f>
        <v>4285.3615531599326</v>
      </c>
      <c r="F92" s="3"/>
      <c r="G92" s="3"/>
      <c r="H92" s="149">
        <f>(H18*$F$7+H39*$F$28+H71*$F$60)/($F$7+$F$28+$F$60)</f>
        <v>4292.9595148911949</v>
      </c>
      <c r="I92" s="3"/>
      <c r="J92" s="149"/>
      <c r="K92" s="149"/>
      <c r="L92" s="149"/>
      <c r="Q92" s="26"/>
      <c r="R92" s="26"/>
      <c r="S92" s="26"/>
      <c r="U92" s="47"/>
      <c r="V92" s="44"/>
      <c r="W92" s="44"/>
      <c r="X92" s="44"/>
      <c r="Y92" s="47"/>
      <c r="Z92" s="47"/>
      <c r="AA92" s="44"/>
      <c r="AB92" s="44"/>
      <c r="AC92" s="44"/>
      <c r="AD92" s="47"/>
      <c r="AE92" s="47"/>
    </row>
    <row r="93" spans="1:31" x14ac:dyDescent="0.6">
      <c r="A93" s="22"/>
      <c r="B93" s="77" t="s">
        <v>73</v>
      </c>
      <c r="C93" s="3"/>
      <c r="D93" s="3"/>
      <c r="E93" s="149">
        <f>(E19*$F$7+E40*$F$28+E72*$F$60)/($F$7+$F$28+$F$60)</f>
        <v>4940.7580083102685</v>
      </c>
      <c r="H93" s="149">
        <f>(H19*$F$7+H40*$F$28+H72*$F$60)/($F$7+$F$28+$F$60)</f>
        <v>4262.6861827650264</v>
      </c>
      <c r="J93" s="149"/>
      <c r="K93" s="149"/>
      <c r="L93" s="149"/>
      <c r="P93" s="346"/>
      <c r="Q93" s="55"/>
      <c r="R93" s="55"/>
      <c r="S93" s="55"/>
      <c r="U93" s="47"/>
      <c r="V93" s="378"/>
      <c r="W93" s="378"/>
      <c r="X93" s="378"/>
      <c r="Y93" s="379"/>
      <c r="Z93" s="47"/>
      <c r="AA93" s="380"/>
      <c r="AB93" s="380"/>
      <c r="AC93" s="380"/>
      <c r="AD93" s="379"/>
      <c r="AE93" s="47"/>
    </row>
    <row r="94" spans="1:31" x14ac:dyDescent="0.6">
      <c r="A94" s="22"/>
      <c r="B94" s="5"/>
      <c r="C94"/>
      <c r="D94"/>
      <c r="E94"/>
      <c r="F94"/>
      <c r="G94"/>
      <c r="H94"/>
      <c r="I94"/>
      <c r="J94"/>
      <c r="K94"/>
      <c r="L94"/>
      <c r="R94" s="47"/>
      <c r="S94" s="47"/>
      <c r="T94" s="53"/>
      <c r="U94" s="47"/>
      <c r="V94" s="47"/>
      <c r="W94" s="47"/>
      <c r="X94" s="381"/>
      <c r="Y94" s="381"/>
      <c r="Z94" s="47"/>
      <c r="AA94" s="47"/>
      <c r="AB94" s="47"/>
      <c r="AC94" s="47"/>
      <c r="AD94" s="381"/>
      <c r="AE94" s="47"/>
    </row>
    <row r="95" spans="1:31" x14ac:dyDescent="0.6">
      <c r="A95" s="22"/>
      <c r="B95" t="s">
        <v>135</v>
      </c>
      <c r="C95"/>
      <c r="D95"/>
      <c r="E95"/>
      <c r="F95"/>
      <c r="G95"/>
      <c r="H95"/>
      <c r="I95"/>
      <c r="J95"/>
      <c r="K95"/>
      <c r="L95"/>
      <c r="P95" s="360"/>
      <c r="R95" s="398"/>
      <c r="S95" s="47"/>
      <c r="T95" s="382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x14ac:dyDescent="0.6">
      <c r="A96" s="22"/>
      <c r="B96" s="5" t="s">
        <v>25</v>
      </c>
      <c r="D96"/>
      <c r="E96" s="3">
        <f>SUM(E85:E89)</f>
        <v>4782.4416271874279</v>
      </c>
      <c r="F96" s="3">
        <f>SUM(F85:F89)</f>
        <v>297129.68834206689</v>
      </c>
      <c r="G96" s="3">
        <f>SUM(G85:G89)</f>
        <v>158222.31649841517</v>
      </c>
      <c r="H96" s="3">
        <f>SUM(H85:H89)</f>
        <v>4602.9396898300056</v>
      </c>
      <c r="I96" s="3">
        <f>SUM(I85:I89)</f>
        <v>2392.1519528603972</v>
      </c>
      <c r="J96" s="151">
        <f>SUM(E96:I96)</f>
        <v>467129.53811035986</v>
      </c>
      <c r="K96" s="151"/>
      <c r="L96" s="151"/>
      <c r="P96" s="360"/>
      <c r="R96" s="398"/>
      <c r="S96" s="47"/>
      <c r="T96" s="382"/>
      <c r="U96" s="361"/>
      <c r="V96" s="47"/>
      <c r="W96" s="47"/>
      <c r="X96" s="47"/>
      <c r="Y96" s="47"/>
      <c r="Z96" s="361"/>
      <c r="AA96" s="47"/>
      <c r="AB96" s="47"/>
      <c r="AC96" s="47"/>
      <c r="AD96" s="47"/>
      <c r="AE96" s="47"/>
    </row>
    <row r="97" spans="1:31" x14ac:dyDescent="0.6">
      <c r="A97" s="22"/>
      <c r="B97" s="5" t="s">
        <v>26</v>
      </c>
      <c r="D97"/>
      <c r="E97" s="3">
        <f>SUM(E91:E93)</f>
        <v>9612.8028438715628</v>
      </c>
      <c r="F97" s="3">
        <f>SUM(F91:F93)</f>
        <v>431807.7376669083</v>
      </c>
      <c r="G97" s="3">
        <f>SUM(G91:G93)</f>
        <v>264792.07882861665</v>
      </c>
      <c r="H97" s="3">
        <f>SUM(H91:H93)</f>
        <v>8555.6456976562222</v>
      </c>
      <c r="I97" s="3">
        <f>SUM(I91:I93)</f>
        <v>4804.0863625271077</v>
      </c>
      <c r="J97" s="151">
        <f>SUM(E97:I97)</f>
        <v>719572.35139957978</v>
      </c>
      <c r="K97" s="151"/>
      <c r="L97" s="151"/>
      <c r="P97" s="307"/>
      <c r="Q97" s="269"/>
      <c r="R97" s="269"/>
      <c r="S97" s="269"/>
      <c r="U97" s="351"/>
      <c r="V97" s="382"/>
      <c r="W97" s="382"/>
      <c r="X97" s="382"/>
      <c r="Y97" s="47"/>
      <c r="Z97" s="351"/>
      <c r="AA97" s="382"/>
      <c r="AB97" s="382"/>
      <c r="AC97" s="382"/>
      <c r="AD97" s="47"/>
      <c r="AE97" s="47"/>
    </row>
    <row r="98" spans="1:31" x14ac:dyDescent="0.6">
      <c r="A98" s="18"/>
      <c r="B98" s="5" t="s">
        <v>13</v>
      </c>
      <c r="D98"/>
      <c r="E98" s="3">
        <f>SUM(E96:E97)</f>
        <v>14395.244471058992</v>
      </c>
      <c r="F98" s="3">
        <f>SUM(F96:F97)</f>
        <v>728937.42600897513</v>
      </c>
      <c r="G98" s="3">
        <f>SUM(G96:G97)</f>
        <v>423014.39532703185</v>
      </c>
      <c r="H98" s="3">
        <f>SUM(H96:H97)</f>
        <v>13158.585387486228</v>
      </c>
      <c r="I98" s="3">
        <f>SUM(I96:I97)</f>
        <v>7196.2383153875053</v>
      </c>
      <c r="J98" s="3">
        <f>SUM(E98:I98)</f>
        <v>1186701.8895099396</v>
      </c>
      <c r="K98" s="3"/>
      <c r="L98" s="3"/>
      <c r="P98" s="307"/>
      <c r="Q98" s="269"/>
      <c r="R98" s="269"/>
      <c r="S98" s="269"/>
      <c r="U98" s="351"/>
      <c r="V98" s="382"/>
      <c r="W98" s="382"/>
      <c r="X98" s="382"/>
      <c r="Y98" s="47"/>
      <c r="Z98" s="351"/>
      <c r="AA98" s="382"/>
      <c r="AB98" s="382"/>
      <c r="AC98" s="382"/>
      <c r="AD98" s="47"/>
      <c r="AE98" s="47"/>
    </row>
    <row r="99" spans="1:31" x14ac:dyDescent="0.6">
      <c r="B99" s="282"/>
      <c r="U99" s="19"/>
      <c r="V99" s="47"/>
      <c r="W99" s="47"/>
      <c r="X99" s="47"/>
      <c r="Y99" s="47"/>
      <c r="Z99" s="19"/>
      <c r="AA99" s="47"/>
      <c r="AB99" s="47"/>
      <c r="AC99" s="47"/>
      <c r="AD99" s="47"/>
      <c r="AE99" s="47"/>
    </row>
    <row r="100" spans="1:31" ht="15.5" x14ac:dyDescent="0.7">
      <c r="B100" s="578" t="s">
        <v>69</v>
      </c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P100" s="307"/>
      <c r="Q100" s="26"/>
      <c r="R100" s="26"/>
      <c r="S100" s="26"/>
      <c r="U100" s="44"/>
      <c r="V100" s="44"/>
      <c r="W100" s="44"/>
      <c r="X100" s="44"/>
      <c r="Y100" s="47"/>
      <c r="Z100" s="44"/>
      <c r="AA100" s="44"/>
      <c r="AB100" s="44"/>
      <c r="AC100" s="44"/>
      <c r="AD100" s="47"/>
      <c r="AE100" s="47"/>
    </row>
    <row r="101" spans="1:31" ht="15.5" x14ac:dyDescent="0.7">
      <c r="B101" s="578" t="s">
        <v>187</v>
      </c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P101" s="346"/>
      <c r="Q101" s="349"/>
      <c r="R101" s="349"/>
      <c r="S101" s="349"/>
      <c r="T101" s="347"/>
      <c r="U101" s="396"/>
      <c r="V101" s="383"/>
      <c r="W101" s="383"/>
      <c r="X101" s="383"/>
      <c r="Y101" s="384"/>
      <c r="Z101" s="396"/>
      <c r="AA101" s="383"/>
      <c r="AB101" s="383"/>
      <c r="AC101" s="383"/>
      <c r="AD101" s="384"/>
      <c r="AE101" s="47"/>
    </row>
    <row r="102" spans="1:31" ht="14.5" hidden="1" customHeight="1" x14ac:dyDescent="0.7">
      <c r="B102" s="578"/>
      <c r="C102" s="578"/>
      <c r="D102" s="578"/>
      <c r="E102" s="578"/>
      <c r="F102" s="578"/>
      <c r="G102" s="578"/>
      <c r="H102" s="578"/>
      <c r="I102" s="578"/>
      <c r="J102" s="578"/>
      <c r="K102" s="578"/>
      <c r="L102" s="578"/>
      <c r="M102" s="578"/>
      <c r="N102" s="578"/>
      <c r="P102" s="358"/>
      <c r="Q102" s="557"/>
      <c r="R102" s="557"/>
      <c r="S102" s="557"/>
      <c r="T102" s="384"/>
      <c r="U102" s="396"/>
      <c r="V102" s="383"/>
      <c r="W102" s="383"/>
      <c r="X102" s="383"/>
      <c r="Y102" s="384"/>
      <c r="Z102" s="396"/>
      <c r="AA102" s="383"/>
      <c r="AB102" s="383"/>
      <c r="AC102" s="383"/>
      <c r="AD102" s="384"/>
      <c r="AE102" s="47"/>
    </row>
    <row r="103" spans="1:31" hidden="1" x14ac:dyDescent="0.6">
      <c r="N103" s="120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hidden="1" x14ac:dyDescent="0.6">
      <c r="P104" s="358"/>
      <c r="Q104" s="382"/>
      <c r="R104" s="382"/>
      <c r="S104" s="382"/>
      <c r="T104" s="47"/>
      <c r="U104" s="47"/>
      <c r="V104" s="385"/>
      <c r="W104" s="385"/>
      <c r="X104" s="385"/>
      <c r="Y104" s="47"/>
      <c r="Z104" s="47"/>
      <c r="AA104" s="386"/>
      <c r="AB104" s="386"/>
      <c r="AC104" s="386"/>
      <c r="AD104" s="47"/>
      <c r="AE104" s="47"/>
    </row>
    <row r="105" spans="1:31" x14ac:dyDescent="0.6">
      <c r="E105" s="17"/>
      <c r="O105" s="19"/>
      <c r="P105" s="163"/>
      <c r="Q105" s="399"/>
      <c r="R105" s="399"/>
      <c r="S105" s="399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x14ac:dyDescent="0.6">
      <c r="A106" s="18" t="s">
        <v>256</v>
      </c>
      <c r="B106" s="163" t="s">
        <v>238</v>
      </c>
      <c r="C106" s="20"/>
      <c r="E106" s="165"/>
      <c r="F106" s="38"/>
      <c r="P106" s="358"/>
      <c r="Q106" s="393"/>
      <c r="R106" s="393"/>
      <c r="S106" s="393"/>
      <c r="T106" s="558"/>
      <c r="U106" s="47"/>
      <c r="V106" s="531"/>
      <c r="W106" s="531"/>
      <c r="X106" s="531"/>
      <c r="Y106" s="532"/>
      <c r="Z106" s="47"/>
      <c r="AA106" s="386"/>
      <c r="AB106" s="386"/>
      <c r="AC106" s="386"/>
      <c r="AD106" s="351"/>
      <c r="AE106" s="47"/>
    </row>
    <row r="107" spans="1:31" x14ac:dyDescent="0.6">
      <c r="B107" s="17" t="s">
        <v>376</v>
      </c>
      <c r="P107" s="358"/>
      <c r="Q107" s="384"/>
      <c r="R107" s="384"/>
      <c r="S107" s="384"/>
      <c r="T107" s="47"/>
      <c r="U107" s="47"/>
      <c r="V107" s="47"/>
      <c r="W107" s="47"/>
      <c r="X107" s="47"/>
      <c r="Y107" s="47"/>
      <c r="Z107" s="47"/>
      <c r="AA107" s="384"/>
      <c r="AB107" s="384"/>
      <c r="AC107" s="384"/>
      <c r="AD107" s="47"/>
      <c r="AE107" s="47"/>
    </row>
    <row r="108" spans="1:31" x14ac:dyDescent="0.6">
      <c r="E108" s="26" t="s">
        <v>61</v>
      </c>
      <c r="F108" s="26" t="s">
        <v>62</v>
      </c>
      <c r="G108" s="26" t="s">
        <v>65</v>
      </c>
      <c r="H108" s="26" t="s">
        <v>203</v>
      </c>
      <c r="I108" s="26" t="s">
        <v>55</v>
      </c>
      <c r="P108" s="559"/>
      <c r="Q108" s="560"/>
      <c r="R108" s="560"/>
      <c r="S108" s="560"/>
      <c r="T108" s="351"/>
      <c r="U108" s="47"/>
      <c r="V108" s="131"/>
      <c r="W108" s="131"/>
      <c r="X108" s="131"/>
      <c r="Y108" s="47"/>
      <c r="Z108" s="47"/>
      <c r="AA108" s="131"/>
      <c r="AB108" s="131"/>
      <c r="AC108" s="131"/>
      <c r="AD108" s="47"/>
      <c r="AE108" s="47"/>
    </row>
    <row r="109" spans="1:31" ht="5.5" customHeight="1" x14ac:dyDescent="0.6">
      <c r="P109" s="559"/>
      <c r="Q109" s="561"/>
      <c r="R109" s="561"/>
      <c r="S109" s="561"/>
      <c r="T109" s="387"/>
      <c r="U109" s="387"/>
      <c r="V109" s="388"/>
      <c r="W109" s="489"/>
      <c r="X109" s="489"/>
      <c r="Y109" s="489"/>
      <c r="Z109" s="351"/>
      <c r="AA109" s="388"/>
      <c r="AB109" s="388"/>
      <c r="AC109" s="388"/>
      <c r="AD109" s="351"/>
      <c r="AE109" s="47"/>
    </row>
    <row r="110" spans="1:31" x14ac:dyDescent="0.6">
      <c r="B110" s="28" t="s">
        <v>17</v>
      </c>
      <c r="E110" s="55">
        <f>SUM('BGS PTY21 Cost Alloc'!W65:W68)</f>
        <v>2152065.5431923</v>
      </c>
      <c r="G110" s="55">
        <f>SUM('BGS PTY21 Cost Alloc'!G65:G68)*1000</f>
        <v>2131270000</v>
      </c>
      <c r="I110" s="55">
        <f>SUM('BGS PTY21 Cost Alloc'!I65:I68)*1000</f>
        <v>39005000</v>
      </c>
      <c r="P110" s="358"/>
      <c r="Q110" s="562"/>
      <c r="R110" s="562"/>
      <c r="S110" s="562"/>
      <c r="T110" s="351"/>
      <c r="U110" s="358"/>
      <c r="V110" s="389"/>
      <c r="W110" s="490"/>
      <c r="X110" s="490"/>
      <c r="Y110" s="47"/>
      <c r="Z110" s="351"/>
      <c r="AA110" s="389"/>
      <c r="AB110" s="389"/>
      <c r="AC110" s="389"/>
      <c r="AD110" s="47"/>
      <c r="AE110" s="47"/>
    </row>
    <row r="111" spans="1:31" x14ac:dyDescent="0.6">
      <c r="B111" s="77" t="s">
        <v>72</v>
      </c>
      <c r="E111" s="55">
        <f>ROUND(SUMPRODUCT('BGS PTY21 Cost Alloc'!E65:E68,'BGS PTY21 Cost Alloc'!E38:E41)*1000-AVERAGE('BGS PTY21 Cost Alloc'!E38:E41)*E110,0)</f>
        <v>26158679</v>
      </c>
      <c r="H111" s="55">
        <f>SUMPRODUCT('BGS PTY21 Cost Alloc'!H65:H68,'BGS PTY21 Cost Alloc'!H38:H41)*1000</f>
        <v>29265169.300000001</v>
      </c>
      <c r="O111" s="55"/>
      <c r="P111" s="358"/>
      <c r="Q111" s="563"/>
      <c r="R111" s="563"/>
      <c r="S111" s="563"/>
      <c r="T111" s="47"/>
      <c r="U111" s="358"/>
      <c r="V111" s="389"/>
      <c r="W111" s="389"/>
      <c r="X111" s="389"/>
      <c r="Y111" s="47"/>
      <c r="Z111" s="47"/>
      <c r="AA111" s="389"/>
      <c r="AB111" s="389"/>
      <c r="AC111" s="389"/>
      <c r="AD111" s="47"/>
      <c r="AE111" s="47"/>
    </row>
    <row r="112" spans="1:31" x14ac:dyDescent="0.6">
      <c r="B112" s="77" t="s">
        <v>73</v>
      </c>
      <c r="E112" s="55">
        <f>ROUND(SUM('BGS PTY21 Cost Alloc'!E65:E68)*1000,0)-E110-E111</f>
        <v>36474255.456807703</v>
      </c>
      <c r="H112" s="55">
        <f>SUM('BGS PTY21 Cost Alloc'!H65:H68)*1000-H111</f>
        <v>35728830.700000003</v>
      </c>
      <c r="P112" s="358"/>
      <c r="Q112" s="390"/>
      <c r="R112" s="390"/>
      <c r="S112" s="390"/>
      <c r="T112" s="564"/>
      <c r="U112" s="47"/>
      <c r="V112" s="390"/>
      <c r="W112" s="390"/>
      <c r="X112" s="390"/>
      <c r="Y112" s="47"/>
      <c r="Z112" s="47"/>
      <c r="AA112" s="390"/>
      <c r="AB112" s="390"/>
      <c r="AC112" s="390"/>
      <c r="AD112" s="47"/>
      <c r="AE112" s="47"/>
    </row>
    <row r="113" spans="1:32" x14ac:dyDescent="0.6">
      <c r="B113" s="89" t="s">
        <v>142</v>
      </c>
      <c r="F113" s="55">
        <f>ROUND('BGS PTY21 Cost Alloc'!R65,0)*1000</f>
        <v>2074593000</v>
      </c>
      <c r="P113" s="358"/>
      <c r="Q113" s="391"/>
      <c r="R113" s="391"/>
      <c r="S113" s="391"/>
      <c r="T113" s="47"/>
      <c r="U113" s="47"/>
      <c r="V113" s="391"/>
      <c r="W113" s="391"/>
      <c r="X113" s="391"/>
      <c r="Y113" s="47"/>
      <c r="Z113" s="47"/>
      <c r="AA113" s="391"/>
      <c r="AB113" s="391"/>
      <c r="AC113" s="391"/>
      <c r="AD113" s="47"/>
      <c r="AE113" s="47"/>
    </row>
    <row r="114" spans="1:32" x14ac:dyDescent="0.6">
      <c r="B114" s="89" t="s">
        <v>144</v>
      </c>
      <c r="F114" s="55">
        <f>ROUND('BGS PTY21 Cost Alloc'!R66,0)*1000</f>
        <v>1882820000</v>
      </c>
      <c r="O114" s="19"/>
      <c r="P114" s="163"/>
      <c r="Q114" s="399"/>
      <c r="R114" s="399"/>
      <c r="S114" s="399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2" x14ac:dyDescent="0.6">
      <c r="O115" s="19"/>
      <c r="P115" s="163"/>
      <c r="Q115" s="399"/>
      <c r="R115" s="399"/>
      <c r="S115" s="399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2" x14ac:dyDescent="0.6">
      <c r="B116" s="28" t="s">
        <v>18</v>
      </c>
      <c r="E116" s="55">
        <f>'BGS PTY21 Cost Alloc'!W72-E110</f>
        <v>5274004.6993009001</v>
      </c>
      <c r="F116" s="55">
        <f>ROUND('BGS PTY21 Cost Alloc'!F72,0)*1000-SUM(F113:F114)</f>
        <v>5535444000</v>
      </c>
      <c r="G116" s="55">
        <f>'BGS PTY21 Cost Alloc'!G72*1000-G110</f>
        <v>3591474000</v>
      </c>
      <c r="I116" s="55">
        <f>'BGS PTY21 Cost Alloc'!I72*1000-'Composite Cost Allocation'!I110</f>
        <v>78007000</v>
      </c>
      <c r="P116" s="358"/>
      <c r="Q116" s="382"/>
      <c r="R116" s="382"/>
      <c r="S116" s="382"/>
      <c r="T116" s="392"/>
      <c r="U116" s="392"/>
      <c r="V116" s="393"/>
      <c r="W116" s="393"/>
      <c r="X116" s="393"/>
      <c r="Y116" s="47"/>
      <c r="Z116" s="47"/>
      <c r="AA116" s="393"/>
      <c r="AB116" s="393"/>
      <c r="AC116" s="393"/>
      <c r="AD116" s="47"/>
      <c r="AE116" s="47"/>
    </row>
    <row r="117" spans="1:32" x14ac:dyDescent="0.6">
      <c r="B117" s="77" t="s">
        <v>72</v>
      </c>
      <c r="E117" s="55">
        <f>SUMPRODUCT('BGS PTY21 Cost Alloc'!E60:E71,'BGS PTY21 Cost Alloc'!E33:E44)*1000-E111-SUMPRODUCT('BGS PTY21 Cost Alloc'!W60:W71,'BGS PTY21 Cost Alloc'!E33:E44)</f>
        <v>45337857.591087818</v>
      </c>
      <c r="H117" s="55">
        <f>SUMPRODUCT('BGS PTY21 Cost Alloc'!H60:H71,'BGS PTY21 Cost Alloc'!H33:H44)*1000-H111</f>
        <v>53031651.199999988</v>
      </c>
      <c r="P117" s="358"/>
      <c r="Q117" s="382"/>
      <c r="R117" s="382"/>
      <c r="S117" s="382"/>
      <c r="T117" s="392"/>
      <c r="U117" s="392"/>
      <c r="V117" s="393"/>
      <c r="W117" s="393"/>
      <c r="X117" s="393"/>
      <c r="Y117" s="47"/>
      <c r="Z117" s="394"/>
      <c r="AA117" s="393"/>
      <c r="AB117" s="393"/>
      <c r="AC117" s="393"/>
      <c r="AD117" s="47"/>
      <c r="AE117" s="47"/>
    </row>
    <row r="118" spans="1:32" x14ac:dyDescent="0.6">
      <c r="B118" s="77" t="s">
        <v>73</v>
      </c>
      <c r="E118" s="55">
        <f>'BGS PTY21 Cost Alloc'!E72*1000-E110-E111-E112-E116-E117</f>
        <v>80500137.709611282</v>
      </c>
      <c r="H118" s="55">
        <f>'BGS PTY21 Cost Alloc'!H72*1000-H111-H112-H117</f>
        <v>71014348.799999997</v>
      </c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394"/>
      <c r="AA118" s="394"/>
      <c r="AB118" s="394"/>
      <c r="AC118" s="394"/>
      <c r="AD118" s="394"/>
      <c r="AE118" s="394"/>
    </row>
    <row r="119" spans="1:32" x14ac:dyDescent="0.6">
      <c r="J119" s="26" t="s">
        <v>13</v>
      </c>
      <c r="K119" s="26"/>
      <c r="L119" s="26"/>
      <c r="P119" s="47"/>
      <c r="Q119" s="47"/>
      <c r="R119" s="47"/>
      <c r="S119" s="47"/>
      <c r="T119" s="47"/>
      <c r="U119" s="47"/>
      <c r="V119" s="351"/>
      <c r="W119" s="47"/>
      <c r="X119" s="47"/>
      <c r="Y119" s="47"/>
      <c r="Z119" s="394"/>
      <c r="AA119" s="394"/>
      <c r="AB119" s="394"/>
      <c r="AC119" s="394"/>
      <c r="AD119" s="394"/>
      <c r="AE119" s="394"/>
    </row>
    <row r="120" spans="1:32" x14ac:dyDescent="0.6">
      <c r="B120" s="89" t="s">
        <v>162</v>
      </c>
      <c r="E120" s="55">
        <f>SUM(E110:E114)</f>
        <v>64785000</v>
      </c>
      <c r="F120" s="55">
        <f>SUM(F110:F114)</f>
        <v>3957413000</v>
      </c>
      <c r="G120" s="55">
        <f>SUM(G110:G114)</f>
        <v>2131270000</v>
      </c>
      <c r="H120" s="55">
        <f>SUM(H110:H114)</f>
        <v>64994000</v>
      </c>
      <c r="I120" s="55">
        <f>SUM(I110:I114)</f>
        <v>39005000</v>
      </c>
      <c r="J120" s="55">
        <f>SUM(E120:I120)</f>
        <v>6257467000</v>
      </c>
      <c r="K120" s="55"/>
      <c r="L120" s="55"/>
      <c r="P120" s="47"/>
      <c r="Q120" s="565"/>
      <c r="R120" s="564"/>
      <c r="S120" s="47"/>
      <c r="T120" s="47"/>
      <c r="U120" s="47"/>
      <c r="V120" s="351"/>
      <c r="W120" s="397"/>
      <c r="X120" s="47"/>
      <c r="Y120" s="47"/>
      <c r="Z120" s="394"/>
      <c r="AA120" s="394"/>
      <c r="AB120" s="394"/>
      <c r="AC120" s="394"/>
      <c r="AD120" s="394"/>
      <c r="AE120" s="394"/>
    </row>
    <row r="121" spans="1:32" x14ac:dyDescent="0.6">
      <c r="B121" s="89" t="s">
        <v>163</v>
      </c>
      <c r="E121" s="138">
        <f>SUM(E116:E118)</f>
        <v>131112000</v>
      </c>
      <c r="F121" s="138">
        <f>SUM(F116:F118)</f>
        <v>5535444000</v>
      </c>
      <c r="G121" s="268">
        <f>SUM(G116:G118)</f>
        <v>3591474000</v>
      </c>
      <c r="H121" s="268">
        <f>SUM(H116:H118)</f>
        <v>124045999.99999999</v>
      </c>
      <c r="I121" s="268">
        <f>SUM(I116:I118)</f>
        <v>78007000</v>
      </c>
      <c r="J121" s="138">
        <f>SUM(E121:I121)</f>
        <v>9460083000</v>
      </c>
      <c r="K121" s="138"/>
      <c r="L121" s="138"/>
      <c r="P121" s="47"/>
      <c r="Q121" s="47"/>
      <c r="R121" s="47"/>
      <c r="S121" s="47"/>
      <c r="T121" s="47"/>
      <c r="U121" s="47"/>
      <c r="V121" s="351"/>
      <c r="W121" s="397"/>
      <c r="X121" s="47"/>
      <c r="Y121" s="47"/>
      <c r="Z121" s="47"/>
      <c r="AA121" s="394"/>
      <c r="AB121" s="394"/>
      <c r="AC121" s="394"/>
      <c r="AD121" s="394"/>
      <c r="AE121" s="394"/>
    </row>
    <row r="122" spans="1:32" x14ac:dyDescent="0.6">
      <c r="B122" s="89" t="s">
        <v>164</v>
      </c>
      <c r="E122" s="55">
        <f>SUM(E120:E121)</f>
        <v>195897000</v>
      </c>
      <c r="F122" s="55">
        <f>SUM(F120:F121)</f>
        <v>9492857000</v>
      </c>
      <c r="G122" s="55">
        <f>SUM(G120:G121)</f>
        <v>5722744000</v>
      </c>
      <c r="H122" s="55">
        <f>SUM(H120:H121)</f>
        <v>189040000</v>
      </c>
      <c r="I122" s="55">
        <f>SUM(I120:I121)</f>
        <v>117012000</v>
      </c>
      <c r="J122" s="55">
        <f>SUM(E122:I122)</f>
        <v>15717550000</v>
      </c>
      <c r="K122" s="55"/>
      <c r="L122" s="55"/>
      <c r="O122" s="362"/>
      <c r="P122" s="566" t="s">
        <v>311</v>
      </c>
      <c r="Q122" s="567">
        <v>0.99358144511556645</v>
      </c>
      <c r="R122" s="567">
        <v>0.99346866346078377</v>
      </c>
      <c r="S122" s="567">
        <v>0.99360851783843374</v>
      </c>
      <c r="T122" s="568" t="s">
        <v>315</v>
      </c>
      <c r="U122" s="395" t="s">
        <v>369</v>
      </c>
      <c r="V122" s="351"/>
      <c r="W122" s="382"/>
      <c r="X122" s="351" t="s">
        <v>251</v>
      </c>
      <c r="Y122" s="47"/>
      <c r="Z122" s="47"/>
      <c r="AA122" s="47"/>
      <c r="AB122" s="47"/>
      <c r="AC122" s="47"/>
      <c r="AD122" s="47"/>
      <c r="AE122" s="47"/>
      <c r="AF122" s="347"/>
    </row>
    <row r="123" spans="1:32" x14ac:dyDescent="0.6">
      <c r="P123" s="165"/>
      <c r="Q123" s="569"/>
      <c r="R123" s="384"/>
      <c r="S123" s="351"/>
      <c r="T123" s="47"/>
      <c r="U123" s="351"/>
      <c r="V123" s="53"/>
      <c r="W123" s="346"/>
      <c r="X123" s="530"/>
      <c r="Y123" s="350"/>
      <c r="AF123" s="347"/>
    </row>
    <row r="124" spans="1:32" hidden="1" x14ac:dyDescent="0.6">
      <c r="P124" s="47"/>
      <c r="Q124" s="47"/>
      <c r="R124" s="47"/>
      <c r="S124" s="47"/>
      <c r="T124" s="351"/>
      <c r="U124" s="351"/>
      <c r="V124" s="570"/>
      <c r="W124" s="346"/>
      <c r="X124" s="530"/>
      <c r="Y124" s="350"/>
      <c r="AF124" s="347"/>
    </row>
    <row r="125" spans="1:32" hidden="1" x14ac:dyDescent="0.6">
      <c r="P125" s="47"/>
      <c r="Q125" s="163"/>
      <c r="R125" s="47"/>
      <c r="S125" s="47"/>
      <c r="T125" s="47"/>
      <c r="U125" s="47"/>
      <c r="V125" s="384"/>
      <c r="X125" s="530"/>
    </row>
    <row r="126" spans="1:32" x14ac:dyDescent="0.6">
      <c r="A126" s="18" t="s">
        <v>257</v>
      </c>
      <c r="B126" s="16" t="s">
        <v>96</v>
      </c>
      <c r="P126" s="571"/>
      <c r="Q126" s="163"/>
      <c r="R126" s="47"/>
      <c r="S126" s="47"/>
      <c r="T126" s="47"/>
      <c r="U126" s="47"/>
      <c r="V126" s="47"/>
    </row>
    <row r="127" spans="1:32" x14ac:dyDescent="0.6">
      <c r="A127" s="22"/>
      <c r="B127" s="16"/>
      <c r="P127" s="572"/>
      <c r="Q127" s="163"/>
      <c r="R127" s="47"/>
      <c r="S127" s="47"/>
      <c r="T127" s="47"/>
      <c r="U127" s="47"/>
      <c r="V127" s="47"/>
    </row>
    <row r="128" spans="1:32" x14ac:dyDescent="0.6">
      <c r="A128" s="22"/>
      <c r="B128" s="16" t="s">
        <v>97</v>
      </c>
      <c r="P128" s="18"/>
      <c r="Q128" s="16"/>
    </row>
    <row r="129" spans="1:28" x14ac:dyDescent="0.6">
      <c r="A129" s="22"/>
      <c r="B129" s="17" t="s">
        <v>350</v>
      </c>
      <c r="P129" s="22"/>
      <c r="Q129" s="17"/>
    </row>
    <row r="130" spans="1:28" x14ac:dyDescent="0.6">
      <c r="A130" s="22"/>
      <c r="B130" s="17" t="s">
        <v>21</v>
      </c>
      <c r="P130" s="22"/>
      <c r="Q130" s="17"/>
    </row>
    <row r="131" spans="1:28" x14ac:dyDescent="0.6">
      <c r="A131" s="22"/>
      <c r="C131" s="26"/>
      <c r="D131" s="26"/>
      <c r="E131" s="26" t="str">
        <f>E108</f>
        <v>RT{1}</v>
      </c>
      <c r="F131" s="26" t="str">
        <f>F108</f>
        <v>RS{2}</v>
      </c>
      <c r="G131" s="26" t="str">
        <f>G108</f>
        <v>GS{3}</v>
      </c>
      <c r="H131" s="26" t="str">
        <f>H108</f>
        <v>GST {4}</v>
      </c>
      <c r="I131" s="26" t="str">
        <f>I108</f>
        <v>OL/SL</v>
      </c>
      <c r="J131" s="26"/>
      <c r="K131" s="26"/>
      <c r="L131" s="26"/>
      <c r="P131" s="22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8" ht="6" customHeight="1" x14ac:dyDescent="0.6">
      <c r="A132" s="22"/>
      <c r="C132" s="26"/>
      <c r="D132" s="26"/>
      <c r="E132" s="74"/>
      <c r="F132" s="26"/>
      <c r="G132" s="26"/>
      <c r="P132" s="22"/>
      <c r="R132" s="26"/>
      <c r="S132" s="26"/>
      <c r="T132" s="74"/>
      <c r="U132" s="26"/>
      <c r="V132" s="26"/>
      <c r="AA132" s="26"/>
    </row>
    <row r="133" spans="1:28" x14ac:dyDescent="0.6">
      <c r="A133" s="22"/>
      <c r="B133" s="28" t="s">
        <v>17</v>
      </c>
      <c r="C133" s="74"/>
      <c r="D133" s="74"/>
      <c r="E133" s="74">
        <f>E85*1000/(E110/1000)</f>
        <v>73.819961041962088</v>
      </c>
      <c r="F133" s="74"/>
      <c r="G133" s="80">
        <f>G85*1000/(G110/1000)*S122</f>
        <v>73.764019286600885</v>
      </c>
      <c r="H133" s="74"/>
      <c r="I133" s="74">
        <f>I85*1000/(I110/1000)</f>
        <v>61.329366821186959</v>
      </c>
      <c r="J133" s="74"/>
      <c r="K133" s="74"/>
      <c r="L133" s="74"/>
      <c r="M133" s="74"/>
      <c r="P133" s="22"/>
      <c r="Q133" s="28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8" x14ac:dyDescent="0.6">
      <c r="A134" s="22"/>
      <c r="B134" s="77" t="s">
        <v>72</v>
      </c>
      <c r="C134" s="74"/>
      <c r="D134" s="74"/>
      <c r="E134" s="74">
        <f>E86*1000/(E111/1000)*Q122</f>
        <v>95.726719243466036</v>
      </c>
      <c r="F134" s="74"/>
      <c r="G134" s="80"/>
      <c r="H134" s="74">
        <f>H86*1000/(H111/1000)</f>
        <v>86.569415670325427</v>
      </c>
      <c r="I134" s="74"/>
      <c r="J134" s="74"/>
      <c r="K134" s="74"/>
      <c r="L134" s="74"/>
      <c r="P134" s="22"/>
      <c r="Q134" s="77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x14ac:dyDescent="0.6">
      <c r="A135" s="22"/>
      <c r="B135" s="77" t="s">
        <v>73</v>
      </c>
      <c r="C135" s="74"/>
      <c r="D135" s="74"/>
      <c r="E135" s="74">
        <f>E87*1000/(E112/1000)*Q122</f>
        <v>57.29561873797558</v>
      </c>
      <c r="F135" s="74"/>
      <c r="G135" s="80"/>
      <c r="H135" s="74">
        <f>H87*1000/(H112/1000)</f>
        <v>57.921601224857831</v>
      </c>
      <c r="I135" s="74"/>
      <c r="J135" s="74"/>
      <c r="K135" s="74"/>
      <c r="L135" s="74"/>
      <c r="P135" s="22"/>
      <c r="Q135" s="77"/>
      <c r="R135" s="74"/>
      <c r="S135" s="74"/>
      <c r="T135" s="74"/>
      <c r="U135" s="74"/>
      <c r="V135" s="74"/>
      <c r="W135" s="74"/>
      <c r="X135" s="74"/>
      <c r="Y135" s="74"/>
      <c r="Z135" s="74"/>
      <c r="AA135" s="74"/>
    </row>
    <row r="136" spans="1:28" x14ac:dyDescent="0.6">
      <c r="A136" s="22"/>
      <c r="B136" s="89" t="s">
        <v>142</v>
      </c>
      <c r="C136" s="74"/>
      <c r="D136" s="74"/>
      <c r="E136" s="74"/>
      <c r="F136" s="74">
        <f>F88*1000/(F113/1000)*R122</f>
        <v>70.501934526436216</v>
      </c>
      <c r="G136" s="80"/>
      <c r="H136" s="74"/>
      <c r="I136" s="74"/>
      <c r="J136" s="74"/>
      <c r="K136" s="74"/>
      <c r="L136" s="74"/>
      <c r="P136" s="22"/>
      <c r="Q136" s="89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8" x14ac:dyDescent="0.6">
      <c r="A137" s="22"/>
      <c r="B137" s="89" t="s">
        <v>144</v>
      </c>
      <c r="C137" s="74"/>
      <c r="D137" s="74"/>
      <c r="E137" s="74"/>
      <c r="F137" s="74">
        <f>F89*1000/(F114/1000)*R122</f>
        <v>79.097425402698903</v>
      </c>
      <c r="G137" s="80"/>
      <c r="H137" s="74"/>
      <c r="I137" s="74"/>
      <c r="J137" s="74"/>
      <c r="K137" s="74"/>
      <c r="L137" s="74"/>
      <c r="P137" s="22"/>
      <c r="Q137" s="89"/>
      <c r="R137" s="74"/>
      <c r="S137" s="74"/>
      <c r="T137" s="74"/>
      <c r="U137" s="74"/>
      <c r="V137" s="119"/>
      <c r="W137" s="74"/>
      <c r="X137" s="74"/>
      <c r="Y137" s="74"/>
      <c r="Z137" s="74"/>
      <c r="AA137" s="74"/>
    </row>
    <row r="138" spans="1:28" ht="5" customHeight="1" x14ac:dyDescent="0.6">
      <c r="A138" s="22"/>
      <c r="C138" s="74"/>
      <c r="D138" s="74"/>
      <c r="E138" s="74"/>
      <c r="F138" s="74"/>
      <c r="G138" s="80"/>
      <c r="H138" s="74"/>
      <c r="I138" s="74"/>
      <c r="J138" s="74"/>
      <c r="K138" s="74"/>
      <c r="L138" s="74"/>
      <c r="P138" s="22"/>
      <c r="R138" s="74"/>
      <c r="S138" s="74"/>
      <c r="T138" s="74"/>
      <c r="U138" s="74"/>
      <c r="V138" s="74"/>
      <c r="W138" s="74"/>
      <c r="X138" s="74"/>
      <c r="Y138" s="74"/>
      <c r="Z138" s="74"/>
      <c r="AA138" s="74"/>
    </row>
    <row r="139" spans="1:28" x14ac:dyDescent="0.6">
      <c r="A139" s="22"/>
      <c r="B139" s="28" t="s">
        <v>18</v>
      </c>
      <c r="C139" s="74"/>
      <c r="D139" s="74"/>
      <c r="E139" s="74">
        <f>E91*1000/(E116/1000)</f>
        <v>73.318721625830108</v>
      </c>
      <c r="F139" s="74">
        <f>F91*1000/(F116/1000)*R122</f>
        <v>77.498292099417526</v>
      </c>
      <c r="G139" s="80">
        <f>G91*1000/(G116/1000)*S122</f>
        <v>73.256736643578506</v>
      </c>
      <c r="H139" s="74"/>
      <c r="I139" s="74">
        <f>I91*1000/(I116/1000)</f>
        <v>61.585323913586059</v>
      </c>
      <c r="J139" s="74"/>
      <c r="K139" s="74"/>
      <c r="L139" s="74"/>
      <c r="M139" s="74"/>
      <c r="P139" s="22"/>
      <c r="Q139" s="28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8" x14ac:dyDescent="0.6">
      <c r="A140" s="22"/>
      <c r="B140" s="77" t="s">
        <v>72</v>
      </c>
      <c r="C140" s="74"/>
      <c r="D140" s="74"/>
      <c r="E140" s="74">
        <f>E92*1000/(E117/1000)*Q122</f>
        <v>93.913915457450102</v>
      </c>
      <c r="F140" s="74"/>
      <c r="G140" s="80"/>
      <c r="H140" s="74">
        <f>H92*1000/(H117/1000)</f>
        <v>80.950892867752088</v>
      </c>
      <c r="I140" s="74"/>
      <c r="J140" s="74"/>
      <c r="K140" s="74"/>
      <c r="L140" s="74"/>
      <c r="P140" s="22"/>
      <c r="Q140" s="77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x14ac:dyDescent="0.6">
      <c r="A141" s="22"/>
      <c r="B141" s="77" t="s">
        <v>73</v>
      </c>
      <c r="C141" s="74"/>
      <c r="D141" s="74"/>
      <c r="E141" s="74">
        <f>E93*1000/(E118/1000)*Q122</f>
        <v>60.981827131422541</v>
      </c>
      <c r="F141" s="74"/>
      <c r="G141" s="80"/>
      <c r="H141" s="74">
        <f>H93*1000/(H118/1000)</f>
        <v>60.025702619201191</v>
      </c>
      <c r="I141" s="74"/>
      <c r="J141" s="74"/>
      <c r="K141" s="74"/>
      <c r="L141" s="74"/>
      <c r="P141" s="22"/>
      <c r="Q141" s="77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 spans="1:28" ht="7" customHeight="1" x14ac:dyDescent="0.6">
      <c r="A142" s="22"/>
      <c r="C142" s="74"/>
      <c r="D142" s="74"/>
      <c r="E142" s="74"/>
      <c r="F142" s="74"/>
      <c r="G142" s="80"/>
      <c r="H142" s="74"/>
      <c r="I142" s="74"/>
      <c r="J142" s="74"/>
      <c r="K142" s="74"/>
      <c r="L142" s="74"/>
      <c r="P142" s="22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 spans="1:28" x14ac:dyDescent="0.6">
      <c r="A143" s="22"/>
      <c r="B143" s="13" t="s">
        <v>98</v>
      </c>
      <c r="C143" s="74"/>
      <c r="D143" s="74"/>
      <c r="E143" s="80">
        <f>E98*1000/(E122/1000)*Q122</f>
        <v>73.01208188153295</v>
      </c>
      <c r="F143" s="80">
        <f>F98*1000/(F122/1000)*R122</f>
        <v>76.286463639311165</v>
      </c>
      <c r="G143" s="80">
        <f>G98*1000/(G122/1000)*S122</f>
        <v>73.445659348944034</v>
      </c>
      <c r="H143" s="80">
        <f>H98*1000/(H122/1000)</f>
        <v>69.607413179677465</v>
      </c>
      <c r="I143" s="80">
        <f>I98*1000/(I122/1000)</f>
        <v>61.500002695343255</v>
      </c>
      <c r="J143" s="74"/>
      <c r="K143" s="74"/>
      <c r="L143" s="74"/>
      <c r="M143" s="74"/>
      <c r="P143" s="22"/>
      <c r="R143" s="74"/>
      <c r="S143" s="74"/>
      <c r="T143" s="74"/>
      <c r="U143" s="74"/>
      <c r="V143" s="74"/>
      <c r="W143" s="74"/>
      <c r="X143" s="74"/>
      <c r="Y143" s="74"/>
      <c r="Z143" s="74"/>
      <c r="AA143" s="74"/>
    </row>
    <row r="144" spans="1:28" ht="6" customHeight="1" x14ac:dyDescent="0.6">
      <c r="A144" s="2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P144" s="22"/>
      <c r="R144" s="74"/>
      <c r="S144" s="74"/>
      <c r="T144" s="363"/>
      <c r="U144" s="363"/>
      <c r="V144" s="363"/>
      <c r="W144" s="364"/>
      <c r="X144" s="364"/>
      <c r="Y144" s="74"/>
      <c r="Z144" s="74"/>
      <c r="AA144" s="74"/>
      <c r="AB144" s="74"/>
    </row>
    <row r="145" spans="1:29" x14ac:dyDescent="0.6">
      <c r="A145" s="22"/>
      <c r="B145" s="16" t="s">
        <v>99</v>
      </c>
      <c r="P145" s="22"/>
      <c r="Q145" s="16"/>
      <c r="T145" s="365"/>
      <c r="U145" s="365"/>
      <c r="V145" s="365"/>
      <c r="W145" s="365"/>
      <c r="X145" s="365"/>
      <c r="AA145" s="74"/>
      <c r="AB145" s="74"/>
    </row>
    <row r="146" spans="1:29" x14ac:dyDescent="0.6">
      <c r="A146" s="22"/>
      <c r="B146" s="17" t="s">
        <v>358</v>
      </c>
      <c r="P146" s="22"/>
      <c r="Q146" s="17"/>
    </row>
    <row r="147" spans="1:29" x14ac:dyDescent="0.6">
      <c r="A147" s="22"/>
      <c r="B147" s="17" t="s">
        <v>21</v>
      </c>
      <c r="P147" s="47"/>
      <c r="Q147" s="47"/>
      <c r="R147" s="351"/>
      <c r="S147" s="351"/>
      <c r="T147" s="47"/>
      <c r="U147" s="47"/>
      <c r="V147" s="47"/>
      <c r="W147" s="47"/>
      <c r="X147" s="47"/>
      <c r="Y147" s="47"/>
      <c r="Z147" s="47"/>
    </row>
    <row r="148" spans="1:29" x14ac:dyDescent="0.6">
      <c r="A148" s="22"/>
      <c r="B148" s="77"/>
      <c r="C148" s="74"/>
      <c r="D148" s="74"/>
      <c r="I148" s="89"/>
      <c r="J148" s="80"/>
      <c r="K148" s="80"/>
      <c r="L148" s="80"/>
      <c r="M148" s="93"/>
      <c r="P148" s="47"/>
      <c r="Q148" s="352"/>
      <c r="R148" s="353"/>
      <c r="S148" s="353"/>
      <c r="T148" s="211"/>
      <c r="U148" s="211"/>
      <c r="V148" s="47"/>
      <c r="W148" s="47"/>
      <c r="X148" s="114"/>
      <c r="Y148" s="354"/>
      <c r="Z148" s="354"/>
    </row>
    <row r="149" spans="1:29" hidden="1" x14ac:dyDescent="0.6">
      <c r="A149" s="22"/>
      <c r="C149" s="74"/>
      <c r="D149" s="74"/>
      <c r="P149" s="47"/>
      <c r="Q149" s="211"/>
      <c r="R149" s="353"/>
      <c r="S149" s="353"/>
      <c r="T149" s="211"/>
      <c r="U149" s="211"/>
      <c r="V149" s="211"/>
      <c r="W149" s="211"/>
      <c r="X149" s="211"/>
      <c r="Y149" s="211"/>
      <c r="Z149" s="211"/>
      <c r="AA149" s="80"/>
      <c r="AB149" s="93"/>
    </row>
    <row r="150" spans="1:29" x14ac:dyDescent="0.6">
      <c r="A150" s="22"/>
      <c r="B150" s="37" t="s">
        <v>101</v>
      </c>
      <c r="C150" s="74"/>
      <c r="D150" s="74"/>
      <c r="I150" s="96"/>
      <c r="M150" s="93"/>
      <c r="P150" s="47"/>
      <c r="Q150" s="355"/>
      <c r="R150" s="353"/>
      <c r="S150" s="353"/>
      <c r="T150" s="211"/>
      <c r="U150" s="211"/>
      <c r="V150" s="211"/>
      <c r="W150" s="211"/>
      <c r="X150" s="211"/>
      <c r="Y150" s="211"/>
      <c r="Z150" s="211"/>
    </row>
    <row r="151" spans="1:29" ht="6" customHeight="1" x14ac:dyDescent="0.6">
      <c r="A151" s="22"/>
      <c r="B151" s="77"/>
      <c r="C151" s="74"/>
      <c r="D151" s="74"/>
      <c r="I151" s="89"/>
      <c r="J151" s="97"/>
      <c r="K151" s="97"/>
      <c r="L151" s="97"/>
      <c r="M151" s="93"/>
      <c r="P151" s="47"/>
      <c r="Q151" s="352"/>
      <c r="R151" s="353"/>
      <c r="S151" s="353"/>
      <c r="T151" s="211"/>
      <c r="U151" s="211"/>
      <c r="V151" s="211"/>
      <c r="W151" s="211"/>
      <c r="X151" s="211"/>
      <c r="Y151" s="211"/>
      <c r="Z151" s="211"/>
      <c r="AB151" s="93"/>
    </row>
    <row r="152" spans="1:29" x14ac:dyDescent="0.6">
      <c r="A152" s="22"/>
      <c r="B152" s="16" t="s">
        <v>102</v>
      </c>
      <c r="C152" s="74"/>
      <c r="D152" s="74"/>
      <c r="P152" s="47"/>
      <c r="Q152" s="352"/>
      <c r="R152" s="353"/>
      <c r="S152" s="353"/>
      <c r="T152" s="211"/>
      <c r="U152" s="211"/>
      <c r="V152" s="211"/>
      <c r="W152" s="211"/>
      <c r="X152" s="211"/>
      <c r="Y152" s="211"/>
      <c r="Z152" s="211"/>
    </row>
    <row r="153" spans="1:29" x14ac:dyDescent="0.6">
      <c r="A153" s="22"/>
      <c r="B153" s="89" t="s">
        <v>103</v>
      </c>
      <c r="C153" s="84">
        <f>J98</f>
        <v>1186701.8895099396</v>
      </c>
      <c r="G153" s="81"/>
      <c r="P153" s="47"/>
      <c r="Q153" s="352"/>
      <c r="R153" s="353"/>
      <c r="S153" s="353"/>
      <c r="T153" s="211"/>
      <c r="U153" s="211"/>
      <c r="V153" s="211"/>
      <c r="W153" s="211"/>
      <c r="X153" s="211"/>
      <c r="Y153" s="211"/>
      <c r="Z153" s="211"/>
    </row>
    <row r="154" spans="1:29" x14ac:dyDescent="0.6">
      <c r="A154" s="22"/>
      <c r="C154" s="89" t="s">
        <v>104</v>
      </c>
      <c r="D154" s="95">
        <f>+C153/SUMPRODUCT('BGS PTY21 Cost Alloc'!E72:I72,'BGS PTY21 Cost Alloc'!E95:I95)*1000</f>
        <v>67.532881306667576</v>
      </c>
      <c r="E154" s="13" t="s">
        <v>105</v>
      </c>
      <c r="I154" s="13" t="s">
        <v>251</v>
      </c>
      <c r="P154" s="47"/>
      <c r="Q154" s="352"/>
      <c r="R154" s="353"/>
      <c r="S154" s="353"/>
      <c r="T154" s="211"/>
      <c r="U154" s="211"/>
      <c r="V154" s="211"/>
      <c r="W154" s="211"/>
      <c r="X154" s="211"/>
      <c r="Y154" s="211"/>
      <c r="Z154" s="211"/>
    </row>
    <row r="155" spans="1:29" s="47" customFormat="1" x14ac:dyDescent="0.6">
      <c r="A155" s="572"/>
      <c r="C155" s="114" t="s">
        <v>266</v>
      </c>
      <c r="D155" s="575">
        <f>C153/SUMPRODUCT('BGS PTY21 Cost Alloc'!E72:I72,'BGS PTY21 Cost Alloc'!E98:I98)*1000</f>
        <v>68.12597719949413</v>
      </c>
      <c r="E155" s="47" t="s">
        <v>264</v>
      </c>
      <c r="J155" s="390"/>
      <c r="K155" s="390"/>
      <c r="L155" s="390"/>
      <c r="R155" s="114"/>
      <c r="S155" s="575"/>
      <c r="Y155" s="390"/>
      <c r="Z155" s="390"/>
    </row>
    <row r="156" spans="1:29" ht="15.5" x14ac:dyDescent="0.7">
      <c r="A156" s="22"/>
      <c r="B156" s="578" t="str">
        <f>$B$1</f>
        <v xml:space="preserve">Jersey Central Power &amp; Light </v>
      </c>
      <c r="C156" s="578"/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P156" s="22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234"/>
    </row>
    <row r="157" spans="1:29" ht="15.5" x14ac:dyDescent="0.7">
      <c r="A157" s="22"/>
      <c r="B157" s="578" t="str">
        <f>$B$2</f>
        <v>Attachment 2</v>
      </c>
      <c r="C157" s="578"/>
      <c r="D157" s="578"/>
      <c r="E157" s="578"/>
      <c r="F157" s="578"/>
      <c r="G157" s="578"/>
      <c r="H157" s="578"/>
      <c r="I157" s="578"/>
      <c r="J157" s="578"/>
      <c r="K157" s="578"/>
      <c r="L157" s="578"/>
      <c r="M157" s="578"/>
      <c r="N157" s="578"/>
      <c r="P157" s="22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</row>
    <row r="158" spans="1:29" ht="15.5" x14ac:dyDescent="0.7">
      <c r="A158" s="22"/>
      <c r="B158" s="366"/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P158" s="22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</row>
    <row r="159" spans="1:29" x14ac:dyDescent="0.6">
      <c r="A159" s="18" t="s">
        <v>258</v>
      </c>
      <c r="B159" s="16" t="s">
        <v>269</v>
      </c>
      <c r="J159" s="16" t="s">
        <v>251</v>
      </c>
      <c r="K159" s="16"/>
      <c r="L159" s="16"/>
      <c r="M159" s="16"/>
      <c r="N159" s="16"/>
      <c r="P159" s="18"/>
      <c r="Q159" s="232"/>
      <c r="R159" s="226"/>
      <c r="S159" s="226"/>
      <c r="T159" s="226"/>
      <c r="U159" s="226"/>
      <c r="V159" s="226"/>
      <c r="W159" s="226"/>
      <c r="X159" s="226"/>
      <c r="Y159" s="16"/>
      <c r="Z159" s="16"/>
    </row>
    <row r="160" spans="1:29" x14ac:dyDescent="0.6">
      <c r="A160" s="22"/>
      <c r="B160" s="16"/>
      <c r="P160" s="22"/>
      <c r="Q160" s="232"/>
      <c r="R160" s="226"/>
      <c r="S160" s="226"/>
      <c r="T160" s="226"/>
      <c r="U160" s="226"/>
      <c r="V160" s="226"/>
      <c r="W160" s="226"/>
      <c r="X160" s="226"/>
      <c r="AA160" s="16"/>
      <c r="AB160" s="16"/>
      <c r="AC160" s="16"/>
    </row>
    <row r="161" spans="1:29" x14ac:dyDescent="0.6">
      <c r="A161" s="22"/>
      <c r="B161" s="16" t="s">
        <v>97</v>
      </c>
      <c r="P161" s="22"/>
      <c r="Q161" s="232"/>
      <c r="R161" s="226"/>
      <c r="S161" s="226"/>
      <c r="T161" s="226"/>
      <c r="U161" s="226"/>
      <c r="V161" s="226"/>
      <c r="W161" s="226"/>
      <c r="X161" s="226"/>
    </row>
    <row r="162" spans="1:29" x14ac:dyDescent="0.6">
      <c r="A162" s="22"/>
      <c r="B162" s="17" t="s">
        <v>351</v>
      </c>
      <c r="P162" s="22"/>
      <c r="Q162" s="239"/>
      <c r="R162" s="226"/>
      <c r="S162" s="226"/>
      <c r="T162" s="226"/>
      <c r="U162" s="226"/>
      <c r="V162" s="226"/>
      <c r="W162" s="226"/>
      <c r="X162" s="226"/>
    </row>
    <row r="163" spans="1:29" x14ac:dyDescent="0.6">
      <c r="A163" s="22"/>
      <c r="B163" s="16"/>
      <c r="P163" s="22"/>
      <c r="Q163" s="232"/>
      <c r="R163" s="226"/>
      <c r="S163" s="226"/>
      <c r="T163" s="226"/>
      <c r="U163" s="226"/>
      <c r="V163" s="226"/>
      <c r="W163" s="226"/>
      <c r="X163" s="226"/>
    </row>
    <row r="164" spans="1:29" x14ac:dyDescent="0.6">
      <c r="A164" s="22"/>
      <c r="C164" s="26"/>
      <c r="D164" s="26"/>
      <c r="E164" s="26" t="str">
        <f>+E$10</f>
        <v>RT{1}</v>
      </c>
      <c r="F164" s="26" t="str">
        <f>+F$10</f>
        <v>RS{2}</v>
      </c>
      <c r="G164" s="26" t="str">
        <f>+G$10</f>
        <v>GS{3}</v>
      </c>
      <c r="H164" s="26" t="str">
        <f>+H$10</f>
        <v>GST {4}</v>
      </c>
      <c r="I164" s="26" t="str">
        <f>+I$10</f>
        <v>OL/SL</v>
      </c>
      <c r="J164" s="26"/>
      <c r="K164" s="26"/>
      <c r="L164" s="26"/>
      <c r="M164" s="26"/>
      <c r="N164" s="26"/>
      <c r="P164" s="22"/>
      <c r="Q164" s="226"/>
      <c r="R164" s="229"/>
      <c r="S164" s="229"/>
      <c r="T164" s="229"/>
      <c r="U164" s="229"/>
      <c r="V164" s="229"/>
      <c r="W164" s="229"/>
      <c r="X164" s="229"/>
      <c r="Y164" s="26"/>
      <c r="Z164" s="26"/>
    </row>
    <row r="165" spans="1:29" x14ac:dyDescent="0.6">
      <c r="A165" s="22"/>
      <c r="C165" s="26"/>
      <c r="D165" s="26"/>
      <c r="E165" s="26"/>
      <c r="F165" s="26"/>
      <c r="G165" s="26"/>
      <c r="P165" s="22"/>
      <c r="Q165" s="226"/>
      <c r="R165" s="229"/>
      <c r="S165" s="229"/>
      <c r="T165" s="229"/>
      <c r="U165" s="229"/>
      <c r="V165" s="229"/>
      <c r="W165" s="226"/>
      <c r="X165" s="226"/>
      <c r="AA165" s="26"/>
      <c r="AB165" s="26"/>
      <c r="AC165" s="26"/>
    </row>
    <row r="166" spans="1:29" x14ac:dyDescent="0.6">
      <c r="A166" s="22"/>
      <c r="B166" s="28" t="s">
        <v>17</v>
      </c>
      <c r="C166" s="98"/>
      <c r="D166" s="98"/>
      <c r="E166" s="123">
        <f>+ROUND(E133/$D$155,3)</f>
        <v>1.0840000000000001</v>
      </c>
      <c r="F166" s="123">
        <f>ROUND((F88+F89)*R122*1000000/(F113+F114)/D155,3)</f>
        <v>1.095</v>
      </c>
      <c r="G166" s="123">
        <f>+ROUND(G133/$D$155,3)</f>
        <v>1.083</v>
      </c>
      <c r="H166" s="123"/>
      <c r="I166" s="123">
        <f>+ROUND(I133/$D$155,3)</f>
        <v>0.9</v>
      </c>
      <c r="J166" s="98"/>
      <c r="K166" s="98"/>
      <c r="L166" s="98"/>
      <c r="M166" s="98"/>
      <c r="N166" s="98"/>
      <c r="P166" s="22"/>
      <c r="Q166" s="240"/>
      <c r="R166" s="241"/>
      <c r="S166" s="241"/>
      <c r="T166" s="242"/>
      <c r="U166" s="242"/>
      <c r="V166" s="242"/>
      <c r="W166" s="242"/>
      <c r="X166" s="242"/>
      <c r="Y166" s="98"/>
      <c r="Z166" s="98"/>
    </row>
    <row r="167" spans="1:29" x14ac:dyDescent="0.6">
      <c r="A167" s="22"/>
      <c r="B167" s="77" t="s">
        <v>72</v>
      </c>
      <c r="C167" s="100"/>
      <c r="D167" s="100"/>
      <c r="E167" s="123">
        <f>+ROUND(E134/$D$155,3)</f>
        <v>1.405</v>
      </c>
      <c r="F167" s="124"/>
      <c r="G167" s="124"/>
      <c r="H167" s="123">
        <f>+ROUND(H134/$D$155,3)</f>
        <v>1.2709999999999999</v>
      </c>
      <c r="I167" s="124"/>
      <c r="J167" s="100"/>
      <c r="K167" s="100"/>
      <c r="L167" s="100"/>
      <c r="M167" s="100"/>
      <c r="N167" s="100"/>
      <c r="P167" s="22"/>
      <c r="Q167" s="243"/>
      <c r="R167" s="244"/>
      <c r="S167" s="244"/>
      <c r="T167" s="242"/>
      <c r="U167" s="245"/>
      <c r="V167" s="245"/>
      <c r="W167" s="242"/>
      <c r="X167" s="245"/>
      <c r="Y167" s="100"/>
      <c r="Z167" s="100"/>
      <c r="AA167" s="98"/>
      <c r="AB167" s="98"/>
      <c r="AC167" s="98"/>
    </row>
    <row r="168" spans="1:29" x14ac:dyDescent="0.6">
      <c r="A168" s="22"/>
      <c r="B168" s="77" t="s">
        <v>73</v>
      </c>
      <c r="C168" s="100"/>
      <c r="D168" s="100"/>
      <c r="E168" s="123">
        <f>+ROUND(E135/$D$155,3)</f>
        <v>0.84099999999999997</v>
      </c>
      <c r="F168" s="124"/>
      <c r="G168" s="124"/>
      <c r="H168" s="123">
        <f>+ROUND(H135/$D$155,3)</f>
        <v>0.85</v>
      </c>
      <c r="I168" s="124"/>
      <c r="J168" s="100"/>
      <c r="K168" s="100"/>
      <c r="L168" s="100"/>
      <c r="M168" s="100"/>
      <c r="N168" s="100"/>
      <c r="O168" s="124">
        <f>(F88+F89)*1000000/(F113+F114)</f>
        <v>75.081799231484538</v>
      </c>
      <c r="P168" s="22"/>
      <c r="Q168" s="243"/>
      <c r="R168" s="244"/>
      <c r="S168" s="244"/>
      <c r="T168" s="242"/>
      <c r="U168" s="245"/>
      <c r="V168" s="245"/>
      <c r="W168" s="242"/>
      <c r="X168" s="245"/>
      <c r="Y168" s="100"/>
      <c r="Z168" s="124"/>
      <c r="AA168" s="100"/>
      <c r="AB168" s="100"/>
      <c r="AC168" s="100"/>
    </row>
    <row r="169" spans="1:29" x14ac:dyDescent="0.6">
      <c r="A169" s="22"/>
      <c r="B169" s="77"/>
      <c r="C169" s="100"/>
      <c r="D169" s="100"/>
      <c r="E169" s="123"/>
      <c r="G169" s="124"/>
      <c r="H169" s="123"/>
      <c r="I169" s="124"/>
      <c r="K169" s="124"/>
      <c r="L169" s="124"/>
      <c r="M169" s="124"/>
      <c r="N169" s="124"/>
      <c r="O169" s="124">
        <f>F88*1000000/F113</f>
        <v>70.965433656296909</v>
      </c>
      <c r="P169" s="22"/>
      <c r="Q169" s="77"/>
      <c r="R169" s="100"/>
      <c r="S169" s="100"/>
      <c r="T169" s="123"/>
      <c r="V169" s="124"/>
      <c r="W169" s="123"/>
      <c r="X169" s="124"/>
      <c r="Z169" s="124"/>
      <c r="AA169" s="100"/>
      <c r="AB169" s="100"/>
      <c r="AC169" s="100"/>
    </row>
    <row r="170" spans="1:29" x14ac:dyDescent="0.6">
      <c r="A170" s="22"/>
      <c r="B170" s="77"/>
      <c r="C170" s="100"/>
      <c r="D170" s="100"/>
      <c r="E170" s="123"/>
      <c r="G170" s="124"/>
      <c r="H170" s="123"/>
      <c r="I170" s="124"/>
      <c r="K170" s="124"/>
      <c r="L170" s="124"/>
      <c r="M170" s="124"/>
      <c r="N170" s="124"/>
      <c r="O170" s="124">
        <f>F89*1000000/F114</f>
        <v>79.617433656296896</v>
      </c>
      <c r="P170" s="22"/>
      <c r="Q170" s="77"/>
      <c r="R170" s="100"/>
      <c r="S170" s="100"/>
      <c r="T170" s="123"/>
      <c r="V170" s="124"/>
      <c r="W170" s="123"/>
      <c r="X170" s="124"/>
      <c r="Z170" s="124"/>
      <c r="AA170" s="124"/>
      <c r="AB170" s="124"/>
      <c r="AC170" s="124"/>
    </row>
    <row r="171" spans="1:29" x14ac:dyDescent="0.6">
      <c r="A171" s="22"/>
      <c r="C171" s="113"/>
      <c r="D171" s="113"/>
      <c r="E171" s="125" t="s">
        <v>156</v>
      </c>
      <c r="F171" s="123">
        <f>ROUND(O169-O168,3)</f>
        <v>-4.1159999999999997</v>
      </c>
      <c r="G171" s="124"/>
      <c r="H171" s="123"/>
      <c r="I171" s="124"/>
      <c r="J171" s="100"/>
      <c r="K171" s="100"/>
      <c r="L171" s="100"/>
      <c r="M171" s="100"/>
      <c r="N171" s="100"/>
      <c r="P171" s="22"/>
      <c r="R171" s="113"/>
      <c r="S171" s="113"/>
      <c r="T171" s="125"/>
      <c r="U171" s="123"/>
      <c r="V171" s="124"/>
      <c r="W171" s="123"/>
      <c r="X171" s="124"/>
      <c r="Y171" s="100"/>
      <c r="Z171" s="100"/>
      <c r="AA171" s="100"/>
      <c r="AB171" s="100"/>
      <c r="AC171" s="100"/>
    </row>
    <row r="172" spans="1:29" x14ac:dyDescent="0.6">
      <c r="A172" s="22"/>
      <c r="C172" s="113"/>
      <c r="D172" s="113"/>
      <c r="E172" s="125" t="s">
        <v>157</v>
      </c>
      <c r="F172" s="123">
        <f>ROUND(O170-O168,3)</f>
        <v>4.5359999999999996</v>
      </c>
      <c r="G172" s="124"/>
      <c r="H172" s="123"/>
      <c r="I172" s="124"/>
      <c r="J172" s="100"/>
      <c r="K172" s="100"/>
      <c r="L172" s="100"/>
      <c r="M172" s="100"/>
      <c r="N172" s="100"/>
      <c r="P172" s="22"/>
      <c r="R172" s="113"/>
      <c r="S172" s="113"/>
      <c r="T172" s="125"/>
      <c r="U172" s="123"/>
      <c r="V172" s="124"/>
      <c r="W172" s="123"/>
      <c r="X172" s="124"/>
      <c r="Y172" s="100"/>
      <c r="Z172" s="100"/>
      <c r="AA172" s="100"/>
      <c r="AB172" s="100"/>
      <c r="AC172" s="100"/>
    </row>
    <row r="173" spans="1:29" x14ac:dyDescent="0.6">
      <c r="A173" s="22"/>
      <c r="C173" s="100"/>
      <c r="D173" s="100"/>
      <c r="E173" s="124"/>
      <c r="F173" s="124"/>
      <c r="G173" s="124"/>
      <c r="H173" s="124"/>
      <c r="I173" s="124"/>
      <c r="J173" s="100"/>
      <c r="K173" s="100"/>
      <c r="L173" s="100"/>
      <c r="M173" s="100"/>
      <c r="N173" s="100"/>
      <c r="P173" s="22"/>
      <c r="R173" s="100"/>
      <c r="S173" s="100"/>
      <c r="T173" s="124"/>
      <c r="U173" s="124"/>
      <c r="V173" s="124"/>
      <c r="W173" s="124"/>
      <c r="X173" s="124"/>
      <c r="Y173" s="100"/>
      <c r="Z173" s="100"/>
      <c r="AA173" s="100"/>
      <c r="AB173" s="100"/>
      <c r="AC173" s="100"/>
    </row>
    <row r="174" spans="1:29" x14ac:dyDescent="0.6">
      <c r="A174" s="22"/>
      <c r="B174" s="28" t="s">
        <v>18</v>
      </c>
      <c r="C174" s="98"/>
      <c r="D174" s="98"/>
      <c r="E174" s="123">
        <f>ROUND(E139/$D$155,3)</f>
        <v>1.0760000000000001</v>
      </c>
      <c r="F174" s="123">
        <f>ROUND(F139/$D$155,3)</f>
        <v>1.1379999999999999</v>
      </c>
      <c r="G174" s="123">
        <f>ROUND(G139/$D$155,3)</f>
        <v>1.075</v>
      </c>
      <c r="H174" s="123"/>
      <c r="I174" s="123">
        <f>ROUND(I139/$D$155,3)</f>
        <v>0.90400000000000003</v>
      </c>
      <c r="J174" s="98"/>
      <c r="K174" s="98"/>
      <c r="L174" s="98"/>
      <c r="M174" s="98"/>
      <c r="N174" s="98"/>
      <c r="P174" s="22"/>
      <c r="Q174" s="240"/>
      <c r="R174" s="241"/>
      <c r="S174" s="241"/>
      <c r="T174" s="242"/>
      <c r="U174" s="242"/>
      <c r="V174" s="242"/>
      <c r="W174" s="242"/>
      <c r="X174" s="242"/>
      <c r="Y174" s="98"/>
      <c r="Z174" s="98"/>
      <c r="AA174" s="100"/>
      <c r="AB174" s="100"/>
      <c r="AC174" s="100"/>
    </row>
    <row r="175" spans="1:29" x14ac:dyDescent="0.6">
      <c r="A175" s="22"/>
      <c r="B175" s="77" t="s">
        <v>72</v>
      </c>
      <c r="C175" s="100"/>
      <c r="D175" s="100"/>
      <c r="E175" s="123">
        <f>ROUND(E140/$D$155,3)</f>
        <v>1.379</v>
      </c>
      <c r="F175" s="124"/>
      <c r="G175" s="124"/>
      <c r="H175" s="123">
        <f>ROUND(H140/$D$155,3)</f>
        <v>1.1879999999999999</v>
      </c>
      <c r="I175" s="124"/>
      <c r="J175" s="100"/>
      <c r="K175" s="100"/>
      <c r="L175" s="100"/>
      <c r="M175" s="100"/>
      <c r="N175" s="100"/>
      <c r="P175" s="22"/>
      <c r="Q175" s="243"/>
      <c r="R175" s="244"/>
      <c r="S175" s="244"/>
      <c r="T175" s="242"/>
      <c r="U175" s="245"/>
      <c r="V175" s="245"/>
      <c r="W175" s="242"/>
      <c r="X175" s="245"/>
      <c r="Y175" s="100"/>
      <c r="Z175" s="100"/>
      <c r="AA175" s="98"/>
      <c r="AB175" s="98"/>
      <c r="AC175" s="98"/>
    </row>
    <row r="176" spans="1:29" x14ac:dyDescent="0.6">
      <c r="A176" s="22"/>
      <c r="B176" s="77" t="s">
        <v>73</v>
      </c>
      <c r="C176" s="100"/>
      <c r="D176" s="100"/>
      <c r="E176" s="123">
        <f>ROUND(E141/$D$155,3)</f>
        <v>0.89500000000000002</v>
      </c>
      <c r="F176" s="124"/>
      <c r="G176" s="124"/>
      <c r="H176" s="123">
        <f>ROUND(H141/$D$155,3)</f>
        <v>0.88100000000000001</v>
      </c>
      <c r="I176" s="124"/>
      <c r="J176" s="100"/>
      <c r="K176" s="100"/>
      <c r="L176" s="100"/>
      <c r="M176" s="100"/>
      <c r="N176" s="100"/>
      <c r="P176" s="22"/>
      <c r="Q176" s="243"/>
      <c r="R176" s="244"/>
      <c r="S176" s="244"/>
      <c r="T176" s="242"/>
      <c r="U176" s="245"/>
      <c r="V176" s="245"/>
      <c r="W176" s="242"/>
      <c r="X176" s="245"/>
      <c r="Y176" s="100"/>
      <c r="Z176" s="100"/>
      <c r="AA176" s="100"/>
      <c r="AB176" s="100"/>
      <c r="AC176" s="100"/>
    </row>
    <row r="177" spans="1:29" x14ac:dyDescent="0.6">
      <c r="A177" s="22"/>
      <c r="C177" s="99"/>
      <c r="D177" s="99"/>
      <c r="E177" s="573"/>
      <c r="F177" s="573"/>
      <c r="G177" s="573"/>
      <c r="H177" s="573"/>
      <c r="I177" s="573"/>
      <c r="J177" s="99"/>
      <c r="K177" s="99"/>
      <c r="L177" s="99"/>
      <c r="M177" s="99"/>
      <c r="N177" s="99"/>
      <c r="P177" s="22"/>
      <c r="Q177" s="226"/>
      <c r="R177" s="246"/>
      <c r="S177" s="246"/>
      <c r="T177" s="247"/>
      <c r="U177" s="247"/>
      <c r="V177" s="247"/>
      <c r="W177" s="247"/>
      <c r="X177" s="247"/>
      <c r="Y177" s="99"/>
      <c r="Z177" s="99"/>
      <c r="AA177" s="100"/>
      <c r="AB177" s="100"/>
      <c r="AC177" s="100"/>
    </row>
    <row r="178" spans="1:29" x14ac:dyDescent="0.6">
      <c r="A178" s="22"/>
      <c r="B178" s="13" t="s">
        <v>107</v>
      </c>
      <c r="C178" s="99"/>
      <c r="D178" s="99"/>
      <c r="E178" s="574">
        <f>ROUND(E143/$D$155,3)</f>
        <v>1.0720000000000001</v>
      </c>
      <c r="F178" s="574">
        <f>ROUND(F143/$D$155,3)</f>
        <v>1.1200000000000001</v>
      </c>
      <c r="G178" s="574">
        <f>ROUND(G143/$D$155,3)</f>
        <v>1.0780000000000001</v>
      </c>
      <c r="H178" s="574">
        <f>ROUND(H143/$D$155,3)</f>
        <v>1.022</v>
      </c>
      <c r="I178" s="574">
        <f>ROUND(I143/$D$155,3)</f>
        <v>0.90300000000000002</v>
      </c>
      <c r="J178" s="99"/>
      <c r="K178" s="99"/>
      <c r="L178" s="99"/>
      <c r="M178" s="99"/>
      <c r="N178" s="99"/>
      <c r="P178" s="22"/>
      <c r="Q178" s="226"/>
      <c r="R178" s="246"/>
      <c r="S178" s="246"/>
      <c r="T178" s="248"/>
      <c r="U178" s="248"/>
      <c r="V178" s="248"/>
      <c r="W178" s="248"/>
      <c r="X178" s="248"/>
      <c r="Y178" s="99"/>
      <c r="Z178" s="99"/>
      <c r="AA178" s="99"/>
      <c r="AB178" s="99"/>
      <c r="AC178" s="99"/>
    </row>
    <row r="179" spans="1:29" x14ac:dyDescent="0.6">
      <c r="A179" s="22"/>
      <c r="D179" s="346"/>
      <c r="P179" s="22"/>
      <c r="AA179" s="99"/>
      <c r="AB179" s="99"/>
      <c r="AC179" s="99"/>
    </row>
    <row r="180" spans="1:29" x14ac:dyDescent="0.6">
      <c r="A180" s="22"/>
      <c r="E180" s="269"/>
      <c r="F180" s="269"/>
      <c r="G180" s="269"/>
      <c r="H180" s="269"/>
      <c r="I180" s="269"/>
      <c r="P180" s="22"/>
    </row>
    <row r="181" spans="1:29" x14ac:dyDescent="0.6">
      <c r="A181" s="22"/>
      <c r="B181" s="16" t="s">
        <v>99</v>
      </c>
      <c r="P181" s="22"/>
      <c r="Q181" s="16"/>
    </row>
    <row r="182" spans="1:29" x14ac:dyDescent="0.6">
      <c r="A182" s="22"/>
      <c r="B182" s="17" t="s">
        <v>358</v>
      </c>
      <c r="P182" s="22"/>
      <c r="Q182" s="17"/>
    </row>
    <row r="183" spans="1:29" x14ac:dyDescent="0.6">
      <c r="A183" s="22"/>
      <c r="B183" s="21"/>
      <c r="P183" s="22"/>
      <c r="Q183" s="21"/>
    </row>
    <row r="184" spans="1:29" x14ac:dyDescent="0.6">
      <c r="A184" s="22"/>
      <c r="B184" s="37" t="s">
        <v>101</v>
      </c>
      <c r="C184" s="26"/>
      <c r="D184" s="26"/>
      <c r="E184" s="26"/>
      <c r="F184" s="26"/>
      <c r="I184" s="16"/>
      <c r="P184" s="22"/>
      <c r="Q184" s="37"/>
      <c r="R184" s="26"/>
      <c r="S184" s="26"/>
      <c r="T184" s="26"/>
      <c r="U184" s="26"/>
      <c r="X184" s="16"/>
    </row>
    <row r="185" spans="1:29" x14ac:dyDescent="0.6">
      <c r="A185" s="12" t="s">
        <v>251</v>
      </c>
      <c r="P185" s="12"/>
    </row>
    <row r="186" spans="1:29" x14ac:dyDescent="0.6">
      <c r="J186" s="81"/>
      <c r="Z186" s="294"/>
    </row>
  </sheetData>
  <sheetProtection algorithmName="SHA-512" hashValue="X7cUuwJSoV7l+SAhKs25InzlGJjGMuZd1++wMqDmixRaIgUQVqI4JeZTmfrN0kWaDSh9AH6WI+HWw4cKdmEe0g==" saltValue="yYu+WEUs9t/n26i4Kqi0RA==" spinCount="100000" sheet="1" objects="1" scenarios="1" selectLockedCells="1" selectUnlockedCells="1"/>
  <mergeCells count="12">
    <mergeCell ref="B156:N156"/>
    <mergeCell ref="B157:N157"/>
    <mergeCell ref="B1:N1"/>
    <mergeCell ref="B2:N2"/>
    <mergeCell ref="B5:N5"/>
    <mergeCell ref="B101:N101"/>
    <mergeCell ref="B54:N54"/>
    <mergeCell ref="B55:N55"/>
    <mergeCell ref="B56:N56"/>
    <mergeCell ref="B100:N100"/>
    <mergeCell ref="B3:N3"/>
    <mergeCell ref="B102:N102"/>
  </mergeCells>
  <phoneticPr fontId="33" type="noConversion"/>
  <pageMargins left="0.7" right="0.7" top="0.75" bottom="0.75" header="0.3" footer="0.3"/>
  <pageSetup scale="80" fitToHeight="0" orientation="landscape" r:id="rId1"/>
  <headerFooter alignWithMargins="0">
    <oddFooter>&amp;L&amp;F    &amp;A&amp;CPage &amp;P of &amp;N&amp;R&amp;D</oddFooter>
  </headerFooter>
  <rowBreaks count="3" manualBreakCount="3">
    <brk id="53" max="13" man="1"/>
    <brk id="98" max="13" man="1"/>
    <brk id="155" max="13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0611-E7BD-4170-99CF-01C616A71A3C}">
  <sheetPr>
    <pageSetUpPr fitToPage="1"/>
  </sheetPr>
  <dimension ref="A1:Q60"/>
  <sheetViews>
    <sheetView view="pageBreakPreview" zoomScale="80" zoomScaleNormal="98" zoomScaleSheetLayoutView="80" workbookViewId="0"/>
  </sheetViews>
  <sheetFormatPr defaultColWidth="8.90625" defaultRowHeight="13" x14ac:dyDescent="0.6"/>
  <cols>
    <col min="1" max="1" width="5.6328125" style="311" customWidth="1"/>
    <col min="2" max="2" width="39" style="311" customWidth="1"/>
    <col min="3" max="3" width="17" style="311" customWidth="1"/>
    <col min="4" max="4" width="15.08984375" style="311" customWidth="1"/>
    <col min="5" max="5" width="17.81640625" style="311" customWidth="1"/>
    <col min="6" max="6" width="23.36328125" style="311" customWidth="1"/>
    <col min="7" max="7" width="19.54296875" style="311" customWidth="1"/>
    <col min="8" max="8" width="23.453125" style="311" customWidth="1"/>
    <col min="9" max="16384" width="8.90625" style="311"/>
  </cols>
  <sheetData>
    <row r="1" spans="1:17" ht="15.5" x14ac:dyDescent="0.7">
      <c r="A1" s="12"/>
      <c r="B1" s="578" t="s">
        <v>69</v>
      </c>
      <c r="C1" s="578"/>
      <c r="D1" s="578"/>
      <c r="E1" s="578"/>
      <c r="F1" s="578"/>
    </row>
    <row r="2" spans="1:17" ht="15.5" x14ac:dyDescent="0.7">
      <c r="A2" s="12"/>
      <c r="B2" s="578" t="s">
        <v>352</v>
      </c>
      <c r="C2" s="578"/>
      <c r="D2" s="578"/>
      <c r="E2" s="578"/>
      <c r="F2" s="578"/>
    </row>
    <row r="3" spans="1:17" ht="33" customHeight="1" x14ac:dyDescent="0.7">
      <c r="A3" s="12"/>
      <c r="B3" s="584" t="s">
        <v>345</v>
      </c>
      <c r="C3" s="578"/>
      <c r="D3" s="578"/>
      <c r="E3" s="578"/>
      <c r="F3" s="578"/>
    </row>
    <row r="4" spans="1:17" ht="15.5" x14ac:dyDescent="0.7">
      <c r="A4" s="12"/>
      <c r="B4" s="460"/>
      <c r="C4" s="460"/>
      <c r="D4" s="460"/>
      <c r="E4" s="460"/>
      <c r="F4" s="460"/>
    </row>
    <row r="5" spans="1:17" ht="18.5" customHeight="1" x14ac:dyDescent="0.8">
      <c r="A5" s="585" t="s">
        <v>346</v>
      </c>
      <c r="B5" s="585"/>
      <c r="C5" s="585"/>
      <c r="D5" s="585"/>
      <c r="E5" s="585"/>
      <c r="F5" s="585"/>
    </row>
    <row r="7" spans="1:17" ht="86.5" customHeight="1" x14ac:dyDescent="0.6">
      <c r="C7" s="442" t="s">
        <v>366</v>
      </c>
      <c r="D7" s="442" t="s">
        <v>367</v>
      </c>
      <c r="E7" s="443" t="s">
        <v>318</v>
      </c>
      <c r="F7" s="444"/>
      <c r="I7" s="311" t="s">
        <v>251</v>
      </c>
    </row>
    <row r="8" spans="1:17" ht="24.5" customHeight="1" x14ac:dyDescent="0.6">
      <c r="A8" s="369">
        <v>1</v>
      </c>
      <c r="B8" s="370" t="s">
        <v>359</v>
      </c>
      <c r="C8" s="535">
        <v>49.59</v>
      </c>
      <c r="D8" s="535">
        <v>49.59</v>
      </c>
      <c r="E8" s="586" t="s">
        <v>406</v>
      </c>
      <c r="F8" s="586"/>
      <c r="G8" s="586"/>
      <c r="H8" s="586"/>
    </row>
    <row r="9" spans="1:17" ht="30.5" customHeight="1" x14ac:dyDescent="0.6">
      <c r="A9" s="369">
        <v>2</v>
      </c>
      <c r="B9" s="525" t="s">
        <v>329</v>
      </c>
      <c r="C9" s="523">
        <v>146.51</v>
      </c>
      <c r="D9" s="529">
        <v>118.12</v>
      </c>
      <c r="E9" s="586" t="s">
        <v>370</v>
      </c>
      <c r="F9" s="586"/>
      <c r="G9" s="586"/>
      <c r="H9" s="528"/>
    </row>
    <row r="10" spans="1:17" ht="14.5" customHeight="1" x14ac:dyDescent="0.6">
      <c r="A10" s="369">
        <v>3</v>
      </c>
      <c r="B10" s="446" t="s">
        <v>330</v>
      </c>
      <c r="C10" s="512">
        <f>C8-C9</f>
        <v>-96.919999999999987</v>
      </c>
      <c r="D10" s="512">
        <f>D8-D9</f>
        <v>-68.53</v>
      </c>
      <c r="E10" s="524" t="s">
        <v>332</v>
      </c>
      <c r="F10" s="524"/>
      <c r="G10" s="524"/>
    </row>
    <row r="11" spans="1:17" ht="29" customHeight="1" x14ac:dyDescent="0.6">
      <c r="A11" s="369">
        <f>A10+1</f>
        <v>4</v>
      </c>
      <c r="B11" s="446" t="s">
        <v>319</v>
      </c>
      <c r="C11" s="513">
        <f>'BGS PTY21 Cost Alloc'!J164</f>
        <v>4595.5311220000003</v>
      </c>
      <c r="D11" s="513">
        <f>C11</f>
        <v>4595.5311220000003</v>
      </c>
      <c r="E11" s="587" t="s">
        <v>398</v>
      </c>
      <c r="F11" s="587"/>
      <c r="G11" s="587"/>
      <c r="H11" s="323"/>
    </row>
    <row r="12" spans="1:17" x14ac:dyDescent="0.6">
      <c r="A12" s="369">
        <f t="shared" ref="A12:A20" si="0">A11+1</f>
        <v>5</v>
      </c>
      <c r="B12" s="446" t="s">
        <v>320</v>
      </c>
      <c r="C12" s="514">
        <v>366</v>
      </c>
      <c r="D12" s="514">
        <f>C12</f>
        <v>366</v>
      </c>
      <c r="E12" s="447"/>
      <c r="F12" s="447"/>
      <c r="G12" s="369"/>
    </row>
    <row r="13" spans="1:17" x14ac:dyDescent="0.6">
      <c r="A13" s="369">
        <f t="shared" si="0"/>
        <v>6</v>
      </c>
      <c r="B13" s="446" t="s">
        <v>335</v>
      </c>
      <c r="C13" s="515">
        <f>C10*C11*C12</f>
        <v>-163015988.74199182</v>
      </c>
      <c r="D13" s="515">
        <f>D10*D11*D12</f>
        <v>-115265019.69138156</v>
      </c>
      <c r="E13" s="372" t="s">
        <v>321</v>
      </c>
      <c r="F13" s="447"/>
      <c r="G13" s="369"/>
      <c r="J13" s="348"/>
      <c r="P13" s="348"/>
      <c r="Q13" s="345"/>
    </row>
    <row r="14" spans="1:17" x14ac:dyDescent="0.6">
      <c r="A14" s="369">
        <f t="shared" si="0"/>
        <v>7</v>
      </c>
      <c r="B14" s="446" t="s">
        <v>322</v>
      </c>
      <c r="C14" s="516">
        <f>C39</f>
        <v>20</v>
      </c>
      <c r="D14" s="516">
        <f>D39</f>
        <v>18</v>
      </c>
      <c r="E14" s="447"/>
      <c r="F14" s="447"/>
      <c r="G14" s="369"/>
      <c r="J14" s="348"/>
      <c r="K14" s="456"/>
      <c r="P14" s="348"/>
      <c r="Q14" s="456"/>
    </row>
    <row r="15" spans="1:17" x14ac:dyDescent="0.6">
      <c r="A15" s="369">
        <f t="shared" si="0"/>
        <v>8</v>
      </c>
      <c r="B15" s="446" t="s">
        <v>323</v>
      </c>
      <c r="C15" s="517">
        <f>E40</f>
        <v>53</v>
      </c>
      <c r="D15" s="517">
        <f>C15</f>
        <v>53</v>
      </c>
      <c r="E15" s="447"/>
      <c r="F15" s="447"/>
      <c r="G15" s="369"/>
      <c r="K15" s="456"/>
      <c r="Q15" s="456"/>
    </row>
    <row r="16" spans="1:17" x14ac:dyDescent="0.6">
      <c r="A16" s="369">
        <f t="shared" si="0"/>
        <v>9</v>
      </c>
      <c r="B16" s="446" t="s">
        <v>336</v>
      </c>
      <c r="C16" s="518">
        <f>C14/C15</f>
        <v>0.37735849056603776</v>
      </c>
      <c r="D16" s="518">
        <f>D14/D15</f>
        <v>0.33962264150943394</v>
      </c>
      <c r="E16" s="448" t="s">
        <v>324</v>
      </c>
      <c r="F16" s="447"/>
      <c r="G16" s="369"/>
      <c r="K16" s="456"/>
      <c r="Q16" s="527"/>
    </row>
    <row r="17" spans="1:16" s="449" customFormat="1" ht="18" customHeight="1" x14ac:dyDescent="0.6">
      <c r="A17" s="449">
        <f t="shared" si="0"/>
        <v>10</v>
      </c>
      <c r="B17" s="370" t="s">
        <v>337</v>
      </c>
      <c r="C17" s="519">
        <f>C13*C16</f>
        <v>-61515467.44980824</v>
      </c>
      <c r="D17" s="519">
        <f>D13*D16</f>
        <v>-39146610.461223923</v>
      </c>
      <c r="E17" s="448" t="s">
        <v>325</v>
      </c>
      <c r="F17" s="447"/>
      <c r="G17" s="369"/>
    </row>
    <row r="18" spans="1:16" ht="26" x14ac:dyDescent="0.6">
      <c r="A18" s="369">
        <f t="shared" si="0"/>
        <v>11</v>
      </c>
      <c r="B18" s="370" t="s">
        <v>338</v>
      </c>
      <c r="C18" s="520">
        <f>F47+F48</f>
        <v>17419227</v>
      </c>
      <c r="D18" s="520">
        <f>C18</f>
        <v>17419227</v>
      </c>
      <c r="E18" s="587" t="s">
        <v>399</v>
      </c>
      <c r="F18" s="587"/>
      <c r="G18" s="587"/>
      <c r="H18" s="323"/>
    </row>
    <row r="19" spans="1:16" ht="26" x14ac:dyDescent="0.6">
      <c r="A19" s="369">
        <f t="shared" si="0"/>
        <v>12</v>
      </c>
      <c r="B19" s="370" t="s">
        <v>339</v>
      </c>
      <c r="C19" s="521">
        <f>C18*C16</f>
        <v>6573293.2075471701</v>
      </c>
      <c r="D19" s="521">
        <f>D18*D16</f>
        <v>5915963.8867924521</v>
      </c>
      <c r="E19" s="448" t="s">
        <v>326</v>
      </c>
      <c r="F19" s="447"/>
      <c r="G19" s="369"/>
    </row>
    <row r="20" spans="1:16" s="451" customFormat="1" ht="18" customHeight="1" x14ac:dyDescent="0.6">
      <c r="A20" s="451">
        <f t="shared" si="0"/>
        <v>13</v>
      </c>
      <c r="B20" s="370" t="s">
        <v>331</v>
      </c>
      <c r="C20" s="522">
        <f>ROUND(C17/C19,2)</f>
        <v>-9.36</v>
      </c>
      <c r="D20" s="522">
        <f>ROUND(D17/D19,2)</f>
        <v>-6.62</v>
      </c>
      <c r="E20" s="372" t="s">
        <v>327</v>
      </c>
      <c r="F20" s="447"/>
      <c r="G20" s="369"/>
    </row>
    <row r="21" spans="1:16" ht="2" customHeight="1" x14ac:dyDescent="0.6">
      <c r="A21" s="369"/>
      <c r="B21" s="370"/>
      <c r="C21" s="371"/>
      <c r="D21" s="372"/>
      <c r="E21" s="447"/>
    </row>
    <row r="22" spans="1:16" x14ac:dyDescent="0.6">
      <c r="A22" s="311" t="s">
        <v>317</v>
      </c>
      <c r="B22" s="370"/>
      <c r="C22" s="371"/>
      <c r="D22" s="372"/>
      <c r="E22" s="447"/>
      <c r="P22" s="526"/>
    </row>
    <row r="23" spans="1:16" ht="13" customHeight="1" x14ac:dyDescent="0.6">
      <c r="A23" s="588" t="s">
        <v>251</v>
      </c>
      <c r="B23" s="588"/>
      <c r="C23" s="588"/>
      <c r="D23" s="588"/>
      <c r="E23" s="588"/>
      <c r="F23" s="588"/>
      <c r="G23" s="588"/>
    </row>
    <row r="24" spans="1:16" ht="13" customHeight="1" x14ac:dyDescent="0.6">
      <c r="A24" s="588"/>
      <c r="B24" s="588"/>
      <c r="C24" s="588"/>
      <c r="D24" s="588"/>
      <c r="E24" s="588"/>
      <c r="F24" s="588"/>
      <c r="G24" s="588"/>
    </row>
    <row r="25" spans="1:16" x14ac:dyDescent="0.6">
      <c r="A25" s="312"/>
      <c r="B25" s="401"/>
      <c r="C25" s="401"/>
      <c r="D25" s="401"/>
      <c r="E25" s="401"/>
      <c r="F25" s="401"/>
    </row>
    <row r="26" spans="1:16" ht="15.5" x14ac:dyDescent="0.7">
      <c r="A26" s="582" t="s">
        <v>287</v>
      </c>
      <c r="B26" s="582"/>
      <c r="C26" s="582"/>
      <c r="D26" s="582"/>
      <c r="E26" s="582"/>
      <c r="F26" s="582"/>
      <c r="G26" s="582"/>
    </row>
    <row r="27" spans="1:16" ht="3" customHeight="1" x14ac:dyDescent="0.6">
      <c r="A27" s="313"/>
    </row>
    <row r="28" spans="1:16" ht="15.5" x14ac:dyDescent="0.7">
      <c r="A28" s="582" t="s">
        <v>303</v>
      </c>
      <c r="B28" s="582"/>
      <c r="C28" s="582"/>
      <c r="D28" s="582"/>
      <c r="E28" s="582"/>
      <c r="F28" s="582"/>
      <c r="G28" s="582"/>
    </row>
    <row r="29" spans="1:16" ht="15.5" x14ac:dyDescent="0.7">
      <c r="A29" s="583" t="s">
        <v>355</v>
      </c>
      <c r="B29" s="583"/>
      <c r="C29" s="583"/>
      <c r="D29" s="583"/>
      <c r="E29" s="583"/>
      <c r="F29" s="583"/>
      <c r="G29" s="583"/>
    </row>
    <row r="30" spans="1:16" ht="4" customHeight="1" x14ac:dyDescent="0.6">
      <c r="F30" s="315"/>
    </row>
    <row r="31" spans="1:16" ht="46" customHeight="1" x14ac:dyDescent="0.6">
      <c r="B31" s="314"/>
      <c r="C31" s="316" t="s">
        <v>333</v>
      </c>
      <c r="D31" s="316" t="s">
        <v>334</v>
      </c>
      <c r="E31" s="316" t="s">
        <v>343</v>
      </c>
      <c r="F31" s="316" t="s">
        <v>304</v>
      </c>
    </row>
    <row r="32" spans="1:16" x14ac:dyDescent="0.6">
      <c r="B32" s="314"/>
      <c r="C32" s="458" t="s">
        <v>341</v>
      </c>
      <c r="D32" s="457" t="s">
        <v>342</v>
      </c>
      <c r="E32" s="458" t="s">
        <v>344</v>
      </c>
      <c r="F32" s="316"/>
    </row>
    <row r="33" spans="1:13" ht="26" x14ac:dyDescent="0.6">
      <c r="B33" s="317"/>
      <c r="C33" s="318" t="s">
        <v>288</v>
      </c>
      <c r="D33" s="318" t="s">
        <v>289</v>
      </c>
      <c r="E33" s="319" t="s">
        <v>290</v>
      </c>
      <c r="F33" s="318"/>
    </row>
    <row r="34" spans="1:13" x14ac:dyDescent="0.6">
      <c r="C34" s="320"/>
      <c r="D34" s="320"/>
      <c r="E34" s="320"/>
      <c r="F34" s="367"/>
    </row>
    <row r="35" spans="1:13" x14ac:dyDescent="0.6">
      <c r="A35" s="348"/>
      <c r="B35" s="321" t="s">
        <v>291</v>
      </c>
      <c r="C35" s="322">
        <v>64.77</v>
      </c>
      <c r="D35" s="322">
        <v>77.75</v>
      </c>
      <c r="E35" s="576">
        <f>D37</f>
        <v>71.13</v>
      </c>
      <c r="F35" s="299"/>
      <c r="G35" s="311" t="s">
        <v>251</v>
      </c>
      <c r="H35" s="324"/>
      <c r="I35" s="323"/>
      <c r="J35" s="323"/>
      <c r="K35" s="323"/>
      <c r="L35" s="323"/>
      <c r="M35" s="323"/>
    </row>
    <row r="36" spans="1:13" x14ac:dyDescent="0.6">
      <c r="A36" s="348"/>
      <c r="B36" s="325" t="s">
        <v>405</v>
      </c>
      <c r="C36" s="452">
        <f>C20</f>
        <v>-9.36</v>
      </c>
      <c r="D36" s="452">
        <f>D20</f>
        <v>-6.62</v>
      </c>
      <c r="E36" s="461"/>
      <c r="F36" s="299"/>
      <c r="G36" s="311" t="s">
        <v>251</v>
      </c>
      <c r="H36" s="324"/>
      <c r="I36" s="323"/>
      <c r="J36" s="323"/>
      <c r="K36" s="323"/>
      <c r="L36" s="323"/>
      <c r="M36" s="323"/>
    </row>
    <row r="37" spans="1:13" ht="14" customHeight="1" x14ac:dyDescent="0.6">
      <c r="A37" s="348"/>
      <c r="C37" s="322">
        <f>C35+C36</f>
        <v>55.41</v>
      </c>
      <c r="D37" s="322">
        <f t="shared" ref="D37:E37" si="1">D35+D36</f>
        <v>71.13</v>
      </c>
      <c r="E37" s="322">
        <f t="shared" si="1"/>
        <v>71.13</v>
      </c>
      <c r="F37" s="299"/>
      <c r="H37" s="324"/>
      <c r="I37" s="323"/>
      <c r="J37" s="323"/>
      <c r="K37" s="323"/>
      <c r="L37" s="323"/>
      <c r="M37" s="323"/>
    </row>
    <row r="38" spans="1:13" x14ac:dyDescent="0.6">
      <c r="B38" s="325" t="s">
        <v>293</v>
      </c>
      <c r="C38" s="322"/>
      <c r="D38" s="322"/>
      <c r="E38" s="322"/>
      <c r="F38" s="299"/>
      <c r="H38" s="324"/>
      <c r="I38" s="323"/>
      <c r="J38" s="323"/>
      <c r="K38" s="323"/>
      <c r="L38" s="323"/>
      <c r="M38" s="323"/>
    </row>
    <row r="39" spans="1:13" x14ac:dyDescent="0.6">
      <c r="A39" s="348"/>
      <c r="B39" s="326" t="s">
        <v>292</v>
      </c>
      <c r="C39" s="492">
        <v>20</v>
      </c>
      <c r="D39" s="492">
        <v>18</v>
      </c>
      <c r="E39" s="492">
        <v>15</v>
      </c>
      <c r="F39" s="328"/>
    </row>
    <row r="40" spans="1:13" x14ac:dyDescent="0.6">
      <c r="A40" s="348"/>
      <c r="B40" s="326" t="s">
        <v>293</v>
      </c>
      <c r="C40" s="327">
        <f>C39+D39+E39</f>
        <v>53</v>
      </c>
      <c r="D40" s="327">
        <f>C40</f>
        <v>53</v>
      </c>
      <c r="E40" s="327">
        <f>C40</f>
        <v>53</v>
      </c>
      <c r="F40" s="300"/>
    </row>
    <row r="41" spans="1:13" ht="2.5" customHeight="1" x14ac:dyDescent="0.6">
      <c r="A41" s="348"/>
      <c r="B41" s="326"/>
      <c r="C41" s="301"/>
      <c r="D41" s="301"/>
      <c r="E41" s="301"/>
      <c r="F41" s="300"/>
    </row>
    <row r="42" spans="1:13" x14ac:dyDescent="0.6">
      <c r="B42" s="325" t="s">
        <v>294</v>
      </c>
      <c r="C42" s="329"/>
      <c r="D42" s="329"/>
      <c r="E42" s="330"/>
      <c r="F42" s="330"/>
      <c r="G42" s="311" t="s">
        <v>251</v>
      </c>
    </row>
    <row r="43" spans="1:13" x14ac:dyDescent="0.6">
      <c r="A43" s="348"/>
      <c r="B43" s="303" t="s">
        <v>25</v>
      </c>
      <c r="C43" s="331">
        <v>1</v>
      </c>
      <c r="D43" s="331">
        <v>1</v>
      </c>
      <c r="E43" s="331">
        <v>1</v>
      </c>
      <c r="F43" s="332"/>
    </row>
    <row r="44" spans="1:13" x14ac:dyDescent="0.6">
      <c r="A44" s="348"/>
      <c r="B44" s="303" t="s">
        <v>26</v>
      </c>
      <c r="C44" s="331">
        <v>1</v>
      </c>
      <c r="D44" s="331">
        <v>1</v>
      </c>
      <c r="E44" s="331">
        <v>1</v>
      </c>
      <c r="F44" s="333"/>
    </row>
    <row r="45" spans="1:13" ht="6" customHeight="1" x14ac:dyDescent="0.6">
      <c r="A45" s="348"/>
      <c r="B45" s="326"/>
      <c r="C45" s="334"/>
      <c r="D45" s="334"/>
      <c r="E45" s="335"/>
      <c r="F45" s="334"/>
    </row>
    <row r="46" spans="1:13" ht="25.5" customHeight="1" x14ac:dyDescent="0.6">
      <c r="B46" s="336" t="s">
        <v>295</v>
      </c>
      <c r="C46" s="334"/>
      <c r="D46" s="335"/>
      <c r="E46" s="335"/>
      <c r="F46" s="334"/>
    </row>
    <row r="47" spans="1:13" x14ac:dyDescent="0.6">
      <c r="A47" s="348"/>
      <c r="B47" s="337" t="s">
        <v>296</v>
      </c>
      <c r="C47" s="338">
        <f>'BGS PTY21 Cost Alloc'!N247</f>
        <v>6934938</v>
      </c>
      <c r="D47" s="338">
        <f>C47</f>
        <v>6934938</v>
      </c>
      <c r="E47" s="338">
        <f>C47</f>
        <v>6934938</v>
      </c>
      <c r="F47" s="339">
        <f t="shared" ref="F47:F48" si="2">E47</f>
        <v>6934938</v>
      </c>
      <c r="G47" s="581" t="s">
        <v>251</v>
      </c>
    </row>
    <row r="48" spans="1:13" x14ac:dyDescent="0.6">
      <c r="A48" s="348"/>
      <c r="B48" s="337" t="s">
        <v>297</v>
      </c>
      <c r="C48" s="338">
        <f>'BGS PTY21 Cost Alloc'!N248</f>
        <v>10484289</v>
      </c>
      <c r="D48" s="338">
        <f>C48</f>
        <v>10484289</v>
      </c>
      <c r="E48" s="338">
        <f>C48</f>
        <v>10484289</v>
      </c>
      <c r="F48" s="339">
        <f t="shared" si="2"/>
        <v>10484289</v>
      </c>
      <c r="G48" s="581"/>
    </row>
    <row r="49" spans="1:8" ht="3.5" customHeight="1" x14ac:dyDescent="0.6">
      <c r="A49" s="348"/>
      <c r="B49" s="340"/>
      <c r="C49" s="334"/>
      <c r="D49" s="334"/>
      <c r="E49" s="335"/>
      <c r="F49" s="334"/>
    </row>
    <row r="50" spans="1:8" x14ac:dyDescent="0.6">
      <c r="B50" s="325" t="s">
        <v>305</v>
      </c>
      <c r="C50" s="334"/>
      <c r="D50" s="334"/>
      <c r="E50" s="335"/>
      <c r="F50" s="334"/>
    </row>
    <row r="51" spans="1:8" x14ac:dyDescent="0.6">
      <c r="A51" s="348"/>
      <c r="B51" s="303" t="s">
        <v>25</v>
      </c>
      <c r="C51" s="305">
        <f t="shared" ref="C51:C52" si="3">+C$35*C$39/C$40*C43*C47+C$36*C$39/C$40*C47</f>
        <v>145005628.1433962</v>
      </c>
      <c r="D51" s="305">
        <f t="shared" ref="D51:E51" si="4">+D$35*D$39/D$40*D43*D47+D$36*D$39/D$40*D47</f>
        <v>167529783.37584907</v>
      </c>
      <c r="E51" s="305">
        <f t="shared" si="4"/>
        <v>139608152.81320751</v>
      </c>
      <c r="F51" s="305">
        <f>SUM(C51:E51)</f>
        <v>452143564.33245277</v>
      </c>
    </row>
    <row r="52" spans="1:8" ht="15.25" x14ac:dyDescent="1.05">
      <c r="A52" s="348"/>
      <c r="B52" s="304" t="s">
        <v>26</v>
      </c>
      <c r="C52" s="306">
        <f t="shared" si="3"/>
        <v>219220548.48679242</v>
      </c>
      <c r="D52" s="306">
        <f t="shared" ref="D52:E52" si="5">+D$35*D$39/D$40*D44*D48+D$36*D$39/D$40*D48</f>
        <v>253272727.89169812</v>
      </c>
      <c r="E52" s="306">
        <f t="shared" si="5"/>
        <v>211060606.57641506</v>
      </c>
      <c r="F52" s="306">
        <f>SUM(C52:E52)</f>
        <v>683553882.95490563</v>
      </c>
    </row>
    <row r="53" spans="1:8" x14ac:dyDescent="0.6">
      <c r="A53" s="348"/>
      <c r="B53" s="326" t="s">
        <v>13</v>
      </c>
      <c r="C53" s="341">
        <f>+C52+C51</f>
        <v>364226176.63018858</v>
      </c>
      <c r="D53" s="341">
        <f>+D52+D51</f>
        <v>420802511.26754719</v>
      </c>
      <c r="E53" s="342">
        <f>+E52+E51</f>
        <v>350668759.38962257</v>
      </c>
      <c r="F53" s="341">
        <f>+F52+F51</f>
        <v>1135697447.2873583</v>
      </c>
      <c r="H53" s="343"/>
    </row>
    <row r="54" spans="1:8" x14ac:dyDescent="0.6">
      <c r="B54" s="326"/>
      <c r="C54" s="344"/>
      <c r="D54" s="344"/>
      <c r="E54" s="344"/>
      <c r="F54" s="344"/>
    </row>
    <row r="55" spans="1:8" x14ac:dyDescent="0.6">
      <c r="B55" s="326" t="s">
        <v>298</v>
      </c>
      <c r="C55" s="344"/>
      <c r="D55" s="344" t="s">
        <v>251</v>
      </c>
      <c r="E55" s="344"/>
      <c r="F55" s="402">
        <f>ROUND(F53/(F47+F48),2)</f>
        <v>65.2</v>
      </c>
      <c r="G55" s="311" t="s">
        <v>328</v>
      </c>
    </row>
    <row r="56" spans="1:8" x14ac:dyDescent="0.6">
      <c r="B56" s="326"/>
      <c r="C56" s="344"/>
      <c r="D56" s="344"/>
      <c r="E56" s="344"/>
      <c r="F56" s="402"/>
    </row>
    <row r="57" spans="1:8" x14ac:dyDescent="0.6">
      <c r="B57" s="326"/>
      <c r="C57" s="344"/>
      <c r="D57" s="344"/>
      <c r="E57" s="344"/>
      <c r="F57" s="402"/>
    </row>
    <row r="58" spans="1:8" x14ac:dyDescent="0.6">
      <c r="B58" s="326"/>
    </row>
    <row r="59" spans="1:8" x14ac:dyDescent="0.6">
      <c r="A59" s="462" t="s">
        <v>251</v>
      </c>
      <c r="B59" s="462"/>
      <c r="C59" s="462"/>
      <c r="D59" s="462"/>
      <c r="E59" s="462"/>
      <c r="F59" s="462"/>
      <c r="G59" s="451"/>
    </row>
    <row r="60" spans="1:8" ht="16" customHeight="1" x14ac:dyDescent="0.6">
      <c r="A60" s="462"/>
      <c r="B60" s="462"/>
      <c r="C60" s="462"/>
      <c r="D60" s="462"/>
      <c r="E60" s="462"/>
      <c r="F60" s="462"/>
    </row>
  </sheetData>
  <sheetProtection algorithmName="SHA-512" hashValue="1pRtk6yu9ya+arlk8sfFJnFU5zNPy8yb/4jMqsbaUkWelczqKjKFdm+9rcOquwjDrHCeTnkRXPICPso7K8g/WA==" saltValue="COZODBmjNJdIqG0FlXkn4Q==" spinCount="100000" sheet="1" objects="1" scenarios="1"/>
  <mergeCells count="13">
    <mergeCell ref="G47:G48"/>
    <mergeCell ref="A28:G28"/>
    <mergeCell ref="A29:G29"/>
    <mergeCell ref="B1:F1"/>
    <mergeCell ref="B2:F2"/>
    <mergeCell ref="B3:F3"/>
    <mergeCell ref="A5:F5"/>
    <mergeCell ref="A26:G26"/>
    <mergeCell ref="E9:G9"/>
    <mergeCell ref="E18:G18"/>
    <mergeCell ref="E11:G11"/>
    <mergeCell ref="A23:G24"/>
    <mergeCell ref="E8:H8"/>
  </mergeCells>
  <pageMargins left="0.7" right="0.7" top="0.75" bottom="0.75" header="0.3" footer="0.3"/>
  <pageSetup scale="67" orientation="portrait" r:id="rId1"/>
  <headerFooter alignWithMargins="0">
    <oddFooter xml:space="preserve">&amp;C
</oddFooter>
  </headerFooter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85D6-78C7-4ED7-874D-ED2498794D80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311" customWidth="1"/>
    <col min="2" max="2" width="39" style="311" customWidth="1"/>
    <col min="3" max="3" width="16.26953125" style="311" customWidth="1"/>
    <col min="4" max="4" width="15.1796875" style="311" customWidth="1"/>
    <col min="5" max="5" width="12.453125" style="311" customWidth="1"/>
    <col min="6" max="6" width="17.1796875" style="311" customWidth="1"/>
    <col min="7" max="7" width="52.1796875" style="311" customWidth="1"/>
    <col min="8" max="8" width="20.7265625" style="311" customWidth="1"/>
    <col min="9" max="16384" width="8.90625" style="311"/>
  </cols>
  <sheetData>
    <row r="1" spans="1:17" ht="15.5" x14ac:dyDescent="0.7">
      <c r="A1" s="12"/>
      <c r="B1" s="578" t="s">
        <v>69</v>
      </c>
      <c r="C1" s="578"/>
      <c r="D1" s="578"/>
      <c r="E1" s="578"/>
      <c r="F1" s="578"/>
    </row>
    <row r="2" spans="1:17" ht="15.5" x14ac:dyDescent="0.7">
      <c r="A2" s="12"/>
      <c r="B2" s="578" t="s">
        <v>353</v>
      </c>
      <c r="C2" s="578"/>
      <c r="D2" s="578"/>
      <c r="E2" s="578"/>
      <c r="F2" s="578"/>
    </row>
    <row r="3" spans="1:17" ht="33" customHeight="1" x14ac:dyDescent="0.7">
      <c r="A3" s="12"/>
      <c r="B3" s="584" t="s">
        <v>345</v>
      </c>
      <c r="C3" s="578"/>
      <c r="D3" s="578"/>
      <c r="E3" s="578"/>
      <c r="F3" s="578"/>
    </row>
    <row r="4" spans="1:17" ht="15.5" x14ac:dyDescent="0.7">
      <c r="A4" s="12"/>
      <c r="B4" s="491"/>
      <c r="C4" s="491"/>
      <c r="D4" s="491"/>
      <c r="E4" s="491"/>
      <c r="F4" s="491"/>
    </row>
    <row r="5" spans="1:17" ht="18" x14ac:dyDescent="0.8">
      <c r="A5" s="585" t="s">
        <v>361</v>
      </c>
      <c r="B5" s="585"/>
      <c r="C5" s="585"/>
      <c r="D5" s="585"/>
      <c r="E5" s="585"/>
      <c r="F5" s="585"/>
    </row>
    <row r="7" spans="1:17" ht="90.5" customHeight="1" x14ac:dyDescent="0.6">
      <c r="C7" s="442" t="s">
        <v>384</v>
      </c>
      <c r="D7" s="442" t="s">
        <v>386</v>
      </c>
      <c r="E7" s="443" t="s">
        <v>318</v>
      </c>
      <c r="F7" s="444"/>
      <c r="I7" s="311" t="s">
        <v>251</v>
      </c>
    </row>
    <row r="8" spans="1:17" ht="24.5" customHeight="1" x14ac:dyDescent="0.6">
      <c r="A8" s="369">
        <v>1</v>
      </c>
      <c r="B8" s="450" t="s">
        <v>359</v>
      </c>
      <c r="C8" s="507">
        <v>50</v>
      </c>
      <c r="D8" s="507">
        <v>50</v>
      </c>
      <c r="E8" s="508" t="s">
        <v>365</v>
      </c>
      <c r="F8" s="509"/>
      <c r="G8" s="509"/>
      <c r="H8" s="509"/>
    </row>
    <row r="9" spans="1:17" ht="14.5" customHeight="1" x14ac:dyDescent="0.6">
      <c r="A9" s="369">
        <v>2</v>
      </c>
      <c r="B9" s="488" t="s">
        <v>329</v>
      </c>
      <c r="C9" s="511">
        <v>87.98</v>
      </c>
      <c r="D9" s="534">
        <v>66.38</v>
      </c>
      <c r="E9" s="510" t="s">
        <v>407</v>
      </c>
      <c r="F9" s="510"/>
      <c r="G9" s="510"/>
      <c r="H9" s="369"/>
    </row>
    <row r="10" spans="1:17" ht="14.5" customHeight="1" x14ac:dyDescent="0.6">
      <c r="A10" s="369">
        <v>3</v>
      </c>
      <c r="B10" s="487" t="s">
        <v>330</v>
      </c>
      <c r="C10" s="512">
        <f>C8-C9</f>
        <v>-37.980000000000004</v>
      </c>
      <c r="D10" s="512">
        <f>D8-D9</f>
        <v>-16.379999999999995</v>
      </c>
      <c r="E10" s="589" t="s">
        <v>332</v>
      </c>
      <c r="F10" s="589"/>
      <c r="G10" s="589"/>
      <c r="H10" s="369"/>
    </row>
    <row r="11" spans="1:17" x14ac:dyDescent="0.6">
      <c r="A11" s="369">
        <f>A10+1</f>
        <v>4</v>
      </c>
      <c r="B11" s="446" t="s">
        <v>319</v>
      </c>
      <c r="C11" s="513">
        <f>'BGS PTY21 Cost Alloc'!J164</f>
        <v>4595.5311220000003</v>
      </c>
      <c r="D11" s="513">
        <f>C11</f>
        <v>4595.5311220000003</v>
      </c>
      <c r="E11" s="587" t="s">
        <v>398</v>
      </c>
      <c r="F11" s="587"/>
      <c r="G11" s="587"/>
      <c r="H11" s="587"/>
    </row>
    <row r="12" spans="1:17" x14ac:dyDescent="0.6">
      <c r="A12" s="369">
        <f t="shared" ref="A12:A20" si="0">A11+1</f>
        <v>5</v>
      </c>
      <c r="B12" s="446" t="s">
        <v>320</v>
      </c>
      <c r="C12" s="514">
        <v>365</v>
      </c>
      <c r="D12" s="514">
        <v>365</v>
      </c>
      <c r="E12" s="447"/>
      <c r="F12" s="447"/>
      <c r="G12" s="369"/>
      <c r="H12" s="369"/>
    </row>
    <row r="13" spans="1:17" x14ac:dyDescent="0.6">
      <c r="A13" s="369">
        <f t="shared" si="0"/>
        <v>6</v>
      </c>
      <c r="B13" s="446" t="s">
        <v>335</v>
      </c>
      <c r="C13" s="515">
        <f>C10*C11*C12</f>
        <v>-63706469.284949407</v>
      </c>
      <c r="D13" s="515">
        <f>D10*D11*D12</f>
        <v>-27475301.919101395</v>
      </c>
      <c r="E13" s="372" t="s">
        <v>321</v>
      </c>
      <c r="F13" s="447"/>
      <c r="G13" s="369"/>
      <c r="H13" s="369"/>
      <c r="J13" s="348"/>
      <c r="P13" s="348"/>
    </row>
    <row r="14" spans="1:17" x14ac:dyDescent="0.6">
      <c r="A14" s="369">
        <f t="shared" si="0"/>
        <v>7</v>
      </c>
      <c r="B14" s="446" t="s">
        <v>322</v>
      </c>
      <c r="C14" s="516">
        <f>C37</f>
        <v>18</v>
      </c>
      <c r="D14" s="516">
        <f>D37</f>
        <v>15</v>
      </c>
      <c r="E14" s="447"/>
      <c r="F14" s="447"/>
      <c r="G14" s="369"/>
      <c r="H14" s="369"/>
      <c r="J14" s="506"/>
      <c r="K14" s="456"/>
      <c r="P14" s="348"/>
      <c r="Q14" s="456"/>
    </row>
    <row r="15" spans="1:17" x14ac:dyDescent="0.6">
      <c r="A15" s="369">
        <f t="shared" si="0"/>
        <v>8</v>
      </c>
      <c r="B15" s="446" t="s">
        <v>323</v>
      </c>
      <c r="C15" s="517">
        <f>E38</f>
        <v>53</v>
      </c>
      <c r="D15" s="517">
        <f>C15</f>
        <v>53</v>
      </c>
      <c r="E15" s="447"/>
      <c r="F15" s="447"/>
      <c r="G15" s="369"/>
      <c r="H15" s="369"/>
      <c r="K15" s="456"/>
      <c r="Q15" s="456"/>
    </row>
    <row r="16" spans="1:17" ht="18" customHeight="1" x14ac:dyDescent="0.6">
      <c r="A16" s="369">
        <f t="shared" si="0"/>
        <v>9</v>
      </c>
      <c r="B16" s="446" t="s">
        <v>336</v>
      </c>
      <c r="C16" s="518">
        <f>C14/C15</f>
        <v>0.33962264150943394</v>
      </c>
      <c r="D16" s="518">
        <f>D14/D15</f>
        <v>0.28301886792452829</v>
      </c>
      <c r="E16" s="448" t="s">
        <v>324</v>
      </c>
      <c r="F16" s="447"/>
      <c r="G16" s="369"/>
      <c r="H16" s="369"/>
      <c r="K16" s="456"/>
      <c r="Q16" s="456"/>
    </row>
    <row r="17" spans="1:8" s="449" customFormat="1" ht="18" customHeight="1" x14ac:dyDescent="0.6">
      <c r="A17" s="449">
        <f t="shared" si="0"/>
        <v>10</v>
      </c>
      <c r="B17" s="450" t="s">
        <v>337</v>
      </c>
      <c r="C17" s="519">
        <f>C13*C16</f>
        <v>-21636159.379794136</v>
      </c>
      <c r="D17" s="519">
        <f>D13*D16</f>
        <v>-7776028.8450286966</v>
      </c>
      <c r="E17" s="448" t="s">
        <v>325</v>
      </c>
      <c r="F17" s="447"/>
      <c r="G17" s="369"/>
      <c r="H17" s="369"/>
    </row>
    <row r="18" spans="1:8" ht="26" x14ac:dyDescent="0.6">
      <c r="A18" s="369">
        <f t="shared" si="0"/>
        <v>11</v>
      </c>
      <c r="B18" s="370" t="s">
        <v>338</v>
      </c>
      <c r="C18" s="520">
        <f>F45+F46</f>
        <v>17419227</v>
      </c>
      <c r="D18" s="520">
        <f>C18</f>
        <v>17419227</v>
      </c>
      <c r="E18" s="587" t="s">
        <v>399</v>
      </c>
      <c r="F18" s="587"/>
      <c r="G18" s="587"/>
      <c r="H18" s="587"/>
    </row>
    <row r="19" spans="1:8" ht="26" x14ac:dyDescent="0.6">
      <c r="A19" s="369">
        <f t="shared" si="0"/>
        <v>12</v>
      </c>
      <c r="B19" s="370" t="s">
        <v>339</v>
      </c>
      <c r="C19" s="521">
        <f>C18*C16</f>
        <v>5915963.8867924521</v>
      </c>
      <c r="D19" s="521">
        <f>D18*D16</f>
        <v>4929969.9056603769</v>
      </c>
      <c r="E19" s="448" t="s">
        <v>326</v>
      </c>
      <c r="F19" s="447"/>
      <c r="G19" s="369"/>
      <c r="H19" s="369"/>
    </row>
    <row r="20" spans="1:8" s="451" customFormat="1" ht="18" customHeight="1" x14ac:dyDescent="0.6">
      <c r="A20" s="451">
        <f t="shared" si="0"/>
        <v>13</v>
      </c>
      <c r="B20" s="445" t="s">
        <v>331</v>
      </c>
      <c r="C20" s="522">
        <f>ROUND(C17/C19,2)</f>
        <v>-3.66</v>
      </c>
      <c r="D20" s="522">
        <f>ROUND(D17/D19,2)</f>
        <v>-1.58</v>
      </c>
      <c r="E20" s="372" t="s">
        <v>327</v>
      </c>
      <c r="F20" s="447"/>
      <c r="G20" s="369"/>
      <c r="H20" s="369"/>
    </row>
    <row r="21" spans="1:8" x14ac:dyDescent="0.6">
      <c r="A21" s="369"/>
      <c r="B21" s="370"/>
      <c r="C21" s="371"/>
      <c r="D21" s="372"/>
      <c r="E21" s="447"/>
    </row>
    <row r="22" spans="1:8" x14ac:dyDescent="0.6">
      <c r="A22" s="311" t="s">
        <v>317</v>
      </c>
      <c r="B22" s="370"/>
      <c r="C22" s="371"/>
      <c r="D22" s="372"/>
      <c r="E22" s="447"/>
    </row>
    <row r="23" spans="1:8" x14ac:dyDescent="0.6">
      <c r="A23" s="588" t="s">
        <v>385</v>
      </c>
      <c r="B23" s="588"/>
      <c r="C23" s="588"/>
      <c r="D23" s="588"/>
      <c r="E23" s="588"/>
      <c r="F23" s="588"/>
      <c r="G23" s="588"/>
    </row>
    <row r="24" spans="1:8" x14ac:dyDescent="0.6">
      <c r="A24" s="588"/>
      <c r="B24" s="588"/>
      <c r="C24" s="588"/>
      <c r="D24" s="588"/>
      <c r="E24" s="588"/>
      <c r="F24" s="588"/>
      <c r="G24" s="588"/>
    </row>
    <row r="25" spans="1:8" x14ac:dyDescent="0.6">
      <c r="A25" s="313"/>
    </row>
    <row r="26" spans="1:8" ht="15.5" x14ac:dyDescent="0.7">
      <c r="A26" s="582" t="s">
        <v>303</v>
      </c>
      <c r="B26" s="582"/>
      <c r="C26" s="582"/>
      <c r="D26" s="582"/>
      <c r="E26" s="582"/>
      <c r="F26" s="582"/>
      <c r="G26" s="582"/>
    </row>
    <row r="27" spans="1:8" ht="15.5" x14ac:dyDescent="0.7">
      <c r="A27" s="583" t="s">
        <v>368</v>
      </c>
      <c r="B27" s="583"/>
      <c r="C27" s="583"/>
      <c r="D27" s="583"/>
      <c r="E27" s="583"/>
      <c r="F27" s="583"/>
      <c r="G27" s="583"/>
    </row>
    <row r="28" spans="1:8" x14ac:dyDescent="0.6">
      <c r="F28" s="315"/>
    </row>
    <row r="29" spans="1:8" ht="53.4" customHeight="1" x14ac:dyDescent="0.6">
      <c r="B29" s="314"/>
      <c r="C29" s="316" t="s">
        <v>334</v>
      </c>
      <c r="D29" s="316" t="s">
        <v>343</v>
      </c>
      <c r="E29" s="316" t="s">
        <v>362</v>
      </c>
      <c r="F29" s="316" t="s">
        <v>304</v>
      </c>
    </row>
    <row r="30" spans="1:8" ht="26" x14ac:dyDescent="0.6">
      <c r="B30" s="314"/>
      <c r="C30" s="457" t="s">
        <v>342</v>
      </c>
      <c r="D30" s="458" t="s">
        <v>344</v>
      </c>
      <c r="E30" s="458" t="s">
        <v>363</v>
      </c>
      <c r="F30" s="316"/>
    </row>
    <row r="31" spans="1:8" ht="26" x14ac:dyDescent="0.6">
      <c r="B31" s="317"/>
      <c r="C31" s="318" t="s">
        <v>288</v>
      </c>
      <c r="D31" s="318" t="s">
        <v>289</v>
      </c>
      <c r="E31" s="319" t="s">
        <v>290</v>
      </c>
      <c r="F31" s="318"/>
    </row>
    <row r="32" spans="1:8" x14ac:dyDescent="0.6">
      <c r="C32" s="320"/>
      <c r="D32" s="320"/>
      <c r="E32" s="320"/>
      <c r="F32" s="367"/>
    </row>
    <row r="33" spans="1:13" x14ac:dyDescent="0.6">
      <c r="A33" s="348"/>
      <c r="B33" s="321" t="s">
        <v>291</v>
      </c>
      <c r="C33" s="322">
        <f>'Attachment 3 - 23-24'!D35</f>
        <v>77.75</v>
      </c>
      <c r="D33" s="577">
        <v>71.13</v>
      </c>
      <c r="E33" s="576">
        <v>69.55</v>
      </c>
      <c r="F33" s="299"/>
      <c r="G33" s="311" t="s">
        <v>251</v>
      </c>
      <c r="H33" s="324"/>
      <c r="I33" s="323"/>
      <c r="J33" s="323"/>
      <c r="K33" s="323"/>
      <c r="L33" s="323"/>
      <c r="M33" s="323"/>
    </row>
    <row r="34" spans="1:13" x14ac:dyDescent="0.6">
      <c r="A34" s="348"/>
      <c r="B34" s="325" t="s">
        <v>405</v>
      </c>
      <c r="C34" s="452">
        <f>C20</f>
        <v>-3.66</v>
      </c>
      <c r="D34" s="452">
        <f>D20</f>
        <v>-1.58</v>
      </c>
      <c r="E34" s="461"/>
      <c r="F34" s="299"/>
      <c r="G34" s="311" t="s">
        <v>251</v>
      </c>
      <c r="H34" s="324"/>
      <c r="I34" s="323"/>
      <c r="J34" s="323"/>
      <c r="K34" s="323"/>
      <c r="L34" s="323"/>
      <c r="M34" s="323"/>
    </row>
    <row r="35" spans="1:13" x14ac:dyDescent="0.6">
      <c r="A35" s="348"/>
      <c r="C35" s="322">
        <f>C33+C34</f>
        <v>74.09</v>
      </c>
      <c r="D35" s="322">
        <f t="shared" ref="D35:E35" si="1">D33+D34</f>
        <v>69.55</v>
      </c>
      <c r="E35" s="322">
        <f t="shared" si="1"/>
        <v>69.55</v>
      </c>
      <c r="F35" s="299"/>
      <c r="H35" s="324"/>
      <c r="I35" s="323"/>
      <c r="J35" s="323"/>
      <c r="K35" s="323"/>
      <c r="L35" s="323"/>
      <c r="M35" s="323"/>
    </row>
    <row r="36" spans="1:13" x14ac:dyDescent="0.6">
      <c r="B36" s="325" t="s">
        <v>293</v>
      </c>
      <c r="C36" s="322"/>
      <c r="D36" s="322"/>
      <c r="E36" s="322"/>
      <c r="F36" s="299"/>
      <c r="H36" s="324"/>
      <c r="I36" s="323"/>
      <c r="J36" s="323"/>
      <c r="K36" s="323"/>
      <c r="L36" s="323"/>
      <c r="M36" s="323"/>
    </row>
    <row r="37" spans="1:13" x14ac:dyDescent="0.6">
      <c r="A37" s="348"/>
      <c r="B37" s="326" t="s">
        <v>292</v>
      </c>
      <c r="C37" s="492">
        <v>18</v>
      </c>
      <c r="D37" s="492">
        <v>15</v>
      </c>
      <c r="E37" s="492">
        <v>20</v>
      </c>
      <c r="F37" s="328"/>
    </row>
    <row r="38" spans="1:13" x14ac:dyDescent="0.6">
      <c r="A38" s="348"/>
      <c r="B38" s="326" t="s">
        <v>293</v>
      </c>
      <c r="C38" s="327">
        <f>C37+D37+E37</f>
        <v>53</v>
      </c>
      <c r="D38" s="327">
        <f>C38</f>
        <v>53</v>
      </c>
      <c r="E38" s="327">
        <f>C38</f>
        <v>53</v>
      </c>
      <c r="F38" s="300"/>
    </row>
    <row r="39" spans="1:13" x14ac:dyDescent="0.6">
      <c r="A39" s="348"/>
      <c r="B39" s="326"/>
      <c r="C39" s="301"/>
      <c r="D39" s="301"/>
      <c r="E39" s="301"/>
      <c r="F39" s="300"/>
    </row>
    <row r="40" spans="1:13" x14ac:dyDescent="0.6">
      <c r="B40" s="325" t="s">
        <v>294</v>
      </c>
      <c r="C40" s="329"/>
      <c r="D40" s="329"/>
      <c r="E40" s="330"/>
      <c r="F40" s="330"/>
      <c r="G40" s="311" t="s">
        <v>251</v>
      </c>
    </row>
    <row r="41" spans="1:13" x14ac:dyDescent="0.6">
      <c r="A41" s="348"/>
      <c r="B41" s="303" t="s">
        <v>25</v>
      </c>
      <c r="C41" s="331">
        <v>1</v>
      </c>
      <c r="D41" s="331">
        <v>1</v>
      </c>
      <c r="E41" s="331">
        <v>1</v>
      </c>
      <c r="F41" s="332"/>
    </row>
    <row r="42" spans="1:13" x14ac:dyDescent="0.6">
      <c r="A42" s="348"/>
      <c r="B42" s="303" t="s">
        <v>26</v>
      </c>
      <c r="C42" s="331">
        <v>1</v>
      </c>
      <c r="D42" s="331">
        <v>1</v>
      </c>
      <c r="E42" s="331">
        <v>1</v>
      </c>
      <c r="F42" s="333"/>
    </row>
    <row r="43" spans="1:13" x14ac:dyDescent="0.6">
      <c r="A43" s="348"/>
      <c r="B43" s="326"/>
      <c r="C43" s="334"/>
      <c r="D43" s="334"/>
      <c r="E43" s="335"/>
      <c r="F43" s="334"/>
    </row>
    <row r="44" spans="1:13" ht="25.5" customHeight="1" x14ac:dyDescent="0.6">
      <c r="B44" s="336" t="s">
        <v>295</v>
      </c>
      <c r="C44" s="334"/>
      <c r="D44" s="335"/>
      <c r="E44" s="335"/>
      <c r="F44" s="334"/>
    </row>
    <row r="45" spans="1:13" x14ac:dyDescent="0.6">
      <c r="A45" s="348"/>
      <c r="B45" s="337" t="s">
        <v>296</v>
      </c>
      <c r="C45" s="338">
        <f>'BGS PTY21 Cost Alloc'!N247</f>
        <v>6934938</v>
      </c>
      <c r="D45" s="338">
        <f>C45</f>
        <v>6934938</v>
      </c>
      <c r="E45" s="338">
        <f>D45</f>
        <v>6934938</v>
      </c>
      <c r="F45" s="339">
        <f t="shared" ref="F45:F46" si="2">E45</f>
        <v>6934938</v>
      </c>
      <c r="G45" s="581" t="s">
        <v>251</v>
      </c>
    </row>
    <row r="46" spans="1:13" x14ac:dyDescent="0.6">
      <c r="A46" s="348"/>
      <c r="B46" s="337" t="s">
        <v>297</v>
      </c>
      <c r="C46" s="338">
        <f>'BGS PTY21 Cost Alloc'!N248</f>
        <v>10484289</v>
      </c>
      <c r="D46" s="338">
        <f>C46</f>
        <v>10484289</v>
      </c>
      <c r="E46" s="338">
        <f>D46</f>
        <v>10484289</v>
      </c>
      <c r="F46" s="339">
        <f t="shared" si="2"/>
        <v>10484289</v>
      </c>
      <c r="G46" s="581"/>
    </row>
    <row r="47" spans="1:13" x14ac:dyDescent="0.6">
      <c r="A47" s="348"/>
      <c r="B47" s="340"/>
      <c r="C47" s="334"/>
      <c r="D47" s="334"/>
      <c r="E47" s="335"/>
      <c r="F47" s="334"/>
    </row>
    <row r="48" spans="1:13" x14ac:dyDescent="0.6">
      <c r="B48" s="325" t="s">
        <v>305</v>
      </c>
      <c r="C48" s="334"/>
      <c r="D48" s="334"/>
      <c r="E48" s="335"/>
      <c r="F48" s="334"/>
    </row>
    <row r="49" spans="1:8" x14ac:dyDescent="0.6">
      <c r="A49" s="348"/>
      <c r="B49" s="303" t="s">
        <v>25</v>
      </c>
      <c r="C49" s="305">
        <f t="shared" ref="C49:E50" si="3">+C$33*C$37/C$38*C41*C45+C$34*C$37/C$38*C45</f>
        <v>174501358.78415096</v>
      </c>
      <c r="D49" s="305">
        <f t="shared" si="3"/>
        <v>136507057.89622638</v>
      </c>
      <c r="E49" s="305">
        <f t="shared" si="3"/>
        <v>182009410.52830186</v>
      </c>
      <c r="F49" s="305">
        <f>SUM(C49:E49)</f>
        <v>493017827.2086792</v>
      </c>
    </row>
    <row r="50" spans="1:8" ht="15.25" x14ac:dyDescent="1.05">
      <c r="A50" s="348"/>
      <c r="B50" s="304" t="s">
        <v>26</v>
      </c>
      <c r="C50" s="306">
        <f t="shared" si="3"/>
        <v>263812405.5883019</v>
      </c>
      <c r="D50" s="306">
        <f t="shared" si="3"/>
        <v>206372349.04245281</v>
      </c>
      <c r="E50" s="306">
        <f t="shared" si="3"/>
        <v>275163132.05660373</v>
      </c>
      <c r="F50" s="306">
        <f>SUM(C50:E50)</f>
        <v>745347886.68735838</v>
      </c>
    </row>
    <row r="51" spans="1:8" x14ac:dyDescent="0.6">
      <c r="A51" s="348"/>
      <c r="B51" s="326" t="s">
        <v>13</v>
      </c>
      <c r="C51" s="341">
        <f>+C50+C49</f>
        <v>438313764.37245286</v>
      </c>
      <c r="D51" s="341">
        <f>+D50+D49</f>
        <v>342879406.93867922</v>
      </c>
      <c r="E51" s="342">
        <f>+E50+E49</f>
        <v>457172542.58490562</v>
      </c>
      <c r="F51" s="341">
        <f>+F50+F49</f>
        <v>1238365713.8960376</v>
      </c>
      <c r="H51" s="343"/>
    </row>
    <row r="52" spans="1:8" x14ac:dyDescent="0.6">
      <c r="B52" s="326"/>
      <c r="C52" s="344"/>
      <c r="D52" s="344"/>
      <c r="E52" s="344"/>
      <c r="F52" s="344"/>
    </row>
    <row r="53" spans="1:8" x14ac:dyDescent="0.6">
      <c r="B53" s="326" t="s">
        <v>298</v>
      </c>
      <c r="C53" s="344"/>
      <c r="D53" s="344" t="s">
        <v>251</v>
      </c>
      <c r="E53" s="344"/>
      <c r="F53" s="402">
        <f>ROUND(F51/(F45+F46),2)</f>
        <v>71.09</v>
      </c>
      <c r="G53" s="311" t="s">
        <v>328</v>
      </c>
    </row>
    <row r="54" spans="1:8" x14ac:dyDescent="0.6">
      <c r="B54" s="326"/>
      <c r="C54" s="344"/>
      <c r="D54" s="344"/>
      <c r="E54" s="344"/>
      <c r="F54" s="402"/>
    </row>
    <row r="55" spans="1:8" x14ac:dyDescent="0.6">
      <c r="B55" s="326"/>
      <c r="C55" s="344"/>
      <c r="D55" s="344"/>
      <c r="E55" s="344"/>
      <c r="F55" s="402"/>
    </row>
    <row r="56" spans="1:8" x14ac:dyDescent="0.6">
      <c r="B56" s="326"/>
    </row>
    <row r="57" spans="1:8" x14ac:dyDescent="0.6">
      <c r="A57" s="462" t="s">
        <v>251</v>
      </c>
      <c r="B57" s="462"/>
      <c r="C57" s="462"/>
      <c r="D57" s="462"/>
      <c r="E57" s="462"/>
      <c r="F57" s="462"/>
      <c r="G57" s="451"/>
    </row>
    <row r="58" spans="1:8" ht="16" customHeight="1" x14ac:dyDescent="0.6">
      <c r="A58" s="462"/>
      <c r="B58" s="462"/>
      <c r="C58" s="462"/>
      <c r="D58" s="462"/>
      <c r="E58" s="462"/>
      <c r="F58" s="462"/>
    </row>
  </sheetData>
  <sheetProtection algorithmName="SHA-512" hashValue="OGbuCAFdkYlCspawTxBeB6W1vhRu/6+qbX95U2FpOd4JhzZ47SmrMGmBSswRJUmpeEOpL0Skcxf2FIMHRXsujg==" saltValue="/WdNoUiPKMEhfMSL5mTFHQ==" spinCount="100000" sheet="1" objects="1" scenarios="1"/>
  <mergeCells count="11">
    <mergeCell ref="A26:G26"/>
    <mergeCell ref="A27:G27"/>
    <mergeCell ref="G45:G46"/>
    <mergeCell ref="B1:F1"/>
    <mergeCell ref="B2:F2"/>
    <mergeCell ref="B3:F3"/>
    <mergeCell ref="A5:F5"/>
    <mergeCell ref="E10:G10"/>
    <mergeCell ref="E18:H18"/>
    <mergeCell ref="E11:H11"/>
    <mergeCell ref="A23:G24"/>
  </mergeCells>
  <pageMargins left="0.7" right="0.7" top="0.75" bottom="0.75" header="0.3" footer="0.3"/>
  <pageSetup scale="58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E739-1E5A-4CD8-9B00-64D03F782206}">
  <sheetPr>
    <pageSetUpPr fitToPage="1"/>
  </sheetPr>
  <dimension ref="A1:P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311" customWidth="1"/>
    <col min="2" max="2" width="39" style="311" customWidth="1"/>
    <col min="3" max="3" width="16.453125" style="311" customWidth="1"/>
    <col min="4" max="4" width="15.1796875" style="311" customWidth="1"/>
    <col min="5" max="5" width="15.7265625" style="311" customWidth="1"/>
    <col min="6" max="6" width="13.54296875" style="311" bestFit="1" customWidth="1"/>
    <col min="7" max="7" width="23.90625" style="311" customWidth="1"/>
    <col min="8" max="8" width="20.7265625" style="311" customWidth="1"/>
    <col min="9" max="16384" width="8.90625" style="311"/>
  </cols>
  <sheetData>
    <row r="1" spans="1:16" ht="15.5" x14ac:dyDescent="0.7">
      <c r="A1" s="12"/>
      <c r="B1" s="578" t="s">
        <v>69</v>
      </c>
      <c r="C1" s="578"/>
      <c r="D1" s="578"/>
      <c r="E1" s="578"/>
      <c r="F1" s="578"/>
    </row>
    <row r="2" spans="1:16" ht="15.5" x14ac:dyDescent="0.7">
      <c r="A2" s="12"/>
      <c r="B2" s="578" t="s">
        <v>354</v>
      </c>
      <c r="C2" s="578"/>
      <c r="D2" s="578"/>
      <c r="E2" s="578"/>
      <c r="F2" s="578"/>
    </row>
    <row r="3" spans="1:16" ht="33" customHeight="1" x14ac:dyDescent="0.7">
      <c r="A3" s="12"/>
      <c r="B3" s="584" t="s">
        <v>345</v>
      </c>
      <c r="C3" s="578"/>
      <c r="D3" s="578"/>
      <c r="E3" s="578"/>
      <c r="F3" s="578"/>
    </row>
    <row r="4" spans="1:16" ht="15.5" x14ac:dyDescent="0.7">
      <c r="A4" s="12"/>
      <c r="B4" s="533"/>
      <c r="C4" s="533"/>
      <c r="D4" s="533"/>
      <c r="E4" s="533"/>
      <c r="F4" s="533"/>
    </row>
    <row r="5" spans="1:16" ht="18" x14ac:dyDescent="0.8">
      <c r="A5" s="585" t="s">
        <v>379</v>
      </c>
      <c r="B5" s="585"/>
      <c r="C5" s="585"/>
      <c r="D5" s="585"/>
      <c r="E5" s="585"/>
      <c r="F5" s="585"/>
    </row>
    <row r="7" spans="1:16" ht="26" x14ac:dyDescent="0.6">
      <c r="C7" s="442" t="s">
        <v>400</v>
      </c>
      <c r="D7" s="443" t="s">
        <v>318</v>
      </c>
      <c r="E7" s="444"/>
      <c r="H7" s="311" t="s">
        <v>251</v>
      </c>
    </row>
    <row r="8" spans="1:16" ht="24.5" customHeight="1" x14ac:dyDescent="0.6">
      <c r="A8" s="369">
        <v>1</v>
      </c>
      <c r="B8" s="450" t="s">
        <v>359</v>
      </c>
      <c r="C8" s="507">
        <v>50</v>
      </c>
      <c r="D8" s="508" t="s">
        <v>365</v>
      </c>
      <c r="E8" s="509"/>
      <c r="F8" s="509"/>
      <c r="G8" s="509"/>
    </row>
    <row r="9" spans="1:16" ht="14.5" customHeight="1" x14ac:dyDescent="0.6">
      <c r="A9" s="369">
        <v>2</v>
      </c>
      <c r="B9" s="488" t="s">
        <v>329</v>
      </c>
      <c r="C9" s="511">
        <v>44.63</v>
      </c>
      <c r="D9" s="510" t="s">
        <v>380</v>
      </c>
      <c r="E9" s="510"/>
      <c r="F9" s="510"/>
      <c r="G9" s="369"/>
    </row>
    <row r="10" spans="1:16" ht="14.5" customHeight="1" x14ac:dyDescent="0.6">
      <c r="A10" s="369">
        <v>3</v>
      </c>
      <c r="B10" s="487" t="s">
        <v>330</v>
      </c>
      <c r="C10" s="512">
        <f>C8-C9</f>
        <v>5.3699999999999974</v>
      </c>
      <c r="D10" s="589" t="s">
        <v>332</v>
      </c>
      <c r="E10" s="589"/>
      <c r="F10" s="589"/>
      <c r="G10" s="369"/>
    </row>
    <row r="11" spans="1:16" x14ac:dyDescent="0.6">
      <c r="A11" s="369">
        <f>A10+1</f>
        <v>4</v>
      </c>
      <c r="B11" s="446" t="s">
        <v>319</v>
      </c>
      <c r="C11" s="513">
        <f>'BGS PTY21 Cost Alloc'!J164</f>
        <v>4595.5311220000003</v>
      </c>
      <c r="D11" s="587" t="s">
        <v>398</v>
      </c>
      <c r="E11" s="587"/>
      <c r="F11" s="587"/>
      <c r="G11" s="587"/>
    </row>
    <row r="12" spans="1:16" x14ac:dyDescent="0.6">
      <c r="A12" s="369">
        <f t="shared" ref="A12:A20" si="0">A11+1</f>
        <v>5</v>
      </c>
      <c r="B12" s="446" t="s">
        <v>320</v>
      </c>
      <c r="C12" s="514">
        <v>365</v>
      </c>
      <c r="D12" s="447"/>
      <c r="E12" s="447"/>
      <c r="F12" s="369"/>
      <c r="G12" s="369"/>
    </row>
    <row r="13" spans="1:16" x14ac:dyDescent="0.6">
      <c r="A13" s="369">
        <f t="shared" si="0"/>
        <v>6</v>
      </c>
      <c r="B13" s="446" t="s">
        <v>335</v>
      </c>
      <c r="C13" s="515">
        <f>C10*C11*C12</f>
        <v>9007470.7756760959</v>
      </c>
      <c r="D13" s="372" t="s">
        <v>321</v>
      </c>
      <c r="E13" s="447"/>
      <c r="F13" s="369"/>
      <c r="G13" s="369"/>
      <c r="I13" s="348"/>
      <c r="O13" s="348"/>
    </row>
    <row r="14" spans="1:16" x14ac:dyDescent="0.6">
      <c r="A14" s="369">
        <f t="shared" si="0"/>
        <v>7</v>
      </c>
      <c r="B14" s="446" t="s">
        <v>322</v>
      </c>
      <c r="C14" s="516">
        <f>C37</f>
        <v>15</v>
      </c>
      <c r="D14" s="447"/>
      <c r="E14" s="447"/>
      <c r="F14" s="369"/>
      <c r="G14" s="369"/>
      <c r="I14" s="506"/>
      <c r="J14" s="456"/>
      <c r="O14" s="348"/>
      <c r="P14" s="456"/>
    </row>
    <row r="15" spans="1:16" x14ac:dyDescent="0.6">
      <c r="A15" s="369">
        <f t="shared" si="0"/>
        <v>8</v>
      </c>
      <c r="B15" s="446" t="s">
        <v>323</v>
      </c>
      <c r="C15" s="517">
        <f>E38</f>
        <v>53</v>
      </c>
      <c r="D15" s="447"/>
      <c r="E15" s="447"/>
      <c r="F15" s="369"/>
      <c r="G15" s="369"/>
      <c r="J15" s="456"/>
      <c r="P15" s="456"/>
    </row>
    <row r="16" spans="1:16" ht="18" customHeight="1" x14ac:dyDescent="0.6">
      <c r="A16" s="369">
        <f t="shared" si="0"/>
        <v>9</v>
      </c>
      <c r="B16" s="446" t="s">
        <v>336</v>
      </c>
      <c r="C16" s="518">
        <f>C14/C15</f>
        <v>0.28301886792452829</v>
      </c>
      <c r="D16" s="448" t="s">
        <v>324</v>
      </c>
      <c r="E16" s="447"/>
      <c r="F16" s="369"/>
      <c r="G16" s="369"/>
      <c r="J16" s="456"/>
      <c r="P16" s="456"/>
    </row>
    <row r="17" spans="1:7" s="449" customFormat="1" ht="18" customHeight="1" x14ac:dyDescent="0.6">
      <c r="A17" s="449">
        <f t="shared" si="0"/>
        <v>10</v>
      </c>
      <c r="B17" s="450" t="s">
        <v>337</v>
      </c>
      <c r="C17" s="519">
        <f>C13*C16</f>
        <v>2549284.1817951212</v>
      </c>
      <c r="D17" s="448" t="s">
        <v>325</v>
      </c>
      <c r="E17" s="447"/>
      <c r="F17" s="369"/>
      <c r="G17" s="369"/>
    </row>
    <row r="18" spans="1:7" ht="26" x14ac:dyDescent="0.6">
      <c r="A18" s="369">
        <f t="shared" si="0"/>
        <v>11</v>
      </c>
      <c r="B18" s="370" t="s">
        <v>338</v>
      </c>
      <c r="C18" s="520">
        <f>F45+F46</f>
        <v>17419227</v>
      </c>
      <c r="D18" s="587" t="s">
        <v>408</v>
      </c>
      <c r="E18" s="587"/>
      <c r="F18" s="587"/>
      <c r="G18" s="587"/>
    </row>
    <row r="19" spans="1:7" ht="26" x14ac:dyDescent="0.6">
      <c r="A19" s="369">
        <f t="shared" si="0"/>
        <v>12</v>
      </c>
      <c r="B19" s="370" t="s">
        <v>339</v>
      </c>
      <c r="C19" s="521">
        <f>C18*C16</f>
        <v>4929969.9056603769</v>
      </c>
      <c r="D19" s="448" t="s">
        <v>326</v>
      </c>
      <c r="E19" s="447"/>
      <c r="F19" s="369"/>
      <c r="G19" s="369"/>
    </row>
    <row r="20" spans="1:7" s="451" customFormat="1" ht="18" customHeight="1" x14ac:dyDescent="0.6">
      <c r="A20" s="451">
        <f t="shared" si="0"/>
        <v>13</v>
      </c>
      <c r="B20" s="445" t="s">
        <v>331</v>
      </c>
      <c r="C20" s="522">
        <f>ROUND(C17/C19,2)</f>
        <v>0.52</v>
      </c>
      <c r="D20" s="372" t="s">
        <v>327</v>
      </c>
      <c r="E20" s="447"/>
      <c r="F20" s="369"/>
      <c r="G20" s="369"/>
    </row>
    <row r="21" spans="1:7" x14ac:dyDescent="0.6">
      <c r="A21" s="369"/>
      <c r="B21" s="370"/>
      <c r="C21" s="371"/>
      <c r="D21" s="372"/>
      <c r="E21" s="447"/>
    </row>
    <row r="22" spans="1:7" x14ac:dyDescent="0.6">
      <c r="A22" s="311" t="s">
        <v>317</v>
      </c>
      <c r="B22" s="370"/>
      <c r="C22" s="371"/>
      <c r="D22" s="372"/>
      <c r="E22" s="447"/>
    </row>
    <row r="23" spans="1:7" x14ac:dyDescent="0.6">
      <c r="A23" s="588"/>
      <c r="B23" s="588"/>
      <c r="C23" s="588"/>
      <c r="D23" s="588"/>
      <c r="E23" s="588"/>
      <c r="F23" s="588"/>
      <c r="G23" s="588"/>
    </row>
    <row r="24" spans="1:7" x14ac:dyDescent="0.6">
      <c r="A24" s="588"/>
      <c r="B24" s="588"/>
      <c r="C24" s="588"/>
      <c r="D24" s="588"/>
      <c r="E24" s="588"/>
      <c r="F24" s="588"/>
      <c r="G24" s="588"/>
    </row>
    <row r="25" spans="1:7" x14ac:dyDescent="0.6">
      <c r="A25" s="313"/>
    </row>
    <row r="26" spans="1:7" ht="15.5" x14ac:dyDescent="0.7">
      <c r="A26" s="582" t="s">
        <v>303</v>
      </c>
      <c r="B26" s="582"/>
      <c r="C26" s="582"/>
      <c r="D26" s="582"/>
      <c r="E26" s="582"/>
      <c r="F26" s="582"/>
      <c r="G26" s="582"/>
    </row>
    <row r="27" spans="1:7" ht="15.5" x14ac:dyDescent="0.7">
      <c r="A27" s="583" t="s">
        <v>383</v>
      </c>
      <c r="B27" s="583"/>
      <c r="C27" s="583"/>
      <c r="D27" s="583"/>
      <c r="E27" s="583"/>
      <c r="F27" s="583"/>
      <c r="G27" s="583"/>
    </row>
    <row r="28" spans="1:7" x14ac:dyDescent="0.6">
      <c r="F28" s="315"/>
    </row>
    <row r="29" spans="1:7" ht="53.4" customHeight="1" x14ac:dyDescent="0.6">
      <c r="B29" s="314"/>
      <c r="C29" s="316" t="s">
        <v>343</v>
      </c>
      <c r="D29" s="316" t="s">
        <v>362</v>
      </c>
      <c r="E29" s="316" t="s">
        <v>381</v>
      </c>
      <c r="F29" s="316" t="s">
        <v>304</v>
      </c>
    </row>
    <row r="30" spans="1:7" x14ac:dyDescent="0.6">
      <c r="B30" s="314"/>
      <c r="C30" s="457" t="s">
        <v>344</v>
      </c>
      <c r="D30" s="458" t="s">
        <v>363</v>
      </c>
      <c r="E30" s="458" t="s">
        <v>382</v>
      </c>
      <c r="F30" s="316"/>
    </row>
    <row r="31" spans="1:7" ht="26" x14ac:dyDescent="0.6">
      <c r="B31" s="317"/>
      <c r="C31" s="318" t="s">
        <v>288</v>
      </c>
      <c r="D31" s="318" t="s">
        <v>289</v>
      </c>
      <c r="E31" s="319" t="s">
        <v>290</v>
      </c>
      <c r="F31" s="318"/>
    </row>
    <row r="32" spans="1:7" x14ac:dyDescent="0.6">
      <c r="C32" s="320"/>
      <c r="D32" s="320"/>
      <c r="E32" s="320"/>
      <c r="F32" s="367"/>
    </row>
    <row r="33" spans="1:13" x14ac:dyDescent="0.6">
      <c r="A33" s="348"/>
      <c r="B33" s="321" t="s">
        <v>291</v>
      </c>
      <c r="C33" s="577">
        <f>'Attachment 3 - 23-24'!E35</f>
        <v>71.13</v>
      </c>
      <c r="D33" s="577">
        <f>C35</f>
        <v>71.649999999999991</v>
      </c>
      <c r="E33" s="576">
        <f>D33</f>
        <v>71.649999999999991</v>
      </c>
      <c r="F33" s="299"/>
      <c r="G33" s="311" t="s">
        <v>251</v>
      </c>
      <c r="H33" s="324"/>
      <c r="I33" s="323"/>
      <c r="J33" s="323"/>
      <c r="K33" s="323"/>
      <c r="L33" s="323"/>
      <c r="M33" s="323"/>
    </row>
    <row r="34" spans="1:13" x14ac:dyDescent="0.6">
      <c r="A34" s="348"/>
      <c r="B34" s="325" t="s">
        <v>405</v>
      </c>
      <c r="C34" s="452">
        <f>C20</f>
        <v>0.52</v>
      </c>
      <c r="D34" s="459"/>
      <c r="E34" s="461"/>
      <c r="F34" s="299"/>
      <c r="G34" s="311" t="s">
        <v>251</v>
      </c>
      <c r="H34" s="324"/>
      <c r="I34" s="323"/>
      <c r="J34" s="323"/>
      <c r="K34" s="323"/>
      <c r="L34" s="323"/>
      <c r="M34" s="323"/>
    </row>
    <row r="35" spans="1:13" x14ac:dyDescent="0.6">
      <c r="A35" s="348"/>
      <c r="C35" s="322">
        <f>C33+C34</f>
        <v>71.649999999999991</v>
      </c>
      <c r="D35" s="322">
        <f t="shared" ref="D35:E35" si="1">D33+D34</f>
        <v>71.649999999999991</v>
      </c>
      <c r="E35" s="322">
        <f t="shared" si="1"/>
        <v>71.649999999999991</v>
      </c>
      <c r="F35" s="299"/>
      <c r="H35" s="324"/>
      <c r="I35" s="323"/>
      <c r="J35" s="323"/>
      <c r="K35" s="323"/>
      <c r="L35" s="323"/>
      <c r="M35" s="323"/>
    </row>
    <row r="36" spans="1:13" x14ac:dyDescent="0.6">
      <c r="B36" s="325" t="s">
        <v>293</v>
      </c>
      <c r="C36" s="322"/>
      <c r="D36" s="322"/>
      <c r="E36" s="322"/>
      <c r="F36" s="299"/>
      <c r="H36" s="324"/>
      <c r="I36" s="323"/>
      <c r="J36" s="323"/>
      <c r="K36" s="323"/>
      <c r="L36" s="323"/>
      <c r="M36" s="323"/>
    </row>
    <row r="37" spans="1:13" x14ac:dyDescent="0.6">
      <c r="A37" s="348"/>
      <c r="B37" s="326" t="s">
        <v>292</v>
      </c>
      <c r="C37" s="492">
        <v>15</v>
      </c>
      <c r="D37" s="492">
        <v>20</v>
      </c>
      <c r="E37" s="492">
        <v>18</v>
      </c>
      <c r="F37" s="328"/>
    </row>
    <row r="38" spans="1:13" x14ac:dyDescent="0.6">
      <c r="A38" s="348"/>
      <c r="B38" s="326" t="s">
        <v>293</v>
      </c>
      <c r="C38" s="327">
        <f>C37+D37+E37</f>
        <v>53</v>
      </c>
      <c r="D38" s="327">
        <f>C38</f>
        <v>53</v>
      </c>
      <c r="E38" s="327">
        <f>C38</f>
        <v>53</v>
      </c>
      <c r="F38" s="300"/>
    </row>
    <row r="39" spans="1:13" x14ac:dyDescent="0.6">
      <c r="A39" s="348"/>
      <c r="B39" s="326"/>
      <c r="C39" s="301"/>
      <c r="D39" s="301"/>
      <c r="E39" s="301"/>
      <c r="F39" s="300"/>
    </row>
    <row r="40" spans="1:13" x14ac:dyDescent="0.6">
      <c r="B40" s="325" t="s">
        <v>294</v>
      </c>
      <c r="C40" s="329"/>
      <c r="D40" s="329"/>
      <c r="E40" s="330"/>
      <c r="F40" s="330"/>
      <c r="G40" s="311" t="s">
        <v>251</v>
      </c>
    </row>
    <row r="41" spans="1:13" x14ac:dyDescent="0.6">
      <c r="A41" s="348"/>
      <c r="B41" s="303" t="s">
        <v>25</v>
      </c>
      <c r="C41" s="331">
        <v>1</v>
      </c>
      <c r="D41" s="331">
        <v>1</v>
      </c>
      <c r="E41" s="331">
        <v>1</v>
      </c>
      <c r="F41" s="332"/>
    </row>
    <row r="42" spans="1:13" x14ac:dyDescent="0.6">
      <c r="A42" s="348"/>
      <c r="B42" s="303" t="s">
        <v>26</v>
      </c>
      <c r="C42" s="331">
        <v>1</v>
      </c>
      <c r="D42" s="331">
        <v>1</v>
      </c>
      <c r="E42" s="331">
        <v>1</v>
      </c>
      <c r="F42" s="333"/>
    </row>
    <row r="43" spans="1:13" x14ac:dyDescent="0.6">
      <c r="A43" s="348"/>
      <c r="B43" s="326"/>
      <c r="C43" s="334"/>
      <c r="D43" s="334"/>
      <c r="E43" s="335"/>
      <c r="F43" s="334"/>
    </row>
    <row r="44" spans="1:13" ht="25.5" customHeight="1" x14ac:dyDescent="0.6">
      <c r="B44" s="336" t="s">
        <v>295</v>
      </c>
      <c r="C44" s="334"/>
      <c r="D44" s="335"/>
      <c r="E44" s="335"/>
      <c r="F44" s="334"/>
    </row>
    <row r="45" spans="1:13" x14ac:dyDescent="0.6">
      <c r="A45" s="348"/>
      <c r="B45" s="337" t="s">
        <v>296</v>
      </c>
      <c r="C45" s="338">
        <f>'BGS PTY21 Cost Alloc'!N247</f>
        <v>6934938</v>
      </c>
      <c r="D45" s="338">
        <f>C45</f>
        <v>6934938</v>
      </c>
      <c r="E45" s="338">
        <f>D45</f>
        <v>6934938</v>
      </c>
      <c r="F45" s="339">
        <f t="shared" ref="F45:F46" si="2">E45</f>
        <v>6934938</v>
      </c>
      <c r="G45" s="581" t="s">
        <v>251</v>
      </c>
    </row>
    <row r="46" spans="1:13" x14ac:dyDescent="0.6">
      <c r="A46" s="348"/>
      <c r="B46" s="337" t="s">
        <v>297</v>
      </c>
      <c r="C46" s="338">
        <f>'BGS PTY21 Cost Alloc'!N248</f>
        <v>10484289</v>
      </c>
      <c r="D46" s="338">
        <f>C46</f>
        <v>10484289</v>
      </c>
      <c r="E46" s="338">
        <f>D46</f>
        <v>10484289</v>
      </c>
      <c r="F46" s="339">
        <f t="shared" si="2"/>
        <v>10484289</v>
      </c>
      <c r="G46" s="581"/>
    </row>
    <row r="47" spans="1:13" x14ac:dyDescent="0.6">
      <c r="A47" s="348"/>
      <c r="B47" s="340"/>
      <c r="C47" s="334"/>
      <c r="D47" s="334"/>
      <c r="E47" s="335"/>
      <c r="F47" s="334"/>
    </row>
    <row r="48" spans="1:13" x14ac:dyDescent="0.6">
      <c r="B48" s="325" t="s">
        <v>305</v>
      </c>
      <c r="C48" s="334"/>
      <c r="D48" s="334"/>
      <c r="E48" s="335"/>
      <c r="F48" s="334"/>
    </row>
    <row r="49" spans="1:8" x14ac:dyDescent="0.6">
      <c r="A49" s="348"/>
      <c r="B49" s="303" t="s">
        <v>25</v>
      </c>
      <c r="C49" s="305">
        <f t="shared" ref="C49:E50" si="3">+C$33*C$37/C$38*C41*C45+C$34*C$37/C$38*C45</f>
        <v>140628766.33018863</v>
      </c>
      <c r="D49" s="305">
        <f t="shared" si="3"/>
        <v>187505021.77358487</v>
      </c>
      <c r="E49" s="305">
        <f t="shared" si="3"/>
        <v>168754519.59622639</v>
      </c>
      <c r="F49" s="305">
        <f>SUM(C49:E49)</f>
        <v>496888307.69999987</v>
      </c>
    </row>
    <row r="50" spans="1:8" ht="15.25" x14ac:dyDescent="1.05">
      <c r="A50" s="348"/>
      <c r="B50" s="304" t="s">
        <v>26</v>
      </c>
      <c r="C50" s="306">
        <f t="shared" si="3"/>
        <v>212603577.41037732</v>
      </c>
      <c r="D50" s="306">
        <f t="shared" si="3"/>
        <v>283471436.54716974</v>
      </c>
      <c r="E50" s="306">
        <f t="shared" si="3"/>
        <v>255124292.89245281</v>
      </c>
      <c r="F50" s="306">
        <f>SUM(C50:E50)</f>
        <v>751199306.8499999</v>
      </c>
    </row>
    <row r="51" spans="1:8" x14ac:dyDescent="0.6">
      <c r="A51" s="348"/>
      <c r="B51" s="326" t="s">
        <v>13</v>
      </c>
      <c r="C51" s="341">
        <f>+C50+C49</f>
        <v>353232343.74056596</v>
      </c>
      <c r="D51" s="341">
        <f>+D50+D49</f>
        <v>470976458.32075465</v>
      </c>
      <c r="E51" s="342">
        <f>+E50+E49</f>
        <v>423878812.48867917</v>
      </c>
      <c r="F51" s="341">
        <f>+F50+F49</f>
        <v>1248087614.5499997</v>
      </c>
      <c r="H51" s="343"/>
    </row>
    <row r="52" spans="1:8" x14ac:dyDescent="0.6">
      <c r="B52" s="326"/>
      <c r="C52" s="344"/>
      <c r="D52" s="344"/>
      <c r="E52" s="344"/>
      <c r="F52" s="344"/>
    </row>
    <row r="53" spans="1:8" x14ac:dyDescent="0.6">
      <c r="B53" s="326" t="s">
        <v>298</v>
      </c>
      <c r="C53" s="344"/>
      <c r="D53" s="344" t="s">
        <v>251</v>
      </c>
      <c r="E53" s="344"/>
      <c r="F53" s="402">
        <f>ROUND(F51/(F45+F46),2)</f>
        <v>71.650000000000006</v>
      </c>
      <c r="G53" s="311" t="s">
        <v>328</v>
      </c>
    </row>
    <row r="54" spans="1:8" x14ac:dyDescent="0.6">
      <c r="B54" s="326"/>
      <c r="C54" s="344"/>
      <c r="D54" s="344"/>
      <c r="E54" s="344"/>
      <c r="F54" s="402"/>
    </row>
    <row r="55" spans="1:8" x14ac:dyDescent="0.6">
      <c r="B55" s="326"/>
      <c r="C55" s="344"/>
      <c r="D55" s="344"/>
      <c r="E55" s="344"/>
      <c r="F55" s="402"/>
    </row>
    <row r="56" spans="1:8" x14ac:dyDescent="0.6">
      <c r="B56" s="326"/>
    </row>
    <row r="57" spans="1:8" x14ac:dyDescent="0.6">
      <c r="A57" s="462" t="s">
        <v>251</v>
      </c>
      <c r="B57" s="462"/>
      <c r="C57" s="462"/>
      <c r="D57" s="462"/>
      <c r="E57" s="462"/>
      <c r="F57" s="462"/>
      <c r="G57" s="451"/>
    </row>
    <row r="58" spans="1:8" ht="16" customHeight="1" x14ac:dyDescent="0.6">
      <c r="A58" s="462"/>
      <c r="B58" s="462"/>
      <c r="C58" s="462"/>
      <c r="D58" s="462"/>
      <c r="E58" s="462"/>
      <c r="F58" s="462"/>
    </row>
  </sheetData>
  <sheetProtection algorithmName="SHA-512" hashValue="NLMsOF8XoEG2ILzYcolU4Jb9Kzh216y9scKMBt4LLFHnGIiOhg4Kj0RqCkdt46cbldDWBAF1slhBRbKkroEl0A==" saltValue="CUWRnVRu/d7D50lOV+GCsw==" spinCount="100000" sheet="1" objects="1" scenarios="1"/>
  <mergeCells count="11">
    <mergeCell ref="D18:G18"/>
    <mergeCell ref="A23:G24"/>
    <mergeCell ref="A26:G26"/>
    <mergeCell ref="A27:G27"/>
    <mergeCell ref="G45:G46"/>
    <mergeCell ref="D11:G11"/>
    <mergeCell ref="B1:F1"/>
    <mergeCell ref="B2:F2"/>
    <mergeCell ref="B3:F3"/>
    <mergeCell ref="A5:F5"/>
    <mergeCell ref="D10:F10"/>
  </mergeCells>
  <pageMargins left="0.7" right="0.7" top="0.75" bottom="0.75" header="0.3" footer="0.3"/>
  <pageSetup scale="71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BGS PTY19 Cost Alloc</vt:lpstr>
      <vt:lpstr>BGS PTY20 Cost Alloc</vt:lpstr>
      <vt:lpstr>BGS PTY21 Cost Alloc</vt:lpstr>
      <vt:lpstr>Composite Cost Allocation</vt:lpstr>
      <vt:lpstr>Attachment 3 - 23-24</vt:lpstr>
      <vt:lpstr>Attachment 3 - 24-25</vt:lpstr>
      <vt:lpstr>Attachment 3 - 25-26</vt:lpstr>
      <vt:lpstr>'Attachment 3 - 23-24'!Print_Area</vt:lpstr>
      <vt:lpstr>'Attachment 3 - 24-25'!Print_Area</vt:lpstr>
      <vt:lpstr>'Attachment 3 - 25-26'!Print_Area</vt:lpstr>
      <vt:lpstr>'BGS PTY19 Cost Alloc'!Print_Area</vt:lpstr>
      <vt:lpstr>'BGS PTY20 Cost Alloc'!Print_Area</vt:lpstr>
      <vt:lpstr>'BGS PTY21 Cost Alloc'!Print_Area</vt:lpstr>
      <vt:lpstr>'Composite Cost Allocation'!Print_Area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Morrison, Kate</cp:lastModifiedBy>
  <cp:lastPrinted>2022-06-13T18:17:17Z</cp:lastPrinted>
  <dcterms:created xsi:type="dcterms:W3CDTF">2002-02-27T17:48:59Z</dcterms:created>
  <dcterms:modified xsi:type="dcterms:W3CDTF">2022-06-30T14:09:28Z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{065FB972-B826-42AE-9457-517BAD84DA39}</vt:lpwstr>
  </property>
</Properties>
</file>