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3 Auction\3 RSCP Rates\1 July Filing\2 Received from EDCs\1 to post\"/>
    </mc:Choice>
  </mc:AlternateContent>
  <xr:revisionPtr revIDLastSave="0" documentId="8_{CB69C22D-0A3B-4F32-9400-80EA69EA3BA5}" xr6:coauthVersionLast="46" xr6:coauthVersionMax="46" xr10:uidLastSave="{00000000-0000-0000-0000-000000000000}"/>
  <bookViews>
    <workbookView xWindow="29250" yWindow="-15600" windowWidth="24615" windowHeight="14340" tabRatio="698" xr2:uid="{00000000-000D-0000-FFFF-FFFF00000000}"/>
  </bookViews>
  <sheets>
    <sheet name="Attachment 2" sheetId="1" r:id="rId1"/>
    <sheet name="Attachment 3" sheetId="3" r:id="rId2"/>
    <sheet name="Attachment 4 Pg1" sheetId="10" r:id="rId3"/>
    <sheet name="Attachment 4 Pg2" sheetId="11" r:id="rId4"/>
    <sheet name="Attachment 4 Pg3" sheetId="13" r:id="rId5"/>
    <sheet name="Attachment 4 Pg4" sheetId="12" r:id="rId6"/>
    <sheet name="Attachment 4 Pg5" sheetId="14" r:id="rId7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2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2">#REF!</definedName>
    <definedName name="Get_moc" localSheetId="3">#REF!</definedName>
    <definedName name="Get_moc" localSheetId="4">#REF!</definedName>
    <definedName name="Get_mo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3'!$A$5:$K$153</definedName>
    <definedName name="_xlnm.Print_Area" localSheetId="2">'Attachment 4 Pg1'!$A$1:$K$21</definedName>
    <definedName name="_xlnm.Print_Area" localSheetId="3">'Attachment 4 Pg2'!$A$1:$J$23</definedName>
    <definedName name="_xlnm.Print_Area" localSheetId="4">'Attachment 4 Pg3'!$A$1:$I$21</definedName>
    <definedName name="_xlnm.Print_Area" localSheetId="5">'Attachment 4 Pg4'!$A$1:$M$35</definedName>
    <definedName name="_xlnm.Print_Area" localSheetId="6">'Attachment 4 Pg5'!$A$1:$M$33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3'!$A$6:$M$107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3'!$A$6:$M$107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4" l="1"/>
  <c r="C17" i="14"/>
  <c r="D16" i="14"/>
  <c r="C16" i="14"/>
  <c r="D8" i="14"/>
  <c r="E8" i="14" s="1"/>
  <c r="C8" i="14"/>
  <c r="D8" i="12"/>
  <c r="C8" i="12"/>
  <c r="C13" i="13"/>
  <c r="C14" i="13" s="1"/>
  <c r="C7" i="13"/>
  <c r="D14" i="11"/>
  <c r="D7" i="11"/>
  <c r="E10" i="3"/>
  <c r="E10" i="14" l="1"/>
  <c r="D10" i="14"/>
  <c r="C12" i="10" l="1"/>
  <c r="C276" i="1"/>
  <c r="D17" i="12" l="1"/>
  <c r="C17" i="12"/>
  <c r="D16" i="12"/>
  <c r="C16" i="12"/>
  <c r="E8" i="12" l="1"/>
  <c r="E10" i="12" l="1"/>
  <c r="C7" i="11" l="1"/>
  <c r="D9" i="10"/>
  <c r="D7" i="10"/>
  <c r="D3" i="10"/>
  <c r="D12" i="10" l="1"/>
  <c r="C7" i="10"/>
  <c r="O48" i="1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3" i="3" l="1"/>
  <c r="C13" i="10" l="1"/>
  <c r="C13" i="11"/>
  <c r="C14" i="11" s="1"/>
  <c r="J163" i="1"/>
  <c r="C14" i="10" l="1"/>
  <c r="D13" i="10"/>
  <c r="D14" i="10" s="1"/>
  <c r="C57" i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P129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0" i="3"/>
  <c r="D86" i="3" s="1"/>
  <c r="E70" i="3"/>
  <c r="E86" i="3" s="1"/>
  <c r="F70" i="3"/>
  <c r="F86" i="3" s="1"/>
  <c r="G70" i="3"/>
  <c r="G86" i="3" s="1"/>
  <c r="H70" i="3"/>
  <c r="H86" i="3" s="1"/>
  <c r="I70" i="3"/>
  <c r="I86" i="3" s="1"/>
  <c r="J70" i="3"/>
  <c r="J86" i="3" s="1"/>
  <c r="C70" i="3"/>
  <c r="C86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C94" i="1" l="1"/>
  <c r="C112" i="1" s="1"/>
  <c r="D92" i="1"/>
  <c r="C92" i="1"/>
  <c r="C110" i="1" s="1"/>
  <c r="D94" i="1"/>
  <c r="D129" i="1" s="1"/>
  <c r="D112" i="1" l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C96" i="1" s="1"/>
  <c r="E64" i="1"/>
  <c r="D73" i="1"/>
  <c r="E73" i="1" s="1"/>
  <c r="E66" i="1"/>
  <c r="D98" i="1" l="1"/>
  <c r="D133" i="1" s="1"/>
  <c r="C100" i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3" l="1"/>
  <c r="C8" i="11"/>
  <c r="C8" i="10"/>
  <c r="C10" i="13"/>
  <c r="C16" i="13" s="1"/>
  <c r="C10" i="11"/>
  <c r="C16" i="11" s="1"/>
  <c r="D8" i="11"/>
  <c r="D10" i="11" s="1"/>
  <c r="D16" i="11" s="1"/>
  <c r="J154" i="1"/>
  <c r="J153" i="1"/>
  <c r="C175" i="1" s="1"/>
  <c r="C10" i="10" l="1"/>
  <c r="C16" i="10" s="1"/>
  <c r="D8" i="10"/>
  <c r="D10" i="10" s="1"/>
  <c r="D16" i="10" s="1"/>
  <c r="D175" i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3" i="3" s="1"/>
  <c r="C188" i="1"/>
  <c r="C212" i="1" s="1"/>
  <c r="C54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6" i="1" l="1"/>
  <c r="Q57" i="1"/>
  <c r="J184" i="1"/>
  <c r="J224" i="1" s="1"/>
  <c r="J100" i="1"/>
  <c r="F100" i="1"/>
  <c r="E100" i="1"/>
  <c r="F184" i="1"/>
  <c r="F224" i="1" s="1"/>
  <c r="H184" i="1"/>
  <c r="H224" i="1" s="1"/>
  <c r="G100" i="1"/>
  <c r="W48" i="1"/>
  <c r="C20" i="3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1" i="3"/>
  <c r="C21" i="12" l="1"/>
  <c r="C21" i="14"/>
  <c r="C20" i="12"/>
  <c r="C18" i="13"/>
  <c r="C19" i="13" s="1"/>
  <c r="C21" i="13" s="1"/>
  <c r="C9" i="14" s="1"/>
  <c r="C20" i="14"/>
  <c r="D24" i="14" s="1"/>
  <c r="C18" i="11"/>
  <c r="C18" i="10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19" i="11" l="1"/>
  <c r="C21" i="11" s="1"/>
  <c r="C9" i="12" s="1"/>
  <c r="C24" i="12" s="1"/>
  <c r="D18" i="11"/>
  <c r="D19" i="11" s="1"/>
  <c r="D21" i="11" s="1"/>
  <c r="D9" i="12" s="1"/>
  <c r="D10" i="12" s="1"/>
  <c r="C10" i="14"/>
  <c r="C25" i="14"/>
  <c r="C24" i="14"/>
  <c r="D25" i="14"/>
  <c r="D26" i="14" s="1"/>
  <c r="C19" i="10"/>
  <c r="C21" i="10" s="1"/>
  <c r="D18" i="10"/>
  <c r="D19" i="10" s="1"/>
  <c r="D21" i="10" s="1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C10" i="12" l="1"/>
  <c r="C25" i="12"/>
  <c r="C26" i="12" s="1"/>
  <c r="D25" i="12"/>
  <c r="D24" i="12"/>
  <c r="C26" i="14"/>
  <c r="D9" i="3"/>
  <c r="D10" i="3" s="1"/>
  <c r="C9" i="3"/>
  <c r="C10" i="3" s="1"/>
  <c r="F230" i="1"/>
  <c r="H226" i="1"/>
  <c r="H229" i="1" s="1"/>
  <c r="G226" i="1"/>
  <c r="G229" i="1" s="1"/>
  <c r="J226" i="1"/>
  <c r="J229" i="1" s="1"/>
  <c r="E193" i="1"/>
  <c r="D26" i="12" l="1"/>
  <c r="D25" i="3"/>
  <c r="D24" i="3"/>
  <c r="C24" i="3"/>
  <c r="C25" i="3"/>
  <c r="J230" i="1"/>
  <c r="H230" i="1"/>
  <c r="G230" i="1"/>
  <c r="C234" i="1"/>
  <c r="E226" i="1"/>
  <c r="E229" i="1" s="1"/>
  <c r="C196" i="1"/>
  <c r="D26" i="3" l="1"/>
  <c r="C26" i="3"/>
  <c r="C235" i="1"/>
  <c r="C238" i="1" s="1"/>
  <c r="E239" i="1"/>
  <c r="G199" i="1"/>
  <c r="C210" i="1" s="1"/>
  <c r="G198" i="1"/>
  <c r="E230" i="1"/>
  <c r="M239" i="1" l="1"/>
  <c r="E17" i="3" s="1"/>
  <c r="M238" i="1"/>
  <c r="E16" i="3" s="1"/>
  <c r="C239" i="1"/>
  <c r="D217" i="1"/>
  <c r="D62" i="3" s="1"/>
  <c r="J207" i="1"/>
  <c r="J48" i="3" s="1"/>
  <c r="G207" i="1"/>
  <c r="G48" i="3" s="1"/>
  <c r="D215" i="1"/>
  <c r="D59" i="3" s="1"/>
  <c r="D214" i="1"/>
  <c r="D58" i="3" s="1"/>
  <c r="C214" i="1"/>
  <c r="D208" i="1"/>
  <c r="D49" i="3" s="1"/>
  <c r="H207" i="1"/>
  <c r="H48" i="3" s="1"/>
  <c r="D207" i="1"/>
  <c r="D48" i="3" s="1"/>
  <c r="C217" i="1"/>
  <c r="C62" i="3" s="1"/>
  <c r="I207" i="1"/>
  <c r="I48" i="3" s="1"/>
  <c r="D209" i="1"/>
  <c r="D50" i="3" s="1"/>
  <c r="D216" i="1"/>
  <c r="D60" i="3" s="1"/>
  <c r="F207" i="1"/>
  <c r="F48" i="3" s="1"/>
  <c r="E207" i="1"/>
  <c r="E48" i="3" s="1"/>
  <c r="C52" i="3"/>
  <c r="I214" i="1"/>
  <c r="I58" i="3" s="1"/>
  <c r="I217" i="1"/>
  <c r="I62" i="3" s="1"/>
  <c r="F214" i="1"/>
  <c r="F58" i="3" s="1"/>
  <c r="F217" i="1"/>
  <c r="F62" i="3" s="1"/>
  <c r="J214" i="1"/>
  <c r="J58" i="3" s="1"/>
  <c r="G214" i="1"/>
  <c r="G58" i="3" s="1"/>
  <c r="H214" i="1"/>
  <c r="H58" i="3" s="1"/>
  <c r="H217" i="1"/>
  <c r="G217" i="1"/>
  <c r="G62" i="3" s="1"/>
  <c r="J217" i="1"/>
  <c r="J62" i="3" s="1"/>
  <c r="E214" i="1"/>
  <c r="E58" i="3" s="1"/>
  <c r="E217" i="1"/>
  <c r="E62" i="3" s="1"/>
  <c r="E24" i="3" l="1"/>
  <c r="E16" i="14"/>
  <c r="E24" i="14" s="1"/>
  <c r="C29" i="14" s="1"/>
  <c r="E25" i="3"/>
  <c r="E17" i="14"/>
  <c r="E25" i="14" s="1"/>
  <c r="E16" i="12"/>
  <c r="E17" i="12"/>
  <c r="H62" i="3"/>
  <c r="C58" i="3"/>
  <c r="E26" i="14" l="1"/>
  <c r="C32" i="14" s="1"/>
  <c r="C30" i="14"/>
  <c r="E25" i="12"/>
  <c r="C30" i="12" s="1"/>
  <c r="E24" i="12"/>
  <c r="C29" i="12" s="1"/>
  <c r="E26" i="12" l="1"/>
  <c r="C32" i="12" s="1"/>
  <c r="C99" i="3" l="1"/>
  <c r="C30" i="3" l="1"/>
  <c r="C98" i="3"/>
  <c r="C145" i="3" s="1"/>
  <c r="C29" i="3"/>
  <c r="C146" i="3"/>
  <c r="C100" i="3" l="1"/>
  <c r="E26" i="3"/>
  <c r="C37" i="3" s="1"/>
  <c r="C147" i="3"/>
  <c r="C32" i="3" l="1"/>
  <c r="D72" i="3" s="1"/>
  <c r="D81" i="3" l="1"/>
  <c r="C76" i="3"/>
  <c r="I79" i="3"/>
  <c r="I89" i="3" s="1"/>
  <c r="C77" i="3"/>
  <c r="G72" i="3"/>
  <c r="G88" i="3" s="1"/>
  <c r="F79" i="3"/>
  <c r="F89" i="3" s="1"/>
  <c r="J79" i="3"/>
  <c r="J89" i="3" s="1"/>
  <c r="H79" i="3"/>
  <c r="H89" i="3" s="1"/>
  <c r="J72" i="3"/>
  <c r="J88" i="3" s="1"/>
  <c r="I72" i="3"/>
  <c r="I88" i="3" s="1"/>
  <c r="C79" i="3"/>
  <c r="C89" i="3" s="1"/>
  <c r="E79" i="3"/>
  <c r="E89" i="3" s="1"/>
  <c r="H72" i="3"/>
  <c r="H88" i="3" s="1"/>
  <c r="G79" i="3"/>
  <c r="G89" i="3" s="1"/>
  <c r="C36" i="3"/>
  <c r="C38" i="3" s="1"/>
  <c r="D73" i="3"/>
  <c r="E72" i="3"/>
  <c r="E88" i="3" s="1"/>
  <c r="D80" i="3"/>
  <c r="C259" i="1"/>
  <c r="F72" i="3"/>
  <c r="F88" i="3" s="1"/>
  <c r="D79" i="3"/>
  <c r="D74" i="3"/>
  <c r="H270" i="1" l="1"/>
  <c r="H288" i="1" s="1"/>
  <c r="H90" i="3"/>
  <c r="C88" i="3"/>
  <c r="C90" i="3" s="1"/>
  <c r="J90" i="3"/>
  <c r="D89" i="3"/>
  <c r="C93" i="3" s="1"/>
  <c r="G90" i="3"/>
  <c r="F90" i="3"/>
  <c r="I90" i="3"/>
  <c r="E90" i="3"/>
  <c r="D88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2" i="3" l="1"/>
  <c r="C103" i="3" s="1"/>
  <c r="J101" i="3" s="1"/>
  <c r="D90" i="3"/>
  <c r="C104" i="3"/>
  <c r="J102" i="3" s="1"/>
  <c r="E103" i="3" l="1"/>
  <c r="E262" i="1" s="1"/>
  <c r="C94" i="3"/>
  <c r="C105" i="3" s="1"/>
  <c r="J103" i="3" s="1"/>
  <c r="E104" i="3"/>
  <c r="C125" i="3" l="1"/>
  <c r="C136" i="3" s="1"/>
  <c r="C267" i="1"/>
  <c r="C285" i="1" s="1"/>
  <c r="H118" i="3"/>
  <c r="H135" i="3" s="1"/>
  <c r="C265" i="1"/>
  <c r="C283" i="1" s="1"/>
  <c r="G262" i="1"/>
  <c r="G280" i="1" s="1"/>
  <c r="D118" i="3"/>
  <c r="J262" i="1"/>
  <c r="J280" i="1" s="1"/>
  <c r="D119" i="3"/>
  <c r="F118" i="3"/>
  <c r="F135" i="3" s="1"/>
  <c r="C122" i="3"/>
  <c r="D120" i="3"/>
  <c r="D263" i="1"/>
  <c r="D281" i="1" s="1"/>
  <c r="G118" i="3"/>
  <c r="G135" i="3" s="1"/>
  <c r="C266" i="1"/>
  <c r="C284" i="1" s="1"/>
  <c r="I118" i="3"/>
  <c r="I135" i="3" s="1"/>
  <c r="E280" i="1"/>
  <c r="F262" i="1"/>
  <c r="F280" i="1" s="1"/>
  <c r="H262" i="1"/>
  <c r="H280" i="1" s="1"/>
  <c r="E118" i="3"/>
  <c r="E135" i="3" s="1"/>
  <c r="I262" i="1"/>
  <c r="I280" i="1" s="1"/>
  <c r="D264" i="1"/>
  <c r="D282" i="1" s="1"/>
  <c r="C123" i="3"/>
  <c r="J118" i="3"/>
  <c r="J135" i="3" s="1"/>
  <c r="D262" i="1"/>
  <c r="D269" i="1"/>
  <c r="D287" i="1" s="1"/>
  <c r="I267" i="1"/>
  <c r="I285" i="1" s="1"/>
  <c r="D267" i="1"/>
  <c r="F125" i="3"/>
  <c r="F136" i="3" s="1"/>
  <c r="H267" i="1"/>
  <c r="H285" i="1" s="1"/>
  <c r="J125" i="3"/>
  <c r="J136" i="3" s="1"/>
  <c r="F267" i="1"/>
  <c r="F285" i="1" s="1"/>
  <c r="D268" i="1"/>
  <c r="D286" i="1" s="1"/>
  <c r="E267" i="1"/>
  <c r="E285" i="1" s="1"/>
  <c r="G267" i="1"/>
  <c r="G285" i="1" s="1"/>
  <c r="J267" i="1"/>
  <c r="J285" i="1" s="1"/>
  <c r="D127" i="3"/>
  <c r="G125" i="3"/>
  <c r="G136" i="3" s="1"/>
  <c r="D125" i="3"/>
  <c r="D126" i="3"/>
  <c r="E125" i="3"/>
  <c r="E136" i="3" s="1"/>
  <c r="H125" i="3"/>
  <c r="H136" i="3" s="1"/>
  <c r="I125" i="3"/>
  <c r="I136" i="3" s="1"/>
  <c r="H137" i="3" l="1"/>
  <c r="I137" i="3"/>
  <c r="J137" i="3"/>
  <c r="D135" i="3"/>
  <c r="G137" i="3"/>
  <c r="C135" i="3"/>
  <c r="F137" i="3"/>
  <c r="E137" i="3"/>
  <c r="D136" i="3"/>
  <c r="D137" i="3" l="1"/>
  <c r="C139" i="3"/>
  <c r="C150" i="3" s="1"/>
  <c r="C137" i="3"/>
  <c r="C140" i="3"/>
  <c r="C151" i="3" s="1"/>
  <c r="C152" i="3" l="1"/>
  <c r="C141" i="3"/>
</calcChain>
</file>

<file path=xl/sharedStrings.xml><?xml version="1.0" encoding="utf-8"?>
<sst xmlns="http://schemas.openxmlformats.org/spreadsheetml/2006/main" count="714" uniqueCount="315">
  <si>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</si>
  <si>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</si>
  <si>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</si>
  <si>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</si>
  <si>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</si>
  <si>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</si>
  <si>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</si>
  <si>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</si>
  <si>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</si>
  <si>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</si>
  <si>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</si>
  <si>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</si>
  <si>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</si>
  <si>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</si>
  <si>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</si>
  <si>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</si>
  <si>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</si>
  <si>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</si>
  <si>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</si>
  <si>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</si>
  <si>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</si>
  <si>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</si>
  <si>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</si>
  <si>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</si>
  <si>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</si>
  <si>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</si>
  <si>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</si>
  <si>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</si>
  <si>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</si>
  <si>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</si>
  <si>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</si>
  <si>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</si>
  <si>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</si>
  <si>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</si>
  <si>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</si>
  <si>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</si>
  <si>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</si>
  <si>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</si>
  <si>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</si>
  <si>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</si>
  <si>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</si>
  <si>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</si>
  <si>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</si>
  <si>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</si>
  <si>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</si>
  <si>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</si>
  <si>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</si>
  <si>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</si>
  <si>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</si>
  <si>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</si>
  <si>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</si>
  <si>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</si>
  <si>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</si>
  <si>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</si>
  <si>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</si>
  <si>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</si>
  <si>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</si>
  <si>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</si>
  <si>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</si>
  <si>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</si>
  <si>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</si>
  <si>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</si>
  <si>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</si>
  <si>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</si>
  <si>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</si>
  <si>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</si>
  <si>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</si>
  <si>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</si>
  <si>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</si>
  <si>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</si>
  <si>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</si>
  <si>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</si>
  <si>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</si>
  <si>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</si>
  <si>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</si>
  <si>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</si>
  <si>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</si>
  <si>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</si>
  <si>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</si>
  <si>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</si>
  <si>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</si>
  <si>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</si>
  <si>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</si>
  <si>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</si>
  <si>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</si>
  <si>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</si>
  <si>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</si>
  <si>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</si>
  <si>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</si>
  <si>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</si>
  <si>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</si>
  <si>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</si>
  <si>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</si>
  <si>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</si>
  <si>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</si>
  <si>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</si>
  <si>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</si>
  <si>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</si>
  <si>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</si>
  <si>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</si>
  <si>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</si>
  <si>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</si>
  <si>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</si>
  <si>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</si>
  <si>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</si>
  <si>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</si>
  <si>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</si>
  <si>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</si>
  <si>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</si>
  <si>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</si>
  <si>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</si>
  <si>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</si>
  <si>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</si>
  <si>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</si>
  <si>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</si>
  <si>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</si>
  <si>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</si>
  <si>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</si>
  <si>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</si>
  <si>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</si>
  <si>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</si>
  <si>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</si>
  <si>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</si>
  <si>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</si>
  <si>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</si>
  <si>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</si>
  <si>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</si>
  <si>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</si>
  <si>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</si>
  <si>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</si>
  <si>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</si>
  <si>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</si>
  <si>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</si>
  <si>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</si>
  <si>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</si>
  <si>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</si>
  <si>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</si>
  <si>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</si>
  <si>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</si>
  <si>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</si>
  <si>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</si>
  <si>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</si>
  <si>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</si>
  <si>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</si>
  <si>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</si>
  <si>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</si>
  <si>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</si>
  <si>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</si>
  <si>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</si>
  <si>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</si>
  <si>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</si>
  <si>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</si>
  <si>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</si>
  <si>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</si>
  <si>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</si>
  <si>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</si>
  <si>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</si>
  <si>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</si>
  <si>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</si>
  <si>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</si>
  <si>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</si>
  <si>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</si>
  <si>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</si>
  <si>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</si>
  <si>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</si>
  <si>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</si>
  <si>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</si>
  <si>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</si>
  <si>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</si>
  <si>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</si>
  <si>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</si>
  <si>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</si>
  <si>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</si>
  <si>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</si>
  <si>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</si>
  <si>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</si>
  <si>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</si>
  <si>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</si>
  <si>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</si>
  <si>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</si>
  <si>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</si>
  <si>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</si>
  <si>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</si>
  <si>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</si>
  <si>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</si>
  <si>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</si>
  <si>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</si>
  <si>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</si>
  <si>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</si>
  <si>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</si>
  <si>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</si>
  <si>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</si>
  <si>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</si>
  <si>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</si>
  <si>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</si>
  <si>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</si>
  <si>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</si>
  <si>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</si>
  <si>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</si>
  <si>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</si>
  <si>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</si>
  <si>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</si>
  <si>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</si>
  <si>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</si>
  <si>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</si>
  <si>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</si>
  <si>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</si>
  <si>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</si>
  <si>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</si>
  <si>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</si>
  <si>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</si>
  <si>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</si>
  <si>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</si>
  <si>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</si>
  <si>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</si>
  <si>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</si>
  <si>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</si>
  <si>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</si>
  <si>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</si>
  <si>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</si>
  <si>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</si>
  <si>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</si>
  <si>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</si>
  <si>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</si>
  <si>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</si>
  <si>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Total - in $/Mwh</t>
  </si>
  <si>
    <t>1B</t>
  </si>
  <si>
    <t>Development of  Capacity Proxy Price True-Up - $/MWh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</si>
  <si>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</si>
  <si>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</si>
  <si>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</si>
  <si>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</si>
  <si>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</si>
  <si>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</si>
  <si>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</si>
  <si>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</si>
  <si>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</si>
  <si>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</si>
  <si>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</si>
  <si>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</si>
  <si>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</si>
  <si>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</si>
  <si>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 xml:space="preserve">Capacity Proxy Price True-Up Annual Cost </t>
  </si>
  <si>
    <t xml:space="preserve">Capacity Proxy Price True-Up Cost </t>
  </si>
  <si>
    <t>Table A With Additional Line Item</t>
  </si>
  <si>
    <t>Specific BGS-RSCP Auction &gt;&gt;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</si>
  <si>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</si>
  <si>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</si>
  <si>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</si>
  <si>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</si>
  <si>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</si>
  <si>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</si>
  <si>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</si>
  <si>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</si>
  <si>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</si>
  <si>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Summary of BGS Unit Costs @ customer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</si>
  <si>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</si>
  <si>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</si>
  <si>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</si>
  <si>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</si>
  <si>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2023/24
Delivery Year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</si>
  <si>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</si>
  <si>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</si>
  <si>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</si>
  <si>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</si>
  <si>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</si>
  <si>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</si>
  <si>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Calculation of June 2023 to May 2024 BGS-RSCP Rates</t>
  </si>
  <si>
    <t>1A</t>
  </si>
  <si>
    <t>remaining portion of 36 month bid - 2022 auction</t>
  </si>
  <si>
    <t xml:space="preserve">= line 1 + line 1A </t>
  </si>
  <si>
    <t>Capacity Proxy Price True-Up - in $/MWh</t>
  </si>
  <si>
    <t>Average costs for rates shown (@ transmission nodes) =</t>
  </si>
  <si>
    <t>per MWh @ trans nodes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</si>
  <si>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</si>
  <si>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</si>
  <si>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</si>
  <si>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</si>
  <si>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</si>
  <si>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remaining portion of 36 month bid - 2021/22 filing</t>
  </si>
  <si>
    <t>Capacity Proxy Price True-Up Development for Winning Suppliers from 2021 BGS-RSCP Auction</t>
  </si>
  <si>
    <t>Capacity Proxy Price True-Up Development for Winning Suppliers from 2022 BGS-RSCP Auction</t>
  </si>
  <si>
    <t>2024/25
Delivery Year</t>
  </si>
  <si>
    <t>Calculation of June 2024 to May 2025 BGS-RSCP Rates</t>
  </si>
  <si>
    <t>remaining portion of 36 month bid - 2023 auction</t>
  </si>
  <si>
    <t>36 month bid - 2024 auction</t>
  </si>
  <si>
    <t>24/25 Capacity Proxy Price True-up - in $/MWh</t>
  </si>
  <si>
    <t xml:space="preserve">entered after 2024 BGS Auction </t>
  </si>
  <si>
    <t>entered after 2023 BGS Auction</t>
  </si>
  <si>
    <t>per Board Orders dated 11/18/2020 and 11/17/2021</t>
  </si>
  <si>
    <t xml:space="preserve">Quotes for the period June 1, 2023 to May 31, 2024 - corrected for hub-zone basis differential. </t>
  </si>
  <si>
    <t xml:space="preserve"> class totals as of June 2022</t>
  </si>
  <si>
    <t>based on results of February 2023 BGS RSCP Auction</t>
  </si>
  <si>
    <t>remaining portion of 36 month bid - 2022/23 filing</t>
  </si>
  <si>
    <t>36 month bid - 2023/24 filing</t>
  </si>
  <si>
    <t>= line 1 + line 1A</t>
  </si>
  <si>
    <t>= (1 + 1A) * (2)/(3) * (4) * (6) / 1000</t>
  </si>
  <si>
    <t>= (1 + 1A) * (2)/(3) * (5) * (7) / 1000</t>
  </si>
  <si>
    <t>2023/2024 Illustrative Data for ACE</t>
  </si>
  <si>
    <t>2024/2025 Illustrative Data for ACE</t>
  </si>
  <si>
    <t>Capacity Proxy Price True-Up Development for Winning Suppliers from 2023 BGS-RSCP Auction</t>
  </si>
  <si>
    <t>per Board Order dated 11/17/2021 and XX/XX/2022</t>
  </si>
  <si>
    <t>Capacity Proxy Price True-Up Development for Winning Suppliers from 2023 BGS-RSCP Auction (if needed) *</t>
  </si>
  <si>
    <t>*</t>
  </si>
  <si>
    <t>Winners in the 2023 BGS Auction will only receive a true-up if results of 2024/2025 BRA are not known at least 5 days prior to the 2023 BGS-RSCP Auction.</t>
  </si>
  <si>
    <t>2025/2026 Illustrative Data for ACE</t>
  </si>
  <si>
    <t>2025/26
Delivery Year</t>
  </si>
  <si>
    <t>per Board Order dated XX/XX/2022</t>
  </si>
  <si>
    <r>
      <t xml:space="preserve">remaining portion of 36 month bid - 2023 auction </t>
    </r>
    <r>
      <rPr>
        <i/>
        <sz val="10"/>
        <color rgb="FFFF0000"/>
        <rFont val="Arial"/>
        <family val="2"/>
      </rPr>
      <t>*</t>
    </r>
  </si>
  <si>
    <t>Calculation of June 2025 to May 2026 BGS-RSCP Rates</t>
  </si>
  <si>
    <t xml:space="preserve">remaining portion of 36 month bid - 2024 auction </t>
  </si>
  <si>
    <t>36 month bid - 2025 auction</t>
  </si>
  <si>
    <t>25/25 Capacity Proxy Price True-up - in $/MWh</t>
  </si>
  <si>
    <t xml:space="preserve">entered after 2025 BGS Auction </t>
  </si>
  <si>
    <t>obligations - values effective June 2022; costs are market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</si>
</sst>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&quot;$&quot;#,##0\ ;\(&quot;$&quot;#,##0\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297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44" fontId="9" fillId="0" borderId="0" xfId="2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"/>
    </xf>
    <xf numFmtId="170" fontId="8" fillId="0" borderId="0" xfId="0" applyNumberFormat="1" applyFont="1" applyFill="1"/>
    <xf numFmtId="0" fontId="8" fillId="0" borderId="0" xfId="0" applyFont="1" applyFill="1"/>
    <xf numFmtId="170" fontId="10" fillId="0" borderId="0" xfId="0" applyNumberFormat="1" applyFont="1" applyFill="1"/>
    <xf numFmtId="0" fontId="8" fillId="0" borderId="0" xfId="0" applyFont="1" applyFill="1" applyAlignment="1">
      <alignment horizontal="right"/>
    </xf>
    <xf numFmtId="44" fontId="8" fillId="0" borderId="0" xfId="2" quotePrefix="1" applyFont="1" applyFill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7" fillId="0" borderId="0" xfId="1" quotePrefix="1" applyFont="1" applyFill="1" applyBorder="1"/>
    <xf numFmtId="43" fontId="7" fillId="0" borderId="0" xfId="1" quotePrefix="1" applyNumberFormat="1" applyFont="1" applyFill="1" applyBorder="1"/>
    <xf numFmtId="44" fontId="7" fillId="0" borderId="0" xfId="2" quotePrefix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/>
    <xf numFmtId="175" fontId="7" fillId="0" borderId="0" xfId="1" quotePrefix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8" fillId="0" borderId="0" xfId="2" applyFont="1" applyFill="1"/>
    <xf numFmtId="17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3" fontId="8" fillId="0" borderId="0" xfId="1" quotePrefix="1" applyFont="1" applyFill="1"/>
    <xf numFmtId="43" fontId="8" fillId="0" borderId="0" xfId="1" quotePrefix="1" applyNumberFormat="1" applyFont="1" applyFill="1" applyBorder="1"/>
    <xf numFmtId="175" fontId="0" fillId="0" borderId="0" xfId="0" applyNumberFormat="1" applyFill="1"/>
    <xf numFmtId="175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8" fillId="0" borderId="0" xfId="1" quotePrefix="1" applyNumberFormat="1" applyFont="1" applyFill="1"/>
    <xf numFmtId="175" fontId="8" fillId="0" borderId="0" xfId="1" quotePrefix="1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 applyFill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69" fontId="0" fillId="0" borderId="0" xfId="0" applyNumberForma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/>
    <xf numFmtId="0" fontId="0" fillId="0" borderId="0" xfId="0" applyFill="1" applyAlignment="1"/>
    <xf numFmtId="44" fontId="7" fillId="0" borderId="0" xfId="2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8" fillId="0" borderId="0" xfId="0" quotePrefix="1" applyNumberFormat="1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 applyFill="1"/>
    <xf numFmtId="17" fontId="7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8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7" fillId="0" borderId="0" xfId="0" applyNumberFormat="1" applyFont="1" applyFill="1"/>
    <xf numFmtId="2" fontId="17" fillId="0" borderId="0" xfId="0" applyNumberFormat="1" applyFont="1" applyFill="1"/>
    <xf numFmtId="0" fontId="0" fillId="0" borderId="0" xfId="0" quotePrefix="1" applyFill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 applyFill="1"/>
    <xf numFmtId="0" fontId="8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5" fillId="0" borderId="0" xfId="0" applyNumberFormat="1" applyFont="1" applyFill="1"/>
    <xf numFmtId="10" fontId="1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9" fillId="0" borderId="0" xfId="0" applyNumberFormat="1" applyFont="1" applyFill="1"/>
    <xf numFmtId="168" fontId="0" fillId="0" borderId="0" xfId="0" applyNumberFormat="1" applyFill="1"/>
    <xf numFmtId="176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4" fontId="8" fillId="0" borderId="0" xfId="2" applyNumberFormat="1" applyFont="1" applyFill="1"/>
    <xf numFmtId="174" fontId="0" fillId="0" borderId="0" xfId="0" applyNumberFormat="1" applyFill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 applyFill="1"/>
    <xf numFmtId="44" fontId="2" fillId="0" borderId="0" xfId="2" applyNumberFormat="1" applyFill="1"/>
    <xf numFmtId="172" fontId="8" fillId="0" borderId="0" xfId="2" applyNumberFormat="1" applyFont="1" applyFill="1"/>
    <xf numFmtId="44" fontId="7" fillId="0" borderId="0" xfId="2" quotePrefix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0" fillId="0" borderId="1" xfId="0" applyFill="1" applyBorder="1"/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44" fontId="8" fillId="0" borderId="0" xfId="2" quotePrefix="1" applyNumberFormat="1" applyFont="1" applyFill="1"/>
    <xf numFmtId="169" fontId="0" fillId="0" borderId="2" xfId="0" applyNumberFormat="1" applyFill="1" applyBorder="1"/>
    <xf numFmtId="10" fontId="8" fillId="0" borderId="0" xfId="0" applyNumberFormat="1" applyFont="1" applyFill="1"/>
    <xf numFmtId="2" fontId="7" fillId="0" borderId="0" xfId="0" applyNumberFormat="1" applyFont="1" applyFill="1" applyBorder="1"/>
    <xf numFmtId="176" fontId="7" fillId="0" borderId="0" xfId="1" applyNumberFormat="1" applyFont="1" applyFill="1"/>
    <xf numFmtId="43" fontId="0" fillId="0" borderId="0" xfId="0" applyNumberFormat="1" applyFill="1"/>
    <xf numFmtId="170" fontId="0" fillId="0" borderId="0" xfId="0" applyNumberFormat="1" applyFill="1" applyBorder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2" fillId="0" borderId="0" xfId="0" applyNumberFormat="1" applyFont="1" applyFill="1"/>
    <xf numFmtId="164" fontId="0" fillId="0" borderId="10" xfId="0" applyNumberFormat="1" applyFill="1" applyBorder="1"/>
    <xf numFmtId="164" fontId="0" fillId="0" borderId="11" xfId="0" applyNumberFormat="1" applyFill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 applyFill="1"/>
    <xf numFmtId="164" fontId="7" fillId="0" borderId="0" xfId="0" applyNumberFormat="1" applyFont="1" applyFill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70" fontId="0" fillId="0" borderId="0" xfId="0" applyNumberFormat="1" applyFill="1"/>
    <xf numFmtId="44" fontId="7" fillId="0" borderId="0" xfId="0" applyNumberFormat="1" applyFont="1" applyFill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7" fontId="0" fillId="0" borderId="0" xfId="0" applyNumberFormat="1" applyFill="1"/>
    <xf numFmtId="4" fontId="2" fillId="0" borderId="0" xfId="0" applyNumberFormat="1" applyFont="1" applyFill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5" fillId="0" borderId="0" xfId="4" applyFont="1" applyFill="1" applyAlignment="1">
      <alignment horizontal="center" wrapText="1"/>
    </xf>
    <xf numFmtId="0" fontId="7" fillId="0" borderId="0" xfId="4" applyFont="1" applyFill="1"/>
    <xf numFmtId="0" fontId="2" fillId="0" borderId="0" xfId="4" quotePrefix="1" applyFont="1" applyAlignment="1">
      <alignment horizontal="center"/>
    </xf>
    <xf numFmtId="0" fontId="2" fillId="0" borderId="0" xfId="4" quotePrefix="1" applyFont="1"/>
    <xf numFmtId="0" fontId="2" fillId="0" borderId="0" xfId="4" applyFont="1" applyFill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0" fontId="2" fillId="0" borderId="0" xfId="4" applyFill="1"/>
    <xf numFmtId="0" fontId="7" fillId="0" borderId="0" xfId="4" quotePrefix="1" applyFont="1"/>
    <xf numFmtId="0" fontId="22" fillId="0" borderId="0" xfId="4" applyFont="1" applyFill="1"/>
    <xf numFmtId="0" fontId="3" fillId="0" borderId="0" xfId="4" applyFont="1" applyFill="1"/>
    <xf numFmtId="0" fontId="23" fillId="0" borderId="0" xfId="4" applyFont="1" applyFill="1"/>
    <xf numFmtId="0" fontId="5" fillId="0" borderId="0" xfId="4" applyFont="1" applyFill="1"/>
    <xf numFmtId="0" fontId="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2" fillId="0" borderId="0" xfId="4" quotePrefix="1" applyFont="1" applyFill="1"/>
    <xf numFmtId="0" fontId="9" fillId="0" borderId="0" xfId="4" applyFont="1" applyFill="1"/>
    <xf numFmtId="9" fontId="0" fillId="0" borderId="0" xfId="3" applyFont="1" applyFill="1"/>
    <xf numFmtId="166" fontId="9" fillId="0" borderId="0" xfId="4" applyNumberFormat="1" applyFont="1" applyFill="1"/>
    <xf numFmtId="3" fontId="2" fillId="0" borderId="0" xfId="4" applyNumberFormat="1" applyFont="1" applyFill="1"/>
    <xf numFmtId="3" fontId="9" fillId="0" borderId="0" xfId="4" applyNumberFormat="1" applyFont="1" applyFill="1"/>
    <xf numFmtId="0" fontId="19" fillId="0" borderId="0" xfId="4" applyFont="1" applyFill="1"/>
    <xf numFmtId="169" fontId="2" fillId="0" borderId="0" xfId="4" applyNumberFormat="1" applyFill="1"/>
    <xf numFmtId="169" fontId="25" fillId="0" borderId="0" xfId="5" applyNumberFormat="1" applyFont="1" applyFill="1"/>
    <xf numFmtId="172" fontId="2" fillId="0" borderId="0" xfId="4" applyNumberFormat="1" applyFill="1"/>
    <xf numFmtId="0" fontId="2" fillId="0" borderId="0" xfId="4" quotePrefix="1" applyFill="1"/>
    <xf numFmtId="172" fontId="2" fillId="0" borderId="0" xfId="5" applyNumberFormat="1" applyFont="1" applyFill="1"/>
    <xf numFmtId="0" fontId="7" fillId="0" borderId="0" xfId="4" applyFont="1" applyFill="1" applyAlignment="1">
      <alignment horizontal="left"/>
    </xf>
    <xf numFmtId="0" fontId="2" fillId="0" borderId="0" xfId="4" applyFill="1" applyAlignment="1">
      <alignment horizontal="right"/>
    </xf>
    <xf numFmtId="169" fontId="12" fillId="0" borderId="0" xfId="4" applyNumberFormat="1" applyFont="1" applyFill="1"/>
    <xf numFmtId="169" fontId="0" fillId="0" borderId="0" xfId="5" applyNumberFormat="1" applyFont="1" applyFill="1"/>
    <xf numFmtId="0" fontId="6" fillId="0" borderId="0" xfId="4" applyFont="1" applyFill="1" applyAlignment="1">
      <alignment horizontal="left"/>
    </xf>
    <xf numFmtId="0" fontId="7" fillId="0" borderId="0" xfId="4" applyFont="1" applyFill="1" applyAlignment="1">
      <alignment horizontal="center"/>
    </xf>
    <xf numFmtId="17" fontId="2" fillId="0" borderId="0" xfId="4" applyNumberFormat="1" applyFill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Fill="1" applyAlignment="1">
      <alignment horizontal="right"/>
    </xf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5" fontId="2" fillId="0" borderId="0" xfId="4" applyNumberFormat="1" applyFill="1"/>
    <xf numFmtId="175" fontId="7" fillId="0" borderId="0" xfId="4" applyNumberFormat="1" applyFont="1" applyFill="1"/>
    <xf numFmtId="0" fontId="7" fillId="0" borderId="0" xfId="4" applyFont="1" applyFill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Font="1" applyFill="1" applyAlignment="1">
      <alignment horizontal="left"/>
    </xf>
    <xf numFmtId="43" fontId="2" fillId="0" borderId="0" xfId="1" quotePrefix="1" applyNumberFormat="1" applyFont="1" applyFill="1"/>
    <xf numFmtId="175" fontId="2" fillId="0" borderId="0" xfId="1" quotePrefix="1" applyNumberFormat="1" applyFont="1" applyFill="1"/>
    <xf numFmtId="0" fontId="7" fillId="0" borderId="0" xfId="4" applyFont="1" applyFill="1" applyAlignment="1">
      <alignment horizontal="center" wrapText="1"/>
    </xf>
    <xf numFmtId="0" fontId="10" fillId="0" borderId="0" xfId="4" applyFont="1" applyFill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 applyFill="1"/>
    <xf numFmtId="166" fontId="6" fillId="0" borderId="0" xfId="4" applyNumberFormat="1" applyFont="1" applyFill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 applyFill="1"/>
    <xf numFmtId="0" fontId="2" fillId="0" borderId="0" xfId="4" applyFill="1" applyAlignment="1">
      <alignment horizontal="left"/>
    </xf>
    <xf numFmtId="0" fontId="2" fillId="0" borderId="0" xfId="4" applyFill="1" applyBorder="1"/>
    <xf numFmtId="183" fontId="7" fillId="0" borderId="0" xfId="5" quotePrefix="1" applyNumberFormat="1" applyFont="1" applyFill="1"/>
    <xf numFmtId="0" fontId="10" fillId="0" borderId="0" xfId="4" applyFont="1" applyFill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 applyFill="1"/>
    <xf numFmtId="169" fontId="12" fillId="0" borderId="0" xfId="5" applyNumberFormat="1" applyFont="1" applyFill="1" applyBorder="1"/>
    <xf numFmtId="0" fontId="2" fillId="0" borderId="0" xfId="4" applyFill="1" applyAlignment="1">
      <alignment horizontal="center" wrapText="1"/>
    </xf>
    <xf numFmtId="169" fontId="2" fillId="0" borderId="2" xfId="4" applyNumberFormat="1" applyFill="1" applyBorder="1"/>
    <xf numFmtId="44" fontId="2" fillId="0" borderId="2" xfId="4" applyNumberFormat="1" applyFill="1" applyBorder="1"/>
    <xf numFmtId="44" fontId="0" fillId="0" borderId="0" xfId="5" applyNumberFormat="1" applyFont="1" applyFill="1"/>
    <xf numFmtId="44" fontId="2" fillId="0" borderId="0" xfId="5" applyNumberFormat="1" applyFont="1" applyFill="1"/>
    <xf numFmtId="44" fontId="7" fillId="0" borderId="0" xfId="5" quotePrefix="1" applyNumberFormat="1" applyFont="1" applyFill="1"/>
    <xf numFmtId="17" fontId="0" fillId="0" borderId="0" xfId="0" applyNumberFormat="1" applyFill="1" applyAlignment="1">
      <alignment wrapText="1"/>
    </xf>
    <xf numFmtId="0" fontId="7" fillId="0" borderId="0" xfId="4" applyFont="1" applyFill="1" applyAlignment="1">
      <alignment wrapText="1"/>
    </xf>
    <xf numFmtId="0" fontId="13" fillId="0" borderId="13" xfId="0" applyFont="1" applyFill="1" applyBorder="1"/>
    <xf numFmtId="171" fontId="7" fillId="0" borderId="14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169" fontId="19" fillId="0" borderId="0" xfId="5" applyNumberFormat="1" applyFont="1"/>
    <xf numFmtId="0" fontId="26" fillId="0" borderId="0" xfId="0" applyFont="1" applyFill="1" applyBorder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 applyFill="1" applyBorder="1"/>
    <xf numFmtId="44" fontId="0" fillId="0" borderId="0" xfId="2" applyFont="1" applyFill="1" applyBorder="1"/>
    <xf numFmtId="169" fontId="0" fillId="0" borderId="0" xfId="2" applyNumberFormat="1" applyFont="1" applyFill="1" applyBorder="1"/>
    <xf numFmtId="174" fontId="0" fillId="0" borderId="0" xfId="0" applyNumberFormat="1" applyFill="1" applyBorder="1"/>
    <xf numFmtId="0" fontId="26" fillId="0" borderId="0" xfId="0" applyFont="1" applyFill="1" applyBorder="1" applyAlignment="1">
      <alignment horizontal="center" wrapText="1"/>
    </xf>
    <xf numFmtId="174" fontId="12" fillId="0" borderId="0" xfId="0" applyNumberFormat="1" applyFont="1" applyFill="1"/>
    <xf numFmtId="0" fontId="2" fillId="0" borderId="0" xfId="0" applyFont="1" applyFill="1" applyBorder="1"/>
    <xf numFmtId="0" fontId="0" fillId="0" borderId="0" xfId="0" applyFont="1" applyFill="1"/>
    <xf numFmtId="0" fontId="2" fillId="0" borderId="0" xfId="85" quotePrefix="1" applyFont="1" applyFill="1"/>
    <xf numFmtId="44" fontId="9" fillId="0" borderId="0" xfId="2" applyNumberFormat="1" applyFont="1" applyFill="1"/>
    <xf numFmtId="44" fontId="9" fillId="3" borderId="0" xfId="2" applyFont="1" applyFill="1"/>
    <xf numFmtId="0" fontId="7" fillId="0" borderId="0" xfId="85" applyFont="1"/>
    <xf numFmtId="0" fontId="24" fillId="0" borderId="0" xfId="85" applyFont="1" applyAlignment="1">
      <alignment vertical="center" wrapText="1"/>
    </xf>
    <xf numFmtId="0" fontId="2" fillId="0" borderId="0" xfId="85"/>
    <xf numFmtId="0" fontId="2" fillId="0" borderId="0" xfId="85" applyAlignment="1">
      <alignment horizontal="center" wrapText="1"/>
    </xf>
    <xf numFmtId="181" fontId="2" fillId="0" borderId="0" xfId="85" applyNumberFormat="1"/>
    <xf numFmtId="181" fontId="2" fillId="0" borderId="2" xfId="85" quotePrefix="1" applyNumberFormat="1" applyBorder="1" applyAlignment="1">
      <alignment horizontal="right"/>
    </xf>
    <xf numFmtId="181" fontId="2" fillId="0" borderId="0" xfId="85" quotePrefix="1" applyNumberFormat="1" applyAlignment="1">
      <alignment horizontal="right"/>
    </xf>
    <xf numFmtId="168" fontId="2" fillId="0" borderId="0" xfId="85" applyNumberFormat="1"/>
    <xf numFmtId="3" fontId="2" fillId="0" borderId="2" xfId="85" applyNumberFormat="1" applyBorder="1"/>
    <xf numFmtId="182" fontId="2" fillId="0" borderId="0" xfId="85" quotePrefix="1" applyNumberFormat="1" applyAlignment="1">
      <alignment horizontal="right"/>
    </xf>
    <xf numFmtId="182" fontId="2" fillId="0" borderId="0" xfId="85" applyNumberFormat="1"/>
    <xf numFmtId="3" fontId="2" fillId="0" borderId="0" xfId="85" applyNumberFormat="1"/>
    <xf numFmtId="181" fontId="7" fillId="0" borderId="12" xfId="85" applyNumberFormat="1" applyFont="1" applyBorder="1"/>
    <xf numFmtId="0" fontId="21" fillId="0" borderId="0" xfId="4" applyFont="1" applyAlignment="1">
      <alignment horizontal="center" vertical="center"/>
    </xf>
    <xf numFmtId="169" fontId="2" fillId="0" borderId="0" xfId="2" applyNumberFormat="1" applyFill="1" applyBorder="1"/>
    <xf numFmtId="0" fontId="2" fillId="0" borderId="0" xfId="0" quotePrefix="1" applyFont="1"/>
    <xf numFmtId="174" fontId="18" fillId="0" borderId="2" xfId="1" quotePrefix="1" applyNumberFormat="1" applyFont="1" applyFill="1" applyBorder="1" applyAlignment="1">
      <alignment horizontal="left"/>
    </xf>
    <xf numFmtId="164" fontId="9" fillId="0" borderId="0" xfId="0" applyNumberFormat="1" applyFont="1" applyFill="1"/>
    <xf numFmtId="164" fontId="9" fillId="0" borderId="9" xfId="0" applyNumberFormat="1" applyFont="1" applyFill="1" applyBorder="1"/>
    <xf numFmtId="44" fontId="9" fillId="0" borderId="2" xfId="2" applyFont="1" applyFill="1" applyBorder="1"/>
    <xf numFmtId="0" fontId="51" fillId="0" borderId="0" xfId="4" applyFont="1" applyFill="1"/>
    <xf numFmtId="0" fontId="24" fillId="0" borderId="0" xfId="4" applyFont="1" applyAlignment="1">
      <alignment horizontal="center"/>
    </xf>
    <xf numFmtId="168" fontId="14" fillId="0" borderId="0" xfId="0" applyNumberFormat="1" applyFont="1" applyFill="1"/>
    <xf numFmtId="181" fontId="2" fillId="0" borderId="0" xfId="85" applyNumberFormat="1" applyFill="1"/>
    <xf numFmtId="181" fontId="2" fillId="0" borderId="2" xfId="85" quotePrefix="1" applyNumberFormat="1" applyFill="1" applyBorder="1" applyAlignment="1">
      <alignment horizontal="right"/>
    </xf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Normal="100" workbookViewId="0"/>
  </sheetViews>
  <sheetFormatPr defaultColWidth="9.1328125" defaultRowHeight="13" x14ac:dyDescent="0.6"/>
  <cols>
    <col min="1" max="1" width="16.40625" style="26" bestFit="1" customWidth="1"/>
    <col min="2" max="2" width="42.26953125" style="5" customWidth="1"/>
    <col min="3" max="3" width="14.26953125" style="5" customWidth="1"/>
    <col min="4" max="4" width="16.40625" style="5" customWidth="1"/>
    <col min="5" max="5" width="14.86328125" style="5" customWidth="1"/>
    <col min="6" max="6" width="12.54296875" style="5" customWidth="1"/>
    <col min="7" max="7" width="12.86328125" style="5" customWidth="1"/>
    <col min="8" max="8" width="13.7265625" style="5" customWidth="1"/>
    <col min="9" max="9" width="17.40625" style="5" customWidth="1"/>
    <col min="10" max="10" width="15.86328125" style="5" customWidth="1"/>
    <col min="11" max="11" width="10.7265625" style="5" customWidth="1"/>
    <col min="12" max="12" width="10.7265625" style="5" bestFit="1" customWidth="1"/>
    <col min="13" max="13" width="14.7265625" style="5" customWidth="1"/>
    <col min="14" max="14" width="14.40625" style="5" bestFit="1" customWidth="1"/>
    <col min="15" max="15" width="12.54296875" style="5" bestFit="1" customWidth="1"/>
    <col min="16" max="16" width="27.54296875" style="5" customWidth="1"/>
    <col min="17" max="17" width="23.86328125" style="5" bestFit="1" customWidth="1"/>
    <col min="18" max="18" width="18.40625" style="5" bestFit="1" customWidth="1"/>
    <col min="19" max="19" width="25" style="5" bestFit="1" customWidth="1"/>
    <col min="20" max="20" width="25.26953125" style="5" bestFit="1" customWidth="1"/>
    <col min="21" max="21" width="10.1328125" style="5" bestFit="1" customWidth="1"/>
    <col min="22" max="22" width="9.1328125" style="5"/>
    <col min="23" max="23" width="10.1328125" style="5" bestFit="1" customWidth="1"/>
    <col min="24" max="24" width="10.26953125" style="5" customWidth="1"/>
    <col min="25" max="25" width="11.86328125" style="5" customWidth="1"/>
    <col min="26" max="27" width="9.1328125" style="5"/>
    <col min="28" max="28" width="14.1328125" style="5" customWidth="1"/>
    <col min="29" max="16384" width="9.1328125" style="5"/>
  </cols>
  <sheetData>
    <row r="2" spans="1:22" ht="15.5" x14ac:dyDescent="0.7">
      <c r="B2" s="81"/>
    </row>
    <row r="3" spans="1:22" x14ac:dyDescent="0.6">
      <c r="A3" s="82"/>
    </row>
    <row r="4" spans="1:22" x14ac:dyDescent="0.6">
      <c r="F4" s="32"/>
    </row>
    <row r="5" spans="1:22" x14ac:dyDescent="0.6">
      <c r="A5" s="31" t="s">
        <v>0</v>
      </c>
      <c r="B5" s="83" t="s">
        <v>1</v>
      </c>
      <c r="C5" s="84"/>
      <c r="D5" s="84"/>
      <c r="F5" s="4" t="s">
        <v>2</v>
      </c>
      <c r="N5" s="83"/>
      <c r="O5" s="83" t="s">
        <v>3</v>
      </c>
      <c r="P5" s="83"/>
      <c r="Q5" s="12"/>
      <c r="R5" s="12"/>
      <c r="S5" s="12"/>
      <c r="T5" s="12"/>
      <c r="U5" s="12"/>
      <c r="V5" s="12"/>
    </row>
    <row r="6" spans="1:22" x14ac:dyDescent="0.6">
      <c r="A6" s="31"/>
      <c r="B6" s="85" t="s">
        <v>4</v>
      </c>
      <c r="C6" s="84"/>
      <c r="D6" s="84"/>
      <c r="F6" s="4"/>
      <c r="N6" s="83"/>
      <c r="O6" s="83"/>
      <c r="P6" s="83"/>
      <c r="Q6" s="12"/>
      <c r="R6" s="12"/>
      <c r="S6" s="12"/>
      <c r="T6" s="12"/>
      <c r="U6" s="12"/>
      <c r="V6" s="12"/>
    </row>
    <row r="7" spans="1:22" x14ac:dyDescent="0.6">
      <c r="A7" s="32"/>
      <c r="C7" s="49" t="s">
        <v>5</v>
      </c>
      <c r="D7" s="49" t="s">
        <v>119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L7" s="27"/>
      <c r="N7" s="86"/>
      <c r="O7" s="27" t="s">
        <v>5</v>
      </c>
      <c r="P7" s="27" t="s">
        <v>119</v>
      </c>
      <c r="Q7" s="27" t="s">
        <v>6</v>
      </c>
      <c r="R7" s="27" t="s">
        <v>7</v>
      </c>
      <c r="S7" s="27" t="s">
        <v>8</v>
      </c>
      <c r="T7" s="27" t="s">
        <v>9</v>
      </c>
      <c r="U7" s="27" t="s">
        <v>10</v>
      </c>
      <c r="V7" s="27" t="s">
        <v>11</v>
      </c>
    </row>
    <row r="8" spans="1:22" x14ac:dyDescent="0.6">
      <c r="A8" s="32"/>
      <c r="O8" s="12"/>
      <c r="P8" s="12"/>
      <c r="Q8" s="12"/>
      <c r="R8" s="12"/>
      <c r="S8" s="12"/>
      <c r="T8" s="12"/>
      <c r="U8" s="12"/>
      <c r="V8" s="12"/>
    </row>
    <row r="9" spans="1:22" x14ac:dyDescent="0.6">
      <c r="A9" s="32"/>
      <c r="B9" s="33" t="s">
        <v>12</v>
      </c>
      <c r="C9" s="74">
        <v>0.51642933073630182</v>
      </c>
      <c r="D9" s="74">
        <v>0.51711528378853666</v>
      </c>
      <c r="E9" s="74">
        <v>0.5269678025871567</v>
      </c>
      <c r="F9" s="74">
        <v>0.51943463426117897</v>
      </c>
      <c r="G9" s="74">
        <v>0.52470321606978421</v>
      </c>
      <c r="H9" s="74">
        <v>0.51337251424628827</v>
      </c>
      <c r="I9" s="74">
        <v>0.40371045389686055</v>
      </c>
      <c r="J9" s="74">
        <v>0.51595783947248663</v>
      </c>
      <c r="L9" s="87"/>
      <c r="N9" s="87"/>
      <c r="O9" s="88">
        <f t="shared" ref="O9:O20" si="0">1-C9</f>
        <v>0.48357066926369818</v>
      </c>
      <c r="P9" s="88">
        <f t="shared" ref="P9:P20" si="1">1-D9</f>
        <v>0.48288471621146334</v>
      </c>
      <c r="Q9" s="88">
        <f t="shared" ref="Q9:Q20" si="2">1-E9</f>
        <v>0.4730321974128433</v>
      </c>
      <c r="R9" s="88">
        <f t="shared" ref="R9:R20" si="3">1-F9</f>
        <v>0.48056536573882103</v>
      </c>
      <c r="S9" s="88">
        <f t="shared" ref="S9:S20" si="4">1-G9</f>
        <v>0.47529678393021579</v>
      </c>
      <c r="T9" s="88">
        <f t="shared" ref="T9:T20" si="5">1-H9</f>
        <v>0.48662748575371173</v>
      </c>
      <c r="U9" s="88">
        <f>1-I9</f>
        <v>0.59628954610313945</v>
      </c>
      <c r="V9" s="88">
        <f t="shared" ref="V9:V20" si="6">1-J9</f>
        <v>0.48404216052751337</v>
      </c>
    </row>
    <row r="10" spans="1:22" x14ac:dyDescent="0.6">
      <c r="A10" s="32"/>
      <c r="B10" s="33" t="s">
        <v>13</v>
      </c>
      <c r="C10" s="74">
        <v>0.51865597969076094</v>
      </c>
      <c r="D10" s="74">
        <v>0.51987612468998989</v>
      </c>
      <c r="E10" s="74">
        <v>0.53124774148434972</v>
      </c>
      <c r="F10" s="74">
        <v>0.5100376064439639</v>
      </c>
      <c r="G10" s="74">
        <v>0.51957746948017602</v>
      </c>
      <c r="H10" s="74">
        <v>0.50373805635346103</v>
      </c>
      <c r="I10" s="74">
        <v>0.37230265364058823</v>
      </c>
      <c r="J10" s="74">
        <v>0.50788292101873567</v>
      </c>
      <c r="L10" s="87"/>
      <c r="N10" s="87"/>
      <c r="O10" s="88">
        <f t="shared" si="0"/>
        <v>0.48134402030923906</v>
      </c>
      <c r="P10" s="88">
        <f t="shared" si="1"/>
        <v>0.48012387531001011</v>
      </c>
      <c r="Q10" s="88">
        <f t="shared" si="2"/>
        <v>0.46875225851565028</v>
      </c>
      <c r="R10" s="88">
        <f t="shared" si="3"/>
        <v>0.4899623935560361</v>
      </c>
      <c r="S10" s="88">
        <f t="shared" si="4"/>
        <v>0.48042253051982398</v>
      </c>
      <c r="T10" s="88">
        <f t="shared" si="5"/>
        <v>0.49626194364653897</v>
      </c>
      <c r="U10" s="88">
        <f t="shared" ref="U10:U20" si="7">1-I10</f>
        <v>0.62769734635941177</v>
      </c>
      <c r="V10" s="88">
        <f t="shared" si="6"/>
        <v>0.49211707898126433</v>
      </c>
    </row>
    <row r="11" spans="1:22" x14ac:dyDescent="0.6">
      <c r="A11" s="32"/>
      <c r="B11" s="33" t="s">
        <v>14</v>
      </c>
      <c r="C11" s="74">
        <v>0.52028912932554794</v>
      </c>
      <c r="D11" s="74">
        <v>0.52119495175036179</v>
      </c>
      <c r="E11" s="74">
        <v>0.57549229193245099</v>
      </c>
      <c r="F11" s="74">
        <v>0.51725470886713043</v>
      </c>
      <c r="G11" s="74">
        <v>0.54240271204502577</v>
      </c>
      <c r="H11" s="74">
        <v>0.51963942635539362</v>
      </c>
      <c r="I11" s="74">
        <v>0.35765582023623105</v>
      </c>
      <c r="J11" s="74">
        <v>0.52558408035088888</v>
      </c>
      <c r="L11" s="87"/>
      <c r="N11" s="87"/>
      <c r="O11" s="88">
        <f t="shared" si="0"/>
        <v>0.47971087067445206</v>
      </c>
      <c r="P11" s="88">
        <f t="shared" si="1"/>
        <v>0.47880504824963821</v>
      </c>
      <c r="Q11" s="88">
        <f t="shared" si="2"/>
        <v>0.42450770806754901</v>
      </c>
      <c r="R11" s="88">
        <f t="shared" si="3"/>
        <v>0.48274529113286957</v>
      </c>
      <c r="S11" s="88">
        <f t="shared" si="4"/>
        <v>0.45759728795497423</v>
      </c>
      <c r="T11" s="88">
        <f t="shared" si="5"/>
        <v>0.48036057364460638</v>
      </c>
      <c r="U11" s="88">
        <f t="shared" si="7"/>
        <v>0.64234417976376901</v>
      </c>
      <c r="V11" s="88">
        <f t="shared" si="6"/>
        <v>0.47441591964911112</v>
      </c>
    </row>
    <row r="12" spans="1:22" x14ac:dyDescent="0.6">
      <c r="A12" s="32"/>
      <c r="B12" s="252" t="s">
        <v>15</v>
      </c>
      <c r="C12" s="74">
        <v>0.51528079727028964</v>
      </c>
      <c r="D12" s="74">
        <v>0.51696005029364422</v>
      </c>
      <c r="E12" s="74">
        <v>0.52642873364088938</v>
      </c>
      <c r="F12" s="74">
        <v>0.49232533186040417</v>
      </c>
      <c r="G12" s="74">
        <v>0.52820319827660134</v>
      </c>
      <c r="H12" s="74">
        <v>0.49614611960041571</v>
      </c>
      <c r="I12" s="74">
        <v>0.30290172668443999</v>
      </c>
      <c r="J12" s="74">
        <v>0.4956318752134205</v>
      </c>
      <c r="L12" s="87"/>
      <c r="N12" s="87"/>
      <c r="O12" s="88">
        <f t="shared" si="0"/>
        <v>0.48471920272971036</v>
      </c>
      <c r="P12" s="88">
        <f t="shared" si="1"/>
        <v>0.48303994970635578</v>
      </c>
      <c r="Q12" s="88">
        <f t="shared" si="2"/>
        <v>0.47357126635911062</v>
      </c>
      <c r="R12" s="88">
        <f t="shared" si="3"/>
        <v>0.50767466813959583</v>
      </c>
      <c r="S12" s="88">
        <f t="shared" si="4"/>
        <v>0.47179680172339866</v>
      </c>
      <c r="T12" s="88">
        <f t="shared" si="5"/>
        <v>0.50385388039958423</v>
      </c>
      <c r="U12" s="88">
        <f t="shared" si="7"/>
        <v>0.69709827331555996</v>
      </c>
      <c r="V12" s="88">
        <f t="shared" si="6"/>
        <v>0.50436812478657944</v>
      </c>
    </row>
    <row r="13" spans="1:22" x14ac:dyDescent="0.6">
      <c r="A13" s="32"/>
      <c r="B13" s="33" t="s">
        <v>16</v>
      </c>
      <c r="C13" s="74">
        <v>0.51998715203120893</v>
      </c>
      <c r="D13" s="74">
        <v>0.52593668325695053</v>
      </c>
      <c r="E13" s="74">
        <v>0.53034686657614294</v>
      </c>
      <c r="F13" s="74">
        <v>0.50869277231495647</v>
      </c>
      <c r="G13" s="74">
        <v>0.5225987982981779</v>
      </c>
      <c r="H13" s="74">
        <v>0.49977258391126594</v>
      </c>
      <c r="I13" s="74">
        <v>0.27235255170567985</v>
      </c>
      <c r="J13" s="74">
        <v>0.49815277414547066</v>
      </c>
      <c r="L13" s="87"/>
      <c r="N13" s="87"/>
      <c r="O13" s="88">
        <f t="shared" si="0"/>
        <v>0.48001284796879107</v>
      </c>
      <c r="P13" s="88">
        <f t="shared" si="1"/>
        <v>0.47406331674304947</v>
      </c>
      <c r="Q13" s="88">
        <f t="shared" si="2"/>
        <v>0.46965313342385706</v>
      </c>
      <c r="R13" s="88">
        <f t="shared" si="3"/>
        <v>0.49130722768504353</v>
      </c>
      <c r="S13" s="88">
        <f t="shared" si="4"/>
        <v>0.4774012017018221</v>
      </c>
      <c r="T13" s="88">
        <f t="shared" si="5"/>
        <v>0.50022741608873411</v>
      </c>
      <c r="U13" s="88">
        <f t="shared" si="7"/>
        <v>0.72764744829432015</v>
      </c>
      <c r="V13" s="88">
        <f t="shared" si="6"/>
        <v>0.50184722585452934</v>
      </c>
    </row>
    <row r="14" spans="1:22" x14ac:dyDescent="0.6">
      <c r="A14" s="32"/>
      <c r="B14" s="33" t="s">
        <v>17</v>
      </c>
      <c r="C14" s="74">
        <v>0.58042074810902311</v>
      </c>
      <c r="D14" s="74">
        <v>0.58007921700280818</v>
      </c>
      <c r="E14" s="74">
        <v>0.59048714644917755</v>
      </c>
      <c r="F14" s="74">
        <v>0.56011445962968476</v>
      </c>
      <c r="G14" s="74">
        <v>0.56961276540313499</v>
      </c>
      <c r="H14" s="74">
        <v>0.54361804530195357</v>
      </c>
      <c r="I14" s="74">
        <v>0.27100823802807866</v>
      </c>
      <c r="J14" s="74">
        <v>0.5357517067729749</v>
      </c>
      <c r="L14" s="87"/>
      <c r="N14" s="87"/>
      <c r="O14" s="88">
        <f t="shared" si="0"/>
        <v>0.41957925189097689</v>
      </c>
      <c r="P14" s="88">
        <f t="shared" si="1"/>
        <v>0.41992078299719182</v>
      </c>
      <c r="Q14" s="88">
        <f t="shared" si="2"/>
        <v>0.40951285355082245</v>
      </c>
      <c r="R14" s="88">
        <f t="shared" si="3"/>
        <v>0.43988554037031524</v>
      </c>
      <c r="S14" s="88">
        <f t="shared" si="4"/>
        <v>0.43038723459686501</v>
      </c>
      <c r="T14" s="88">
        <f t="shared" si="5"/>
        <v>0.45638195469804643</v>
      </c>
      <c r="U14" s="88">
        <f t="shared" si="7"/>
        <v>0.72899176197192128</v>
      </c>
      <c r="V14" s="88">
        <f t="shared" si="6"/>
        <v>0.4642482932270251</v>
      </c>
    </row>
    <row r="15" spans="1:22" x14ac:dyDescent="0.6">
      <c r="A15" s="32"/>
      <c r="B15" s="33" t="s">
        <v>18</v>
      </c>
      <c r="C15" s="74">
        <v>0.5978741260771695</v>
      </c>
      <c r="D15" s="74">
        <v>0.59985184984471873</v>
      </c>
      <c r="E15" s="74">
        <v>0.58497548027888213</v>
      </c>
      <c r="F15" s="74">
        <v>0.55517567544535695</v>
      </c>
      <c r="G15" s="74">
        <v>0.57130776600900779</v>
      </c>
      <c r="H15" s="74">
        <v>0.54143539632527515</v>
      </c>
      <c r="I15" s="74">
        <v>0.26837475797641958</v>
      </c>
      <c r="J15" s="74">
        <v>0.53150244757034149</v>
      </c>
      <c r="L15" s="87"/>
      <c r="N15" s="87"/>
      <c r="O15" s="88">
        <f t="shared" si="0"/>
        <v>0.4021258739228305</v>
      </c>
      <c r="P15" s="88">
        <f t="shared" si="1"/>
        <v>0.40014815015528127</v>
      </c>
      <c r="Q15" s="88">
        <f t="shared" si="2"/>
        <v>0.41502451972111787</v>
      </c>
      <c r="R15" s="88">
        <f t="shared" si="3"/>
        <v>0.44482432455464305</v>
      </c>
      <c r="S15" s="88">
        <f t="shared" si="4"/>
        <v>0.42869223399099221</v>
      </c>
      <c r="T15" s="88">
        <f t="shared" si="5"/>
        <v>0.45856460367472485</v>
      </c>
      <c r="U15" s="88">
        <f t="shared" si="7"/>
        <v>0.73162524202358048</v>
      </c>
      <c r="V15" s="88">
        <f t="shared" si="6"/>
        <v>0.46849755242965851</v>
      </c>
    </row>
    <row r="16" spans="1:22" x14ac:dyDescent="0.6">
      <c r="A16" s="32"/>
      <c r="B16" s="33" t="s">
        <v>19</v>
      </c>
      <c r="C16" s="74">
        <v>0.60557679966788958</v>
      </c>
      <c r="D16" s="74">
        <v>0.60819428670623532</v>
      </c>
      <c r="E16" s="74">
        <v>0.63236530073319341</v>
      </c>
      <c r="F16" s="74">
        <v>0.57358645669439279</v>
      </c>
      <c r="G16" s="74">
        <v>0.59535636154700045</v>
      </c>
      <c r="H16" s="74">
        <v>0.56254780159043183</v>
      </c>
      <c r="I16" s="74">
        <v>0.31078792650071124</v>
      </c>
      <c r="J16" s="74">
        <v>0.55152184282140437</v>
      </c>
      <c r="L16" s="87"/>
      <c r="N16" s="87"/>
      <c r="O16" s="88">
        <f t="shared" si="0"/>
        <v>0.39442320033211042</v>
      </c>
      <c r="P16" s="88">
        <f t="shared" si="1"/>
        <v>0.39180571329376468</v>
      </c>
      <c r="Q16" s="88">
        <f t="shared" si="2"/>
        <v>0.36763469926680659</v>
      </c>
      <c r="R16" s="88">
        <f t="shared" si="3"/>
        <v>0.42641354330560721</v>
      </c>
      <c r="S16" s="88">
        <f t="shared" si="4"/>
        <v>0.40464363845299955</v>
      </c>
      <c r="T16" s="88">
        <f t="shared" si="5"/>
        <v>0.43745219840956817</v>
      </c>
      <c r="U16" s="88">
        <f t="shared" si="7"/>
        <v>0.68921207349928881</v>
      </c>
      <c r="V16" s="88">
        <f t="shared" si="6"/>
        <v>0.44847815717859563</v>
      </c>
    </row>
    <row r="17" spans="1:22" x14ac:dyDescent="0.6">
      <c r="A17" s="32"/>
      <c r="B17" s="33" t="s">
        <v>20</v>
      </c>
      <c r="C17" s="74">
        <v>0.52391988918863508</v>
      </c>
      <c r="D17" s="74">
        <v>0.52639767047716113</v>
      </c>
      <c r="E17" s="74">
        <v>0.57903236245261169</v>
      </c>
      <c r="F17" s="74">
        <v>0.51649972406896116</v>
      </c>
      <c r="G17" s="74">
        <v>0.56059314930833659</v>
      </c>
      <c r="H17" s="74">
        <v>0.52244645359812314</v>
      </c>
      <c r="I17" s="74">
        <v>0.34148257330681342</v>
      </c>
      <c r="J17" s="74">
        <v>0.52266899972259784</v>
      </c>
      <c r="L17" s="87"/>
      <c r="N17" s="87"/>
      <c r="O17" s="88">
        <f t="shared" si="0"/>
        <v>0.47608011081136492</v>
      </c>
      <c r="P17" s="88">
        <f t="shared" si="1"/>
        <v>0.47360232952283887</v>
      </c>
      <c r="Q17" s="88">
        <f t="shared" si="2"/>
        <v>0.42096763754738831</v>
      </c>
      <c r="R17" s="88">
        <f t="shared" si="3"/>
        <v>0.48350027593103884</v>
      </c>
      <c r="S17" s="88">
        <f t="shared" si="4"/>
        <v>0.43940685069166341</v>
      </c>
      <c r="T17" s="88">
        <f t="shared" si="5"/>
        <v>0.47755354640187686</v>
      </c>
      <c r="U17" s="88">
        <f t="shared" si="7"/>
        <v>0.65851742669318658</v>
      </c>
      <c r="V17" s="88">
        <f t="shared" si="6"/>
        <v>0.47733100027740216</v>
      </c>
    </row>
    <row r="18" spans="1:22" x14ac:dyDescent="0.6">
      <c r="A18" s="32"/>
      <c r="B18" s="33" t="s">
        <v>21</v>
      </c>
      <c r="C18" s="74">
        <v>0.55107010385954125</v>
      </c>
      <c r="D18" s="74">
        <v>0.55332910703818605</v>
      </c>
      <c r="E18" s="74">
        <v>0.57550885018457154</v>
      </c>
      <c r="F18" s="74">
        <v>0.53997571927354493</v>
      </c>
      <c r="G18" s="74">
        <v>0.57624931488938447</v>
      </c>
      <c r="H18" s="74">
        <v>0.54962731070912929</v>
      </c>
      <c r="I18" s="74">
        <v>0.38768637181380838</v>
      </c>
      <c r="J18" s="74">
        <v>0.53656861548014312</v>
      </c>
      <c r="L18" s="87"/>
      <c r="N18" s="87"/>
      <c r="O18" s="88">
        <f t="shared" si="0"/>
        <v>0.44892989614045875</v>
      </c>
      <c r="P18" s="88">
        <f>1-D18</f>
        <v>0.44667089296181395</v>
      </c>
      <c r="Q18" s="88">
        <f t="shared" si="2"/>
        <v>0.42449114981542846</v>
      </c>
      <c r="R18" s="88">
        <f t="shared" si="3"/>
        <v>0.46002428072645507</v>
      </c>
      <c r="S18" s="88">
        <f t="shared" si="4"/>
        <v>0.42375068511061553</v>
      </c>
      <c r="T18" s="88">
        <f t="shared" si="5"/>
        <v>0.45037268929087071</v>
      </c>
      <c r="U18" s="88">
        <f t="shared" si="7"/>
        <v>0.61231362818619162</v>
      </c>
      <c r="V18" s="88">
        <f t="shared" si="6"/>
        <v>0.46343138451985688</v>
      </c>
    </row>
    <row r="19" spans="1:22" x14ac:dyDescent="0.6">
      <c r="A19" s="32"/>
      <c r="B19" s="33" t="s">
        <v>22</v>
      </c>
      <c r="C19" s="74">
        <v>0.45688098466696231</v>
      </c>
      <c r="D19" s="74">
        <v>0.45454024796471865</v>
      </c>
      <c r="E19" s="74">
        <v>0.50474763388046562</v>
      </c>
      <c r="F19" s="74">
        <v>0.46609595189186737</v>
      </c>
      <c r="G19" s="74">
        <v>0.51142313083044089</v>
      </c>
      <c r="H19" s="74">
        <v>0.48324859524174579</v>
      </c>
      <c r="I19" s="74">
        <v>0.36657106476743917</v>
      </c>
      <c r="J19" s="74">
        <v>0.47495453758972028</v>
      </c>
      <c r="L19" s="87"/>
      <c r="N19" s="87"/>
      <c r="O19" s="88">
        <f t="shared" si="0"/>
        <v>0.54311901533303764</v>
      </c>
      <c r="P19" s="88">
        <f t="shared" si="1"/>
        <v>0.5454597520352813</v>
      </c>
      <c r="Q19" s="88">
        <f t="shared" si="2"/>
        <v>0.49525236611953438</v>
      </c>
      <c r="R19" s="88">
        <f t="shared" si="3"/>
        <v>0.53390404810813263</v>
      </c>
      <c r="S19" s="88">
        <f t="shared" si="4"/>
        <v>0.48857686916955911</v>
      </c>
      <c r="T19" s="88">
        <f t="shared" si="5"/>
        <v>0.51675140475825421</v>
      </c>
      <c r="U19" s="88">
        <f t="shared" si="7"/>
        <v>0.63342893523256083</v>
      </c>
      <c r="V19" s="88">
        <f t="shared" si="6"/>
        <v>0.52504546241027972</v>
      </c>
    </row>
    <row r="20" spans="1:22" x14ac:dyDescent="0.6">
      <c r="A20" s="32"/>
      <c r="B20" s="33" t="s">
        <v>23</v>
      </c>
      <c r="C20" s="74">
        <v>0.49304415914736349</v>
      </c>
      <c r="D20" s="74">
        <v>0.49298924931725202</v>
      </c>
      <c r="E20" s="74">
        <v>0.53508710626269718</v>
      </c>
      <c r="F20" s="74">
        <v>0.49632836738529645</v>
      </c>
      <c r="G20" s="74">
        <v>0.51783919682256363</v>
      </c>
      <c r="H20" s="74">
        <v>0.49692274808658754</v>
      </c>
      <c r="I20" s="74">
        <v>0.38509839853796402</v>
      </c>
      <c r="J20" s="74">
        <v>0.48508833126829415</v>
      </c>
      <c r="L20" s="87"/>
      <c r="N20" s="87"/>
      <c r="O20" s="88">
        <f t="shared" si="0"/>
        <v>0.50695584085263645</v>
      </c>
      <c r="P20" s="88">
        <f t="shared" si="1"/>
        <v>0.50701075068274792</v>
      </c>
      <c r="Q20" s="88">
        <f t="shared" si="2"/>
        <v>0.46491289373730282</v>
      </c>
      <c r="R20" s="88">
        <f t="shared" si="3"/>
        <v>0.50367163261470349</v>
      </c>
      <c r="S20" s="88">
        <f t="shared" si="4"/>
        <v>0.48216080317743637</v>
      </c>
      <c r="T20" s="88">
        <f t="shared" si="5"/>
        <v>0.50307725191341246</v>
      </c>
      <c r="U20" s="88">
        <f t="shared" si="7"/>
        <v>0.61490160146203598</v>
      </c>
      <c r="V20" s="88">
        <f t="shared" si="6"/>
        <v>0.51491166873170591</v>
      </c>
    </row>
    <row r="21" spans="1:22" x14ac:dyDescent="0.6">
      <c r="A21" s="32"/>
      <c r="J21" s="89"/>
    </row>
    <row r="22" spans="1:22" x14ac:dyDescent="0.6">
      <c r="A22" s="32"/>
    </row>
    <row r="23" spans="1:22" x14ac:dyDescent="0.6">
      <c r="A23" s="31" t="s">
        <v>24</v>
      </c>
      <c r="B23" s="83" t="s">
        <v>120</v>
      </c>
    </row>
    <row r="24" spans="1:22" x14ac:dyDescent="0.6">
      <c r="A24" s="31"/>
      <c r="B24" s="83"/>
    </row>
    <row r="25" spans="1:22" x14ac:dyDescent="0.6">
      <c r="A25" s="32"/>
      <c r="D25" s="49" t="str">
        <f>D7</f>
        <v>RS TOU - BGS</v>
      </c>
      <c r="P25" s="27" t="s">
        <v>119</v>
      </c>
    </row>
    <row r="26" spans="1:22" x14ac:dyDescent="0.6">
      <c r="A26" s="32"/>
      <c r="D26" s="49"/>
      <c r="P26" s="12"/>
    </row>
    <row r="27" spans="1:22" x14ac:dyDescent="0.6">
      <c r="A27" s="32"/>
      <c r="B27" s="33" t="str">
        <f>B9</f>
        <v>January</v>
      </c>
      <c r="D27" s="74">
        <v>0.36018848319585994</v>
      </c>
      <c r="F27" s="74"/>
      <c r="P27" s="88">
        <f>1-D27</f>
        <v>0.63981151680414006</v>
      </c>
    </row>
    <row r="28" spans="1:22" x14ac:dyDescent="0.6">
      <c r="A28" s="32"/>
      <c r="B28" s="33" t="str">
        <f t="shared" ref="B28:B38" si="8">B10</f>
        <v>February</v>
      </c>
      <c r="D28" s="74">
        <v>0.36223114833237929</v>
      </c>
      <c r="F28" s="74"/>
      <c r="P28" s="88">
        <f t="shared" ref="P28:P38" si="9">1-D28</f>
        <v>0.63776885166762076</v>
      </c>
    </row>
    <row r="29" spans="1:22" x14ac:dyDescent="0.6">
      <c r="A29" s="32"/>
      <c r="B29" s="33" t="str">
        <f t="shared" si="8"/>
        <v>March</v>
      </c>
      <c r="D29" s="74">
        <v>0.33727937347265907</v>
      </c>
      <c r="F29" s="74"/>
      <c r="P29" s="88">
        <f t="shared" si="9"/>
        <v>0.66272062652734087</v>
      </c>
    </row>
    <row r="30" spans="1:22" x14ac:dyDescent="0.6">
      <c r="A30" s="32"/>
      <c r="B30" s="33" t="str">
        <f t="shared" si="8"/>
        <v>April</v>
      </c>
      <c r="D30" s="74">
        <v>0.34033018432638124</v>
      </c>
      <c r="F30" s="74"/>
      <c r="P30" s="88">
        <f t="shared" si="9"/>
        <v>0.65966981567361871</v>
      </c>
    </row>
    <row r="31" spans="1:22" x14ac:dyDescent="0.6">
      <c r="A31" s="32"/>
      <c r="B31" s="33" t="str">
        <f t="shared" si="8"/>
        <v>May</v>
      </c>
      <c r="D31" s="74">
        <v>0.36437622364276973</v>
      </c>
      <c r="F31" s="74"/>
      <c r="P31" s="88">
        <f t="shared" si="9"/>
        <v>0.63562377635723033</v>
      </c>
    </row>
    <row r="32" spans="1:22" x14ac:dyDescent="0.6">
      <c r="A32" s="32"/>
      <c r="B32" s="33" t="str">
        <f t="shared" si="8"/>
        <v>June</v>
      </c>
      <c r="D32" s="74">
        <v>0.411437361038131</v>
      </c>
      <c r="F32" s="74"/>
      <c r="P32" s="88">
        <f t="shared" si="9"/>
        <v>0.588562638961869</v>
      </c>
    </row>
    <row r="33" spans="1:25" x14ac:dyDescent="0.6">
      <c r="A33" s="32"/>
      <c r="B33" s="33" t="str">
        <f t="shared" si="8"/>
        <v>July</v>
      </c>
      <c r="D33" s="74">
        <v>0.44432830904343257</v>
      </c>
      <c r="F33" s="74"/>
      <c r="P33" s="88">
        <f t="shared" si="9"/>
        <v>0.55567169095656743</v>
      </c>
    </row>
    <row r="34" spans="1:25" x14ac:dyDescent="0.6">
      <c r="A34" s="32"/>
      <c r="B34" s="33" t="str">
        <f t="shared" si="8"/>
        <v>August</v>
      </c>
      <c r="D34" s="74">
        <v>0.44209513627035119</v>
      </c>
      <c r="F34" s="74"/>
      <c r="P34" s="88">
        <f t="shared" si="9"/>
        <v>0.55790486372964887</v>
      </c>
    </row>
    <row r="35" spans="1:25" x14ac:dyDescent="0.6">
      <c r="A35" s="32"/>
      <c r="B35" s="33" t="str">
        <f t="shared" si="8"/>
        <v>September</v>
      </c>
      <c r="D35" s="74">
        <v>0.36430421972241289</v>
      </c>
      <c r="F35" s="74"/>
      <c r="P35" s="88">
        <f t="shared" si="9"/>
        <v>0.63569578027758711</v>
      </c>
    </row>
    <row r="36" spans="1:25" x14ac:dyDescent="0.6">
      <c r="A36" s="32"/>
      <c r="B36" s="33" t="str">
        <f t="shared" si="8"/>
        <v>October</v>
      </c>
      <c r="D36" s="74">
        <v>0.37576078517006511</v>
      </c>
      <c r="F36" s="74"/>
      <c r="P36" s="88">
        <f t="shared" si="9"/>
        <v>0.62423921482993494</v>
      </c>
    </row>
    <row r="37" spans="1:25" x14ac:dyDescent="0.6">
      <c r="A37" s="32"/>
      <c r="B37" s="33" t="str">
        <f t="shared" si="8"/>
        <v>November</v>
      </c>
      <c r="D37" s="74">
        <v>0.30364219926883446</v>
      </c>
      <c r="F37" s="74"/>
      <c r="P37" s="88">
        <f t="shared" si="9"/>
        <v>0.69635780073116549</v>
      </c>
    </row>
    <row r="38" spans="1:25" x14ac:dyDescent="0.6">
      <c r="A38" s="32"/>
      <c r="B38" s="33" t="str">
        <f t="shared" si="8"/>
        <v>December</v>
      </c>
      <c r="D38" s="74">
        <v>0.33636121479577313</v>
      </c>
      <c r="F38" s="74"/>
      <c r="P38" s="88">
        <f t="shared" si="9"/>
        <v>0.66363878520422692</v>
      </c>
    </row>
    <row r="39" spans="1:25" x14ac:dyDescent="0.6">
      <c r="A39" s="32"/>
    </row>
    <row r="40" spans="1:25" x14ac:dyDescent="0.6">
      <c r="A40" s="32"/>
    </row>
    <row r="41" spans="1:25" x14ac:dyDescent="0.6">
      <c r="A41" s="31" t="s">
        <v>32</v>
      </c>
      <c r="B41" s="90" t="s">
        <v>25</v>
      </c>
      <c r="O41" s="3" t="s">
        <v>26</v>
      </c>
      <c r="P41" s="3"/>
    </row>
    <row r="42" spans="1:25" x14ac:dyDescent="0.6">
      <c r="A42" s="32"/>
      <c r="B42" s="110" t="s">
        <v>27</v>
      </c>
    </row>
    <row r="43" spans="1:25" x14ac:dyDescent="0.6">
      <c r="A43" s="32"/>
      <c r="B43" s="4" t="s">
        <v>28</v>
      </c>
      <c r="C43" s="49" t="s">
        <v>5</v>
      </c>
      <c r="D43" s="49" t="str">
        <f>D7</f>
        <v>RS TOU - BGS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29</v>
      </c>
      <c r="L43" s="27"/>
      <c r="O43" s="27" t="s">
        <v>5</v>
      </c>
      <c r="P43" s="27" t="s">
        <v>119</v>
      </c>
      <c r="Q43" s="27" t="s">
        <v>6</v>
      </c>
      <c r="R43" s="27" t="s">
        <v>7</v>
      </c>
      <c r="S43" s="27" t="s">
        <v>8</v>
      </c>
      <c r="T43" s="27" t="s">
        <v>9</v>
      </c>
      <c r="U43" s="27" t="s">
        <v>10</v>
      </c>
      <c r="V43" s="27" t="s">
        <v>11</v>
      </c>
      <c r="X43" s="27"/>
      <c r="Y43" s="27"/>
    </row>
    <row r="44" spans="1:25" x14ac:dyDescent="0.6">
      <c r="A44" s="32"/>
    </row>
    <row r="45" spans="1:25" x14ac:dyDescent="0.6">
      <c r="A45" s="32"/>
      <c r="B45" s="33">
        <v>45292</v>
      </c>
      <c r="C45" s="44">
        <v>356016.54928878864</v>
      </c>
      <c r="D45" s="44">
        <v>200.59648292959452</v>
      </c>
      <c r="E45" s="44">
        <v>70298.353945793773</v>
      </c>
      <c r="F45" s="44">
        <v>2181.8139086957508</v>
      </c>
      <c r="G45" s="44">
        <v>64084.043813754106</v>
      </c>
      <c r="H45" s="44">
        <v>4973.3986708873072</v>
      </c>
      <c r="I45" s="44">
        <v>4821.1889821773248</v>
      </c>
      <c r="J45" s="44">
        <v>836.97825701250872</v>
      </c>
      <c r="K45" s="44">
        <f>SUM(C45:J45)</f>
        <v>503412.923350039</v>
      </c>
      <c r="L45" s="44"/>
      <c r="N45" s="26" t="s">
        <v>30</v>
      </c>
      <c r="O45" s="37">
        <f>SUM(C45:C49,C54:C56)</f>
        <v>2245582.2973051951</v>
      </c>
      <c r="P45" s="37">
        <f>SUM(D45:D49,D54:D56)</f>
        <v>1265.2667744470118</v>
      </c>
      <c r="Q45" s="37">
        <f t="shared" ref="Q45:S45" si="10">SUM(E45:E49,E54:E56)</f>
        <v>562028.80287400435</v>
      </c>
      <c r="R45" s="37">
        <f t="shared" si="10"/>
        <v>16179.9215452596</v>
      </c>
      <c r="S45" s="37">
        <f t="shared" si="10"/>
        <v>515937.36218324472</v>
      </c>
      <c r="T45" s="37">
        <f>SUM(H45:H49,H54:H56)</f>
        <v>39597.934613306737</v>
      </c>
      <c r="U45" s="37">
        <f>SUM(I45:I49,I54:I56)</f>
        <v>35365.845729728062</v>
      </c>
      <c r="V45" s="37">
        <f>SUM(J45:J49,J54:J56)</f>
        <v>6655.6056103117917</v>
      </c>
      <c r="W45" s="37">
        <f>SUM(O45:V45)</f>
        <v>3422613.0366354981</v>
      </c>
      <c r="X45" s="111"/>
      <c r="Y45" s="111"/>
    </row>
    <row r="46" spans="1:25" x14ac:dyDescent="0.6">
      <c r="A46" s="32"/>
      <c r="B46" s="33">
        <v>45323</v>
      </c>
      <c r="C46" s="44">
        <v>311490.50722528755</v>
      </c>
      <c r="D46" s="44">
        <v>175.50841481996193</v>
      </c>
      <c r="E46" s="44">
        <v>69511.375742074568</v>
      </c>
      <c r="F46" s="44">
        <v>2010.7899853171316</v>
      </c>
      <c r="G46" s="44">
        <v>66513.320279198771</v>
      </c>
      <c r="H46" s="44">
        <v>6479.1204176234805</v>
      </c>
      <c r="I46" s="44">
        <v>4402.168713930776</v>
      </c>
      <c r="J46" s="44">
        <v>830.88256324294571</v>
      </c>
      <c r="K46" s="44">
        <f t="shared" ref="K46:K56" si="11">SUM(C46:J46)</f>
        <v>461413.67334149516</v>
      </c>
      <c r="L46" s="44"/>
      <c r="N46" s="5" t="s">
        <v>117</v>
      </c>
      <c r="P46" s="37">
        <f>SUMPRODUCT($D$45:$D$49,$D$9:$D$13)+SUMPRODUCT($D$54:$D$56,$D$18:$D$20)</f>
        <v>649.89710911176837</v>
      </c>
      <c r="W46" s="37"/>
      <c r="X46" s="111"/>
      <c r="Y46" s="111"/>
    </row>
    <row r="47" spans="1:25" x14ac:dyDescent="0.6">
      <c r="A47" s="32"/>
      <c r="B47" s="33">
        <v>45352</v>
      </c>
      <c r="C47" s="44">
        <v>294524.70632198988</v>
      </c>
      <c r="D47" s="44">
        <v>165.94908394592261</v>
      </c>
      <c r="E47" s="44">
        <v>69429.081547597132</v>
      </c>
      <c r="F47" s="44">
        <v>1778.0528545119546</v>
      </c>
      <c r="G47" s="44">
        <v>64392.737202641671</v>
      </c>
      <c r="H47" s="44">
        <v>5311.4643928468204</v>
      </c>
      <c r="I47" s="44">
        <v>4377.2773498583101</v>
      </c>
      <c r="J47" s="44">
        <v>822.65126209945606</v>
      </c>
      <c r="K47" s="44">
        <f t="shared" si="11"/>
        <v>440801.92001549114</v>
      </c>
      <c r="L47" s="44"/>
      <c r="N47" s="5" t="s">
        <v>118</v>
      </c>
      <c r="P47" s="37">
        <f>SUMPRODUCT($D$45:$D$49,$P$9:$P$13)+SUMPRODUCT($D$54:$D$56,$P$18:$P$20)</f>
        <v>615.36966533524344</v>
      </c>
      <c r="X47" s="111"/>
      <c r="Y47" s="111"/>
    </row>
    <row r="48" spans="1:25" x14ac:dyDescent="0.6">
      <c r="A48" s="32"/>
      <c r="B48" s="33">
        <v>45383</v>
      </c>
      <c r="C48" s="44">
        <v>220582.11329445138</v>
      </c>
      <c r="D48" s="44">
        <v>124.28634627361608</v>
      </c>
      <c r="E48" s="44">
        <v>62856.687808571856</v>
      </c>
      <c r="F48" s="44">
        <v>1671.4257100162824</v>
      </c>
      <c r="G48" s="44">
        <v>57712.624721418964</v>
      </c>
      <c r="H48" s="44">
        <v>4542.909080360384</v>
      </c>
      <c r="I48" s="44">
        <v>3869.3965311370434</v>
      </c>
      <c r="J48" s="44">
        <v>743.14189368087239</v>
      </c>
      <c r="K48" s="44">
        <f t="shared" si="11"/>
        <v>352102.58538591035</v>
      </c>
      <c r="L48" s="44"/>
      <c r="N48" s="26" t="s">
        <v>31</v>
      </c>
      <c r="O48" s="37">
        <f>+SUM(C50:C53)</f>
        <v>1656925.7775792866</v>
      </c>
      <c r="P48" s="37">
        <f>+SUM(D50:D53)</f>
        <v>933.58998092017976</v>
      </c>
      <c r="Q48" s="37">
        <f t="shared" ref="Q48:S48" si="12">+SUM(E50:E53)</f>
        <v>346662.93532719737</v>
      </c>
      <c r="R48" s="37">
        <f t="shared" si="12"/>
        <v>9079.4360151418368</v>
      </c>
      <c r="S48" s="37">
        <f t="shared" si="12"/>
        <v>308165.36153881648</v>
      </c>
      <c r="T48" s="37">
        <f>+SUM(H50:H53)</f>
        <v>19923.915067524373</v>
      </c>
      <c r="U48" s="37">
        <f>+SUM(I50:I53)</f>
        <v>16457.707888576235</v>
      </c>
      <c r="V48" s="37">
        <f>+SUM(J50:J53)</f>
        <v>3962.2462620112537</v>
      </c>
      <c r="W48" s="37">
        <f>SUM(O48:V48)</f>
        <v>2362110.9696594742</v>
      </c>
      <c r="X48" s="111"/>
      <c r="Y48" s="111"/>
    </row>
    <row r="49" spans="1:25" x14ac:dyDescent="0.6">
      <c r="A49" s="32"/>
      <c r="B49" s="33">
        <v>45413</v>
      </c>
      <c r="C49" s="44">
        <v>207180.92778682068</v>
      </c>
      <c r="D49" s="44">
        <v>116.73548751357242</v>
      </c>
      <c r="E49" s="44">
        <v>65724.703276152504</v>
      </c>
      <c r="F49" s="44">
        <v>2337.8308636591314</v>
      </c>
      <c r="G49" s="44">
        <v>61139.854906067863</v>
      </c>
      <c r="H49" s="44">
        <v>5035.7265174350996</v>
      </c>
      <c r="I49" s="44">
        <v>3686.0471335613802</v>
      </c>
      <c r="J49" s="44">
        <v>766.11887865644144</v>
      </c>
      <c r="K49" s="44">
        <f t="shared" si="11"/>
        <v>345987.94484986668</v>
      </c>
      <c r="L49" s="44"/>
      <c r="N49" s="5" t="s">
        <v>117</v>
      </c>
      <c r="P49" s="37">
        <f>SUMPRODUCT($D$50:$D$53,$D$14:$D$17)</f>
        <v>541.72079745591941</v>
      </c>
      <c r="X49" s="111"/>
      <c r="Y49" s="111"/>
    </row>
    <row r="50" spans="1:25" x14ac:dyDescent="0.6">
      <c r="A50" s="112"/>
      <c r="B50" s="33">
        <v>45078</v>
      </c>
      <c r="C50" s="44">
        <v>284432.64721522789</v>
      </c>
      <c r="D50" s="44">
        <v>160.26274277336131</v>
      </c>
      <c r="E50" s="44">
        <v>80994.058634941088</v>
      </c>
      <c r="F50" s="44">
        <v>2345.244861202621</v>
      </c>
      <c r="G50" s="44">
        <v>70765.171809886539</v>
      </c>
      <c r="H50" s="44">
        <v>5661.8454289417823</v>
      </c>
      <c r="I50" s="44">
        <v>3758.7285182465985</v>
      </c>
      <c r="J50" s="44">
        <v>918.1303102657987</v>
      </c>
      <c r="K50" s="44">
        <f t="shared" si="11"/>
        <v>449036.08952148567</v>
      </c>
      <c r="L50" s="44"/>
      <c r="N50" s="5" t="s">
        <v>118</v>
      </c>
      <c r="P50" s="37">
        <f>SUMPRODUCT($D$50:$D$53,$P$14:$P$17)</f>
        <v>391.8691834642604</v>
      </c>
      <c r="Q50" s="37"/>
      <c r="R50" s="37"/>
      <c r="S50" s="37"/>
      <c r="T50" s="37"/>
      <c r="U50" s="37"/>
      <c r="V50" s="37"/>
      <c r="W50" s="37">
        <f>W45+W48</f>
        <v>5784724.0062949723</v>
      </c>
      <c r="X50" s="111"/>
      <c r="Y50" s="111"/>
    </row>
    <row r="51" spans="1:25" x14ac:dyDescent="0.6">
      <c r="A51" s="32"/>
      <c r="B51" s="33">
        <v>45108</v>
      </c>
      <c r="C51" s="44">
        <v>439530.82513617049</v>
      </c>
      <c r="D51" s="44">
        <v>247.65235727831072</v>
      </c>
      <c r="E51" s="44">
        <v>89323.119617154807</v>
      </c>
      <c r="F51" s="44">
        <v>2553.5177725130734</v>
      </c>
      <c r="G51" s="44">
        <v>81014.249402297311</v>
      </c>
      <c r="H51" s="44">
        <v>4835.3820447100989</v>
      </c>
      <c r="I51" s="44">
        <v>4005.7912647864041</v>
      </c>
      <c r="J51" s="44">
        <v>1014.3140476450665</v>
      </c>
      <c r="K51" s="44">
        <f t="shared" si="11"/>
        <v>622524.85164255556</v>
      </c>
      <c r="L51" s="44"/>
      <c r="O51" s="37"/>
      <c r="P51" s="37"/>
      <c r="Q51" s="37"/>
      <c r="R51" s="37"/>
      <c r="S51" s="37"/>
      <c r="T51" s="37"/>
      <c r="U51" s="37"/>
      <c r="V51" s="37"/>
      <c r="X51" s="111"/>
      <c r="Y51" s="111"/>
    </row>
    <row r="52" spans="1:25" x14ac:dyDescent="0.6">
      <c r="A52" s="32"/>
      <c r="B52" s="33">
        <v>45139</v>
      </c>
      <c r="C52" s="44">
        <v>509610.33494054194</v>
      </c>
      <c r="D52" s="44">
        <v>287.13845201258619</v>
      </c>
      <c r="E52" s="44">
        <v>91890.632228835573</v>
      </c>
      <c r="F52" s="44">
        <v>2000.3940439303528</v>
      </c>
      <c r="G52" s="44">
        <v>80004.909996393588</v>
      </c>
      <c r="H52" s="44">
        <v>4845.2611389940694</v>
      </c>
      <c r="I52" s="44">
        <v>4297.6451109191821</v>
      </c>
      <c r="J52" s="44">
        <v>1048.304601507389</v>
      </c>
      <c r="K52" s="44">
        <f t="shared" si="11"/>
        <v>693984.62051313452</v>
      </c>
      <c r="L52" s="44"/>
      <c r="M52" s="37"/>
      <c r="N52" s="7" t="s">
        <v>177</v>
      </c>
      <c r="O52" s="113">
        <f>+O48*F160</f>
        <v>1043237.1819766939</v>
      </c>
      <c r="P52" s="37"/>
      <c r="Q52" s="37"/>
      <c r="R52" s="37"/>
      <c r="S52" s="37"/>
      <c r="T52" s="37"/>
      <c r="X52" s="111"/>
      <c r="Y52" s="111"/>
    </row>
    <row r="53" spans="1:25" x14ac:dyDescent="0.6">
      <c r="A53" s="32"/>
      <c r="B53" s="33">
        <v>45170</v>
      </c>
      <c r="C53" s="44">
        <v>423351.97028734622</v>
      </c>
      <c r="D53" s="44">
        <v>238.53642885592163</v>
      </c>
      <c r="E53" s="44">
        <v>84455.124846265942</v>
      </c>
      <c r="F53" s="44">
        <v>2180.2793374957887</v>
      </c>
      <c r="G53" s="44">
        <v>76381.030330239068</v>
      </c>
      <c r="H53" s="44">
        <v>4581.4264548784213</v>
      </c>
      <c r="I53" s="44">
        <v>4395.5429946240511</v>
      </c>
      <c r="J53" s="44">
        <v>981.49730259299918</v>
      </c>
      <c r="K53" s="44">
        <f t="shared" si="11"/>
        <v>596565.40798229829</v>
      </c>
      <c r="L53" s="44"/>
      <c r="M53" s="37"/>
      <c r="N53" s="7" t="s">
        <v>178</v>
      </c>
      <c r="O53" s="37">
        <f>+O48-O52</f>
        <v>613688.59560259269</v>
      </c>
      <c r="P53" s="37"/>
      <c r="Q53" s="37"/>
      <c r="R53" s="37"/>
      <c r="S53" s="37"/>
      <c r="T53" s="37"/>
      <c r="X53" s="111"/>
      <c r="Y53" s="111"/>
    </row>
    <row r="54" spans="1:25" x14ac:dyDescent="0.6">
      <c r="A54" s="32"/>
      <c r="B54" s="33">
        <v>45200</v>
      </c>
      <c r="C54" s="44">
        <v>309250.21138905303</v>
      </c>
      <c r="D54" s="44">
        <v>174.24612668653603</v>
      </c>
      <c r="E54" s="44">
        <v>77007.682251482707</v>
      </c>
      <c r="F54" s="44">
        <v>2104.2433577786451</v>
      </c>
      <c r="G54" s="44">
        <v>69442.036558913649</v>
      </c>
      <c r="H54" s="44">
        <v>4648.8900456300644</v>
      </c>
      <c r="I54" s="44">
        <v>4522.7867203140904</v>
      </c>
      <c r="J54" s="44">
        <v>908.23677886541111</v>
      </c>
      <c r="K54" s="44">
        <f t="shared" si="11"/>
        <v>468058.33322872402</v>
      </c>
      <c r="L54" s="44"/>
      <c r="O54" s="37">
        <f>SUM(O52:O53)</f>
        <v>1656925.7775792866</v>
      </c>
      <c r="X54" s="111"/>
      <c r="Y54" s="111"/>
    </row>
    <row r="55" spans="1:25" x14ac:dyDescent="0.6">
      <c r="A55" s="32"/>
      <c r="B55" s="33">
        <v>45231</v>
      </c>
      <c r="C55" s="44">
        <v>251309.05918838986</v>
      </c>
      <c r="D55" s="44">
        <v>141.5993540250962</v>
      </c>
      <c r="E55" s="44">
        <v>73207.024758596919</v>
      </c>
      <c r="F55" s="44">
        <v>2102.8375305180507</v>
      </c>
      <c r="G55" s="44">
        <v>64646.63895985506</v>
      </c>
      <c r="H55" s="44">
        <v>4718.5656337771079</v>
      </c>
      <c r="I55" s="44">
        <v>4824.414450377797</v>
      </c>
      <c r="J55" s="44">
        <v>872.23366359693796</v>
      </c>
      <c r="K55" s="44">
        <f t="shared" si="11"/>
        <v>401822.37353913684</v>
      </c>
      <c r="L55" s="44"/>
      <c r="X55" s="111"/>
      <c r="Y55" s="111"/>
    </row>
    <row r="56" spans="1:25" x14ac:dyDescent="0.6">
      <c r="A56" s="32"/>
      <c r="B56" s="33">
        <v>45261</v>
      </c>
      <c r="C56" s="44">
        <v>295228.2228104141</v>
      </c>
      <c r="D56" s="44">
        <v>166.34547825271201</v>
      </c>
      <c r="E56" s="44">
        <v>73993.893543734943</v>
      </c>
      <c r="F56" s="44">
        <v>1992.9273347626558</v>
      </c>
      <c r="G56" s="44">
        <v>68006.105741394626</v>
      </c>
      <c r="H56" s="44">
        <v>3887.8598547464717</v>
      </c>
      <c r="I56" s="44">
        <v>4862.565848371336</v>
      </c>
      <c r="J56" s="44">
        <v>875.36231315721852</v>
      </c>
      <c r="K56" s="44">
        <f t="shared" si="11"/>
        <v>449013.28292483417</v>
      </c>
      <c r="L56" s="44"/>
      <c r="P56" s="5" t="s">
        <v>208</v>
      </c>
      <c r="Q56" s="65">
        <f>SUMPRODUCT(O45:V45,C84:J84)</f>
        <v>3617698.8067957303</v>
      </c>
      <c r="X56" s="111"/>
      <c r="Y56" s="111"/>
    </row>
    <row r="57" spans="1:25" x14ac:dyDescent="0.6">
      <c r="A57" s="32"/>
      <c r="B57" s="114" t="s">
        <v>29</v>
      </c>
      <c r="C57" s="37">
        <f>SUM(C45:C56)</f>
        <v>3902508.0748844817</v>
      </c>
      <c r="D57" s="37">
        <f t="shared" ref="D57:I57" si="13">SUM(D45:D56)</f>
        <v>2198.8567553671915</v>
      </c>
      <c r="E57" s="37">
        <f t="shared" si="13"/>
        <v>908691.73820120189</v>
      </c>
      <c r="F57" s="37">
        <f t="shared" si="13"/>
        <v>25259.357560401437</v>
      </c>
      <c r="G57" s="37">
        <f t="shared" si="13"/>
        <v>824102.72372206114</v>
      </c>
      <c r="H57" s="37">
        <f t="shared" si="13"/>
        <v>59521.849680831103</v>
      </c>
      <c r="I57" s="37">
        <f t="shared" si="13"/>
        <v>51823.553618304286</v>
      </c>
      <c r="J57" s="37">
        <f t="shared" ref="J57" si="14">SUM(J45:J56)</f>
        <v>10617.851872323046</v>
      </c>
      <c r="K57" s="37">
        <f>SUM(K45:K56)</f>
        <v>5784724.0062949713</v>
      </c>
      <c r="L57" s="37"/>
      <c r="Q57" s="156">
        <f>SUMPRODUCT(O48:V48,C84:J84)</f>
        <v>2497011.763587791</v>
      </c>
    </row>
    <row r="58" spans="1:25" x14ac:dyDescent="0.6">
      <c r="A58" s="32"/>
      <c r="B58" s="33"/>
      <c r="C58" s="37"/>
      <c r="D58" s="37"/>
      <c r="E58" s="37"/>
      <c r="F58" s="37"/>
      <c r="G58" s="37"/>
      <c r="H58" s="37"/>
      <c r="I58" s="37"/>
      <c r="J58" s="37"/>
      <c r="K58" s="44"/>
      <c r="L58" s="37"/>
      <c r="Q58" s="123">
        <f>SUM(Q56:Q57)</f>
        <v>6114710.5703835208</v>
      </c>
    </row>
    <row r="59" spans="1:25" x14ac:dyDescent="0.6">
      <c r="A59" s="32"/>
      <c r="D59" s="37"/>
      <c r="E59" s="37"/>
    </row>
    <row r="60" spans="1:25" x14ac:dyDescent="0.6">
      <c r="A60" s="31" t="s">
        <v>34</v>
      </c>
      <c r="B60" s="3" t="s">
        <v>33</v>
      </c>
      <c r="G60" s="128" t="s">
        <v>38</v>
      </c>
      <c r="H60" s="3" t="s">
        <v>113</v>
      </c>
      <c r="J60" s="30" t="s">
        <v>121</v>
      </c>
    </row>
    <row r="61" spans="1:25" s="79" customFormat="1" x14ac:dyDescent="0.6">
      <c r="A61" s="32"/>
      <c r="B61" s="79" t="s">
        <v>122</v>
      </c>
      <c r="D61" s="27" t="s">
        <v>109</v>
      </c>
      <c r="G61" s="12"/>
    </row>
    <row r="62" spans="1:25" x14ac:dyDescent="0.6">
      <c r="A62" s="32"/>
      <c r="C62" s="49" t="s">
        <v>36</v>
      </c>
      <c r="D62" s="27" t="s">
        <v>110</v>
      </c>
      <c r="E62" s="49" t="s">
        <v>37</v>
      </c>
      <c r="G62" s="27"/>
      <c r="H62" s="49" t="s">
        <v>36</v>
      </c>
      <c r="I62" s="49" t="s">
        <v>37</v>
      </c>
    </row>
    <row r="63" spans="1:25" x14ac:dyDescent="0.6">
      <c r="A63" s="32"/>
      <c r="B63" s="33">
        <f t="shared" ref="B63:B74" si="15">B45</f>
        <v>45292</v>
      </c>
      <c r="C63" s="77">
        <v>112.5</v>
      </c>
      <c r="D63" s="289">
        <v>0.78454133635334089</v>
      </c>
      <c r="E63" s="175">
        <f t="shared" ref="E63:E74" si="16">ROUND(C63*D63,2)</f>
        <v>88.26</v>
      </c>
      <c r="H63" s="1">
        <v>0.82503401360544215</v>
      </c>
      <c r="I63" s="1">
        <v>0.88287977953840846</v>
      </c>
      <c r="N63" s="2"/>
      <c r="O63" s="2"/>
      <c r="P63" s="2"/>
    </row>
    <row r="64" spans="1:25" x14ac:dyDescent="0.6">
      <c r="A64" s="32"/>
      <c r="B64" s="33">
        <f t="shared" si="15"/>
        <v>45323</v>
      </c>
      <c r="C64" s="77">
        <v>105.9</v>
      </c>
      <c r="D64" s="28">
        <f>+$D$63</f>
        <v>0.78454133635334089</v>
      </c>
      <c r="E64" s="175">
        <f t="shared" si="16"/>
        <v>83.08</v>
      </c>
      <c r="H64" s="132">
        <f>H$63</f>
        <v>0.82503401360544215</v>
      </c>
      <c r="I64" s="132">
        <f>I$63</f>
        <v>0.88287977953840846</v>
      </c>
      <c r="N64" s="2"/>
      <c r="O64" s="2"/>
      <c r="P64" s="2"/>
    </row>
    <row r="65" spans="1:16" x14ac:dyDescent="0.6">
      <c r="A65" s="32"/>
      <c r="B65" s="33">
        <f t="shared" si="15"/>
        <v>45352</v>
      </c>
      <c r="C65" s="77">
        <v>65</v>
      </c>
      <c r="D65" s="28">
        <f>+$D$63</f>
        <v>0.78454133635334089</v>
      </c>
      <c r="E65" s="175">
        <f t="shared" si="16"/>
        <v>51</v>
      </c>
      <c r="H65" s="132">
        <f t="shared" ref="H65:I67" si="17">H$63</f>
        <v>0.82503401360544215</v>
      </c>
      <c r="I65" s="132">
        <f t="shared" si="17"/>
        <v>0.88287977953840846</v>
      </c>
      <c r="N65" s="2"/>
      <c r="O65" s="2"/>
      <c r="P65" s="2"/>
    </row>
    <row r="66" spans="1:16" x14ac:dyDescent="0.6">
      <c r="A66" s="32"/>
      <c r="B66" s="33">
        <f t="shared" si="15"/>
        <v>45383</v>
      </c>
      <c r="C66" s="77">
        <v>48.15</v>
      </c>
      <c r="D66" s="28">
        <f>+$D$63</f>
        <v>0.78454133635334089</v>
      </c>
      <c r="E66" s="175">
        <f t="shared" si="16"/>
        <v>37.78</v>
      </c>
      <c r="H66" s="132">
        <f t="shared" si="17"/>
        <v>0.82503401360544215</v>
      </c>
      <c r="I66" s="132">
        <f t="shared" si="17"/>
        <v>0.88287977953840846</v>
      </c>
      <c r="N66" s="2"/>
      <c r="O66" s="2"/>
      <c r="P66" s="2"/>
    </row>
    <row r="67" spans="1:16" x14ac:dyDescent="0.6">
      <c r="A67" s="32"/>
      <c r="B67" s="33">
        <f t="shared" si="15"/>
        <v>45413</v>
      </c>
      <c r="C67" s="77">
        <v>48.25</v>
      </c>
      <c r="D67" s="28">
        <f>+$D$63</f>
        <v>0.78454133635334089</v>
      </c>
      <c r="E67" s="175">
        <f t="shared" si="16"/>
        <v>37.85</v>
      </c>
      <c r="H67" s="132">
        <f t="shared" si="17"/>
        <v>0.82503401360544215</v>
      </c>
      <c r="I67" s="132">
        <f t="shared" si="17"/>
        <v>0.88287977953840846</v>
      </c>
      <c r="N67" s="2"/>
      <c r="O67" s="2"/>
      <c r="P67" s="2"/>
    </row>
    <row r="68" spans="1:16" x14ac:dyDescent="0.6">
      <c r="A68" s="32"/>
      <c r="B68" s="33">
        <f t="shared" si="15"/>
        <v>45078</v>
      </c>
      <c r="C68" s="77">
        <v>64.599999999999994</v>
      </c>
      <c r="D68" s="290">
        <v>0.66819484240687688</v>
      </c>
      <c r="E68" s="175">
        <f t="shared" si="16"/>
        <v>43.17</v>
      </c>
      <c r="H68" s="1">
        <v>0.85637002975385446</v>
      </c>
      <c r="I68" s="1">
        <v>0.90072347266881037</v>
      </c>
      <c r="N68" s="2"/>
      <c r="O68" s="2"/>
      <c r="P68" s="2"/>
    </row>
    <row r="69" spans="1:16" x14ac:dyDescent="0.6">
      <c r="A69" s="32"/>
      <c r="B69" s="33">
        <f t="shared" si="15"/>
        <v>45108</v>
      </c>
      <c r="C69" s="77">
        <v>81.599999999999994</v>
      </c>
      <c r="D69" s="160">
        <f>+$D$68</f>
        <v>0.66819484240687688</v>
      </c>
      <c r="E69" s="175">
        <f t="shared" si="16"/>
        <v>54.52</v>
      </c>
      <c r="H69" s="132">
        <f t="shared" ref="H69:I71" si="18">H$68</f>
        <v>0.85637002975385446</v>
      </c>
      <c r="I69" s="132">
        <f t="shared" si="18"/>
        <v>0.90072347266881037</v>
      </c>
      <c r="N69" s="2"/>
      <c r="O69" s="2"/>
      <c r="P69" s="2"/>
    </row>
    <row r="70" spans="1:16" x14ac:dyDescent="0.6">
      <c r="A70" s="32"/>
      <c r="B70" s="33">
        <f t="shared" si="15"/>
        <v>45139</v>
      </c>
      <c r="C70" s="77">
        <v>76.5</v>
      </c>
      <c r="D70" s="160">
        <f>+$D$68</f>
        <v>0.66819484240687688</v>
      </c>
      <c r="E70" s="175">
        <f t="shared" si="16"/>
        <v>51.12</v>
      </c>
      <c r="H70" s="132">
        <f t="shared" si="18"/>
        <v>0.85637002975385446</v>
      </c>
      <c r="I70" s="132">
        <f t="shared" si="18"/>
        <v>0.90072347266881037</v>
      </c>
      <c r="N70" s="2"/>
      <c r="O70" s="2"/>
      <c r="P70" s="2"/>
    </row>
    <row r="71" spans="1:16" x14ac:dyDescent="0.6">
      <c r="A71" s="32"/>
      <c r="B71" s="33">
        <f t="shared" si="15"/>
        <v>45170</v>
      </c>
      <c r="C71" s="77">
        <v>64.900000000000006</v>
      </c>
      <c r="D71" s="161">
        <f>+$D$68</f>
        <v>0.66819484240687688</v>
      </c>
      <c r="E71" s="175">
        <f t="shared" si="16"/>
        <v>43.37</v>
      </c>
      <c r="H71" s="132">
        <f t="shared" si="18"/>
        <v>0.85637002975385446</v>
      </c>
      <c r="I71" s="132">
        <f t="shared" si="18"/>
        <v>0.90072347266881037</v>
      </c>
      <c r="N71" s="2"/>
      <c r="O71" s="2"/>
      <c r="P71" s="2"/>
    </row>
    <row r="72" spans="1:16" x14ac:dyDescent="0.6">
      <c r="A72" s="32"/>
      <c r="B72" s="33">
        <f t="shared" si="15"/>
        <v>45200</v>
      </c>
      <c r="C72" s="77">
        <v>56.45</v>
      </c>
      <c r="D72" s="28">
        <f>+$D$63</f>
        <v>0.78454133635334089</v>
      </c>
      <c r="E72" s="175">
        <f t="shared" si="16"/>
        <v>44.29</v>
      </c>
      <c r="H72" s="132">
        <f t="shared" ref="H72:I74" si="19">H$63</f>
        <v>0.82503401360544215</v>
      </c>
      <c r="I72" s="132">
        <f t="shared" si="19"/>
        <v>0.88287977953840846</v>
      </c>
      <c r="N72" s="2"/>
      <c r="O72" s="2"/>
      <c r="P72" s="2"/>
    </row>
    <row r="73" spans="1:16" x14ac:dyDescent="0.6">
      <c r="A73" s="32"/>
      <c r="B73" s="33">
        <f t="shared" si="15"/>
        <v>45231</v>
      </c>
      <c r="C73" s="77">
        <v>57.25</v>
      </c>
      <c r="D73" s="28">
        <f>+$D$63</f>
        <v>0.78454133635334089</v>
      </c>
      <c r="E73" s="175">
        <f t="shared" si="16"/>
        <v>44.91</v>
      </c>
      <c r="H73" s="132">
        <f t="shared" si="19"/>
        <v>0.82503401360544215</v>
      </c>
      <c r="I73" s="132">
        <f t="shared" si="19"/>
        <v>0.88287977953840846</v>
      </c>
      <c r="N73" s="2"/>
      <c r="O73" s="2"/>
      <c r="P73" s="2"/>
    </row>
    <row r="74" spans="1:16" x14ac:dyDescent="0.6">
      <c r="A74" s="32"/>
      <c r="B74" s="33">
        <f t="shared" si="15"/>
        <v>45261</v>
      </c>
      <c r="C74" s="77">
        <v>70</v>
      </c>
      <c r="D74" s="28">
        <f>+$D$63</f>
        <v>0.78454133635334089</v>
      </c>
      <c r="E74" s="175">
        <f t="shared" si="16"/>
        <v>54.92</v>
      </c>
      <c r="H74" s="132">
        <f t="shared" si="19"/>
        <v>0.82503401360544215</v>
      </c>
      <c r="I74" s="132">
        <f t="shared" si="19"/>
        <v>0.88287977953840846</v>
      </c>
      <c r="N74" s="2"/>
      <c r="O74" s="2"/>
      <c r="P74" s="2"/>
    </row>
    <row r="75" spans="1:16" x14ac:dyDescent="0.6">
      <c r="A75" s="32"/>
      <c r="B75" s="33"/>
      <c r="C75" s="77"/>
      <c r="D75" s="28"/>
      <c r="E75" s="77"/>
      <c r="H75" s="1"/>
      <c r="I75" s="1"/>
      <c r="N75" s="2"/>
      <c r="O75" s="2"/>
      <c r="P75" s="2"/>
    </row>
    <row r="76" spans="1:16" x14ac:dyDescent="0.6">
      <c r="A76" s="32"/>
      <c r="B76" s="33"/>
      <c r="C76" s="77"/>
      <c r="D76" s="77"/>
      <c r="E76" s="77"/>
      <c r="H76" s="1"/>
      <c r="K76" s="1"/>
    </row>
    <row r="77" spans="1:16" x14ac:dyDescent="0.6">
      <c r="A77" s="31" t="s">
        <v>41</v>
      </c>
      <c r="B77" s="90" t="s">
        <v>39</v>
      </c>
      <c r="C77" s="49" t="s">
        <v>5</v>
      </c>
      <c r="D77" s="49" t="s">
        <v>119</v>
      </c>
      <c r="E77" s="49" t="s">
        <v>6</v>
      </c>
      <c r="F77" s="49" t="s">
        <v>7</v>
      </c>
      <c r="G77" s="49" t="s">
        <v>8</v>
      </c>
      <c r="H77" s="49" t="s">
        <v>9</v>
      </c>
      <c r="I77" s="49" t="s">
        <v>10</v>
      </c>
      <c r="J77" s="49" t="s">
        <v>11</v>
      </c>
      <c r="L77" s="27"/>
    </row>
    <row r="78" spans="1:16" x14ac:dyDescent="0.6">
      <c r="A78" s="32"/>
      <c r="B78" s="5" t="s">
        <v>202</v>
      </c>
      <c r="C78" s="76">
        <v>6.6720174709983343E-2</v>
      </c>
      <c r="D78" s="76">
        <v>6.6720174709983343E-2</v>
      </c>
      <c r="E78" s="76">
        <v>6.6720174709983343E-2</v>
      </c>
      <c r="F78" s="76">
        <v>4.1640711102592348E-2</v>
      </c>
      <c r="G78" s="76">
        <v>6.6720174709983343E-2</v>
      </c>
      <c r="H78" s="76">
        <v>4.1640711102592348E-2</v>
      </c>
      <c r="I78" s="76">
        <v>6.6720174709983343E-2</v>
      </c>
      <c r="J78" s="76">
        <v>6.6720174709983343E-2</v>
      </c>
      <c r="L78" s="158"/>
      <c r="M78" s="158"/>
    </row>
    <row r="79" spans="1:16" x14ac:dyDescent="0.6">
      <c r="A79" s="32"/>
      <c r="B79" s="33" t="s">
        <v>201</v>
      </c>
      <c r="C79" s="169">
        <f>1-((1-C78)*(1-0.4251%))</f>
        <v>7.0687547247291205E-2</v>
      </c>
      <c r="D79" s="169">
        <f t="shared" ref="D79:J79" si="20">1-((1-D78)*(1-0.4251%))</f>
        <v>7.0687547247291205E-2</v>
      </c>
      <c r="E79" s="169">
        <f t="shared" si="20"/>
        <v>7.0687547247291205E-2</v>
      </c>
      <c r="F79" s="169">
        <f t="shared" si="20"/>
        <v>4.5714696439695279E-2</v>
      </c>
      <c r="G79" s="169">
        <f t="shared" si="20"/>
        <v>7.0687547247291205E-2</v>
      </c>
      <c r="H79" s="169">
        <f t="shared" si="20"/>
        <v>4.5714696439695279E-2</v>
      </c>
      <c r="I79" s="169">
        <f t="shared" si="20"/>
        <v>7.0687547247291205E-2</v>
      </c>
      <c r="J79" s="169">
        <f t="shared" si="20"/>
        <v>7.0687547247291205E-2</v>
      </c>
      <c r="L79" s="76"/>
    </row>
    <row r="80" spans="1:16" x14ac:dyDescent="0.6">
      <c r="A80" s="32"/>
      <c r="B80" s="5" t="s">
        <v>40</v>
      </c>
      <c r="C80" s="91">
        <f>1/(1-C79)</f>
        <v>1.0760643495499369</v>
      </c>
      <c r="D80" s="91">
        <f t="shared" ref="D80:J80" si="21">1/(1-D79)</f>
        <v>1.0760643495499369</v>
      </c>
      <c r="E80" s="91">
        <f t="shared" si="21"/>
        <v>1.0760643495499369</v>
      </c>
      <c r="F80" s="91">
        <f t="shared" si="21"/>
        <v>1.0479046426358449</v>
      </c>
      <c r="G80" s="91">
        <f t="shared" si="21"/>
        <v>1.0760643495499369</v>
      </c>
      <c r="H80" s="91">
        <f t="shared" si="21"/>
        <v>1.0479046426358449</v>
      </c>
      <c r="I80" s="91">
        <f t="shared" si="21"/>
        <v>1.0760643495499369</v>
      </c>
      <c r="J80" s="91">
        <f t="shared" si="21"/>
        <v>1.0760643495499369</v>
      </c>
      <c r="L80" s="91"/>
      <c r="M80" s="154"/>
    </row>
    <row r="81" spans="1:20" x14ac:dyDescent="0.6">
      <c r="A81" s="32"/>
      <c r="C81" s="91"/>
      <c r="D81" s="91"/>
      <c r="E81" s="91"/>
      <c r="F81" s="91"/>
      <c r="G81" s="91"/>
      <c r="H81" s="91"/>
      <c r="I81" s="91"/>
      <c r="J81" s="91"/>
      <c r="L81" s="159"/>
      <c r="M81" s="129"/>
      <c r="T81" s="103"/>
    </row>
    <row r="82" spans="1:20" x14ac:dyDescent="0.6">
      <c r="A82" s="32"/>
      <c r="B82" s="5" t="s">
        <v>200</v>
      </c>
      <c r="C82" s="76">
        <v>1.7298501020719257E-2</v>
      </c>
      <c r="D82" s="76">
        <f>$C$82</f>
        <v>1.7298501020719257E-2</v>
      </c>
      <c r="E82" s="76">
        <f t="shared" ref="E82:J82" si="22">$C$82</f>
        <v>1.7298501020719257E-2</v>
      </c>
      <c r="F82" s="76">
        <f t="shared" si="22"/>
        <v>1.7298501020719257E-2</v>
      </c>
      <c r="G82" s="76">
        <f t="shared" si="22"/>
        <v>1.7298501020719257E-2</v>
      </c>
      <c r="H82" s="76">
        <f t="shared" si="22"/>
        <v>1.7298501020719257E-2</v>
      </c>
      <c r="I82" s="76">
        <f t="shared" si="22"/>
        <v>1.7298501020719257E-2</v>
      </c>
      <c r="J82" s="76">
        <f t="shared" si="22"/>
        <v>1.7298501020719257E-2</v>
      </c>
      <c r="L82" s="170"/>
    </row>
    <row r="83" spans="1:20" x14ac:dyDescent="0.6">
      <c r="A83" s="32"/>
      <c r="B83" s="5" t="s">
        <v>203</v>
      </c>
      <c r="C83" s="169">
        <f t="shared" ref="C83:J83" si="23">1-((1-C79)/(1-C82))</f>
        <v>5.4328853962293144E-2</v>
      </c>
      <c r="D83" s="169">
        <f t="shared" si="23"/>
        <v>5.4328853962293144E-2</v>
      </c>
      <c r="E83" s="169">
        <f t="shared" si="23"/>
        <v>5.4328853962293144E-2</v>
      </c>
      <c r="F83" s="169">
        <f t="shared" si="23"/>
        <v>2.8916405895881403E-2</v>
      </c>
      <c r="G83" s="169">
        <f t="shared" si="23"/>
        <v>5.4328853962293144E-2</v>
      </c>
      <c r="H83" s="169">
        <f t="shared" si="23"/>
        <v>2.8916405895881403E-2</v>
      </c>
      <c r="I83" s="169">
        <f t="shared" si="23"/>
        <v>5.4328853962293144E-2</v>
      </c>
      <c r="J83" s="169">
        <f t="shared" si="23"/>
        <v>5.4328853962293144E-2</v>
      </c>
      <c r="L83" s="91"/>
    </row>
    <row r="84" spans="1:20" x14ac:dyDescent="0.6">
      <c r="A84" s="32"/>
      <c r="B84" s="5" t="s">
        <v>204</v>
      </c>
      <c r="C84" s="91">
        <f t="shared" ref="C84:J84" si="24">1/(1-C83)</f>
        <v>1.0574500493008876</v>
      </c>
      <c r="D84" s="91">
        <f t="shared" si="24"/>
        <v>1.0574500493008876</v>
      </c>
      <c r="E84" s="91">
        <f t="shared" si="24"/>
        <v>1.0574500493008876</v>
      </c>
      <c r="F84" s="91">
        <f t="shared" si="24"/>
        <v>1.0297774631055923</v>
      </c>
      <c r="G84" s="91">
        <f t="shared" si="24"/>
        <v>1.0574500493008876</v>
      </c>
      <c r="H84" s="91">
        <f t="shared" si="24"/>
        <v>1.0297774631055923</v>
      </c>
      <c r="I84" s="91">
        <f t="shared" si="24"/>
        <v>1.0574500493008876</v>
      </c>
      <c r="J84" s="91">
        <f t="shared" si="24"/>
        <v>1.0574500493008876</v>
      </c>
      <c r="L84" s="91"/>
    </row>
    <row r="85" spans="1:20" x14ac:dyDescent="0.6">
      <c r="A85" s="32"/>
      <c r="C85" s="91"/>
      <c r="D85" s="91"/>
      <c r="E85" s="91"/>
      <c r="F85" s="170"/>
      <c r="G85" s="91"/>
      <c r="H85" s="91"/>
      <c r="I85" s="91"/>
      <c r="J85" s="91"/>
      <c r="L85" s="91"/>
    </row>
    <row r="86" spans="1:20" x14ac:dyDescent="0.6">
      <c r="A86" s="32"/>
      <c r="C86" s="158"/>
      <c r="D86" s="158"/>
      <c r="E86" s="158"/>
      <c r="F86" s="158"/>
      <c r="G86" s="158"/>
      <c r="H86" s="158"/>
      <c r="I86" s="158"/>
    </row>
    <row r="87" spans="1:20" x14ac:dyDescent="0.6">
      <c r="A87" s="31" t="s">
        <v>47</v>
      </c>
      <c r="B87" s="3" t="s">
        <v>261</v>
      </c>
    </row>
    <row r="88" spans="1:20" x14ac:dyDescent="0.6">
      <c r="A88" s="32"/>
      <c r="B88" s="4" t="s">
        <v>42</v>
      </c>
      <c r="L88" s="158"/>
    </row>
    <row r="89" spans="1:20" x14ac:dyDescent="0.6">
      <c r="A89" s="32"/>
      <c r="B89" s="4" t="s">
        <v>35</v>
      </c>
    </row>
    <row r="90" spans="1:20" x14ac:dyDescent="0.6">
      <c r="A90" s="32"/>
      <c r="B90" s="3"/>
      <c r="C90" s="49" t="s">
        <v>5</v>
      </c>
      <c r="D90" s="49" t="s">
        <v>119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L90" s="27"/>
    </row>
    <row r="91" spans="1:20" x14ac:dyDescent="0.6">
      <c r="A91" s="32"/>
    </row>
    <row r="92" spans="1:20" x14ac:dyDescent="0.6">
      <c r="A92" s="32"/>
      <c r="B92" s="33" t="s">
        <v>43</v>
      </c>
      <c r="C92" s="15">
        <f t="shared" ref="C92:J92" si="25">(SUMPRODUCT(C14:C17,C50:C53,$C68:$C71,$H68:$H71)*C80+SUMPRODUCT(O14:O17,C50:C53,$E68:$E71,$I68:$I71)*C80)/SUM(C50:C53)</f>
        <v>58.767353730737199</v>
      </c>
      <c r="D92" s="15">
        <f t="shared" si="25"/>
        <v>58.806157593225869</v>
      </c>
      <c r="E92" s="15">
        <f t="shared" si="25"/>
        <v>58.593645992682283</v>
      </c>
      <c r="F92" s="15">
        <f t="shared" si="25"/>
        <v>56.073611130942176</v>
      </c>
      <c r="G92" s="15">
        <f t="shared" si="25"/>
        <v>58.160150233110748</v>
      </c>
      <c r="H92" s="15">
        <f t="shared" si="25"/>
        <v>55.60610255781188</v>
      </c>
      <c r="I92" s="15">
        <f t="shared" si="25"/>
        <v>52.459099900872182</v>
      </c>
      <c r="J92" s="15">
        <f t="shared" si="25"/>
        <v>57.339309085635406</v>
      </c>
      <c r="K92" s="92"/>
      <c r="L92" s="15"/>
    </row>
    <row r="93" spans="1:20" x14ac:dyDescent="0.6">
      <c r="A93" s="32"/>
      <c r="B93" s="33" t="s">
        <v>115</v>
      </c>
      <c r="C93" s="15">
        <f t="shared" ref="C93:J93" si="26">(SUMPRODUCT(C$14:C$17,C$50:C$53,$C$68:$C$71,$H$68:$H$71)*C$80)/SUMPRODUCT(C$14:C$17,C$50:C$53)</f>
        <v>67.420872322487611</v>
      </c>
      <c r="D93" s="15">
        <f t="shared" si="26"/>
        <v>67.424656101503089</v>
      </c>
      <c r="E93" s="15">
        <f t="shared" si="26"/>
        <v>66.624501210958115</v>
      </c>
      <c r="F93" s="15">
        <f t="shared" si="26"/>
        <v>64.801844041666385</v>
      </c>
      <c r="G93" s="15">
        <f t="shared" si="26"/>
        <v>66.642078775405935</v>
      </c>
      <c r="H93" s="15">
        <f t="shared" si="26"/>
        <v>64.415587149816801</v>
      </c>
      <c r="I93" s="15">
        <f t="shared" si="26"/>
        <v>66.000251392446216</v>
      </c>
      <c r="J93" s="15">
        <f t="shared" si="26"/>
        <v>66.563576657139109</v>
      </c>
      <c r="K93" s="92"/>
      <c r="L93" s="15"/>
    </row>
    <row r="94" spans="1:20" x14ac:dyDescent="0.6">
      <c r="A94" s="32"/>
      <c r="B94" s="33" t="s">
        <v>116</v>
      </c>
      <c r="C94" s="15">
        <f>(SUMPRODUCT(O$14:O$17,C$50:C$53,$E$68:$E$71,$I$68:$I$71)*C$80)/SUMPRODUCT(O$14:O$17,C$50:C$53)</f>
        <v>46.897811938216243</v>
      </c>
      <c r="D94" s="15">
        <f t="shared" ref="D94:J94" si="27">(SUMPRODUCT(P$14:P$17,D$50:D$53,$E$68:$E$71,$I$68:$I$71)*D$80)/SUMPRODUCT(P$14:P$17,D$50:D$53)</f>
        <v>46.891926819826978</v>
      </c>
      <c r="E94" s="15">
        <f t="shared" si="27"/>
        <v>46.678158604245169</v>
      </c>
      <c r="F94" s="15">
        <f t="shared" si="27"/>
        <v>45.353031591554519</v>
      </c>
      <c r="G94" s="15">
        <f t="shared" si="27"/>
        <v>46.707758343980942</v>
      </c>
      <c r="H94" s="15">
        <f t="shared" si="27"/>
        <v>45.146257635869823</v>
      </c>
      <c r="I94" s="15">
        <f t="shared" si="27"/>
        <v>46.667421001329558</v>
      </c>
      <c r="J94" s="15">
        <f t="shared" si="27"/>
        <v>46.701003991558068</v>
      </c>
      <c r="K94" s="92"/>
      <c r="L94" s="15"/>
    </row>
    <row r="95" spans="1:20" x14ac:dyDescent="0.6">
      <c r="A95" s="32"/>
      <c r="B95" s="33"/>
      <c r="C95" s="15"/>
      <c r="D95" s="15"/>
      <c r="E95" s="15"/>
      <c r="F95" s="15"/>
      <c r="G95" s="15"/>
      <c r="H95" s="15"/>
      <c r="I95" s="15"/>
      <c r="J95" s="15"/>
      <c r="K95" s="92"/>
      <c r="L95" s="15"/>
    </row>
    <row r="96" spans="1:20" x14ac:dyDescent="0.6">
      <c r="A96" s="32"/>
      <c r="B96" s="33" t="s">
        <v>44</v>
      </c>
      <c r="C96" s="15">
        <f>(SUMPRODUCT(C9:C13,C45:C49,$C63:$C67,$H63:$H67)*C80+SUMPRODUCT(O9:O13,C45:C49,$E63:$E67,$I63:$I67)*C80+SUMPRODUCT(C18:C20,C54:C56,$C72:$C74,$H72:$H74)*C80+SUMPRODUCT(O18:O20,C54:C56,$E72:$E74,$I72:$I74)*C80)/SUM(C45:C49,C54:C56)</f>
        <v>60.248891222505662</v>
      </c>
      <c r="D96" s="15">
        <f t="shared" ref="D96:J96" si="28">(SUMPRODUCT(D9:D13,D45:D49,$C63:$C67,$H63:$H67)*D80+SUMPRODUCT(P9:P13,D45:D49,$E63:$E67,$I63:$I67)*D80+SUMPRODUCT(D18:D20,D54:D56,$C72:$C74,$H72:$H74)*D80+SUMPRODUCT(P18:P20,D54:D56,$E72:$E74,$I72:$I74)*D80)/SUM(D45:D49,D54:D56)</f>
        <v>60.259484102160663</v>
      </c>
      <c r="E96" s="15">
        <f t="shared" si="28"/>
        <v>58.05481875833491</v>
      </c>
      <c r="F96" s="15">
        <f t="shared" si="28"/>
        <v>56.399686975212752</v>
      </c>
      <c r="G96" s="15">
        <f t="shared" si="28"/>
        <v>58.139557350943868</v>
      </c>
      <c r="H96" s="15">
        <f t="shared" si="28"/>
        <v>57.462744963833842</v>
      </c>
      <c r="I96" s="15">
        <f t="shared" si="28"/>
        <v>57.050117396100475</v>
      </c>
      <c r="J96" s="15">
        <f t="shared" si="28"/>
        <v>57.833285520321503</v>
      </c>
      <c r="K96" s="92"/>
      <c r="L96" s="15"/>
    </row>
    <row r="97" spans="1:12" x14ac:dyDescent="0.6">
      <c r="A97" s="32"/>
      <c r="B97" s="33" t="s">
        <v>115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65.422181636787386</v>
      </c>
      <c r="D97" s="15">
        <f t="shared" si="29"/>
        <v>65.403914349230988</v>
      </c>
      <c r="E97" s="15">
        <f t="shared" si="29"/>
        <v>62.577975805125497</v>
      </c>
      <c r="F97" s="15">
        <f t="shared" si="29"/>
        <v>61.431072550919659</v>
      </c>
      <c r="G97" s="15">
        <f t="shared" si="29"/>
        <v>62.697449659678398</v>
      </c>
      <c r="H97" s="15">
        <f t="shared" si="29"/>
        <v>62.418640580983656</v>
      </c>
      <c r="I97" s="15">
        <f t="shared" si="29"/>
        <v>64.935343177787445</v>
      </c>
      <c r="J97" s="15">
        <f t="shared" si="29"/>
        <v>62.965655625422087</v>
      </c>
      <c r="K97" s="92"/>
      <c r="L97" s="15"/>
    </row>
    <row r="98" spans="1:12" x14ac:dyDescent="0.6">
      <c r="A98" s="32"/>
      <c r="B98" s="33" t="s">
        <v>116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54.810483646486418</v>
      </c>
      <c r="D98" s="15">
        <f t="shared" si="30"/>
        <v>54.826407800330387</v>
      </c>
      <c r="E98" s="15">
        <f t="shared" si="30"/>
        <v>52.773756193264141</v>
      </c>
      <c r="F98" s="15">
        <f t="shared" si="30"/>
        <v>51.234360455737175</v>
      </c>
      <c r="G98" s="15">
        <f t="shared" si="30"/>
        <v>52.984045399623128</v>
      </c>
      <c r="H98" s="15">
        <f t="shared" si="30"/>
        <v>52.346039190601303</v>
      </c>
      <c r="I98" s="15">
        <f t="shared" si="30"/>
        <v>52.620342511494734</v>
      </c>
      <c r="J98" s="15">
        <f t="shared" si="30"/>
        <v>52.593050309008923</v>
      </c>
      <c r="K98" s="92"/>
      <c r="L98" s="15"/>
    </row>
    <row r="99" spans="1:12" x14ac:dyDescent="0.6">
      <c r="A99" s="32"/>
      <c r="B99" s="33"/>
      <c r="C99" s="15"/>
      <c r="D99" s="15"/>
      <c r="E99" s="15"/>
      <c r="F99" s="15"/>
      <c r="G99" s="15"/>
      <c r="H99" s="15"/>
      <c r="I99" s="15"/>
      <c r="J99" s="15"/>
      <c r="K99" s="92"/>
      <c r="L99" s="15"/>
    </row>
    <row r="100" spans="1:12" x14ac:dyDescent="0.6">
      <c r="A100" s="32"/>
      <c r="B100" s="5" t="s">
        <v>45</v>
      </c>
      <c r="C100" s="35">
        <f>(C92*SUM(C50:C53)+C96*SUM(C45:C49,C54:C56))/C57</f>
        <v>59.619860452176255</v>
      </c>
      <c r="D100" s="35">
        <f t="shared" ref="D100:J100" si="31">(D92*SUM(D50:D53)+D96*SUM(D45:D49,D54:D56))/D57</f>
        <v>59.642431142964753</v>
      </c>
      <c r="E100" s="35">
        <f t="shared" si="31"/>
        <v>58.260379591387988</v>
      </c>
      <c r="F100" s="35">
        <f t="shared" si="31"/>
        <v>56.282479530127958</v>
      </c>
      <c r="G100" s="35">
        <f t="shared" si="31"/>
        <v>58.147257863022531</v>
      </c>
      <c r="H100" s="35">
        <f t="shared" si="31"/>
        <v>56.841265863189257</v>
      </c>
      <c r="I100" s="35">
        <f t="shared" si="31"/>
        <v>55.59213893703312</v>
      </c>
      <c r="J100" s="35">
        <f t="shared" si="31"/>
        <v>57.648949149331195</v>
      </c>
      <c r="L100" s="35"/>
    </row>
    <row r="101" spans="1:12" x14ac:dyDescent="0.6">
      <c r="A101" s="32"/>
    </row>
    <row r="102" spans="1:12" x14ac:dyDescent="0.6">
      <c r="A102" s="32"/>
      <c r="B102" s="5" t="s">
        <v>46</v>
      </c>
      <c r="C102" s="93"/>
      <c r="D102" s="93"/>
      <c r="F102" s="94"/>
      <c r="G102" s="15">
        <f>SUMPRODUCT(C100:J100,C57:J57)/SUM(C57:J57)</f>
        <v>59.113661699761792</v>
      </c>
    </row>
    <row r="103" spans="1:12" x14ac:dyDescent="0.6">
      <c r="A103" s="32"/>
      <c r="C103" s="93"/>
      <c r="D103" s="93"/>
    </row>
    <row r="104" spans="1:12" x14ac:dyDescent="0.6">
      <c r="A104" s="32"/>
      <c r="C104" s="95"/>
      <c r="D104" s="95"/>
      <c r="E104" s="95"/>
      <c r="F104" s="96"/>
      <c r="G104" s="95"/>
      <c r="H104" s="95"/>
      <c r="J104" s="95"/>
    </row>
    <row r="105" spans="1:12" x14ac:dyDescent="0.6">
      <c r="A105" s="31" t="s">
        <v>72</v>
      </c>
      <c r="B105" s="3" t="s">
        <v>262</v>
      </c>
      <c r="C105" s="95"/>
      <c r="D105" s="95"/>
      <c r="E105" s="95"/>
      <c r="F105" s="96"/>
      <c r="G105" s="95"/>
      <c r="H105" s="95"/>
      <c r="J105" s="95"/>
    </row>
    <row r="106" spans="1:12" x14ac:dyDescent="0.6">
      <c r="A106" s="32"/>
      <c r="B106" s="4" t="s">
        <v>123</v>
      </c>
      <c r="C106" s="95"/>
      <c r="D106" s="95"/>
      <c r="E106" s="95"/>
      <c r="F106" s="96"/>
      <c r="G106" s="95"/>
      <c r="H106" s="95"/>
      <c r="J106" s="95"/>
    </row>
    <row r="107" spans="1:12" x14ac:dyDescent="0.6">
      <c r="A107" s="32"/>
      <c r="B107" s="4" t="s">
        <v>124</v>
      </c>
      <c r="C107" s="95"/>
      <c r="D107" s="95"/>
      <c r="E107" s="95"/>
      <c r="F107" s="96"/>
      <c r="G107" s="95"/>
      <c r="H107" s="95"/>
      <c r="J107" s="95"/>
    </row>
    <row r="108" spans="1:12" x14ac:dyDescent="0.6">
      <c r="A108" s="32"/>
      <c r="C108" s="49" t="s">
        <v>5</v>
      </c>
      <c r="D108" s="49" t="s">
        <v>119</v>
      </c>
      <c r="E108" s="49" t="s">
        <v>6</v>
      </c>
      <c r="F108" s="49" t="s">
        <v>7</v>
      </c>
      <c r="G108" s="49" t="s">
        <v>8</v>
      </c>
      <c r="H108" s="49" t="s">
        <v>9</v>
      </c>
      <c r="I108" s="49" t="s">
        <v>10</v>
      </c>
      <c r="J108" s="49" t="s">
        <v>11</v>
      </c>
      <c r="K108" s="49"/>
    </row>
    <row r="109" spans="1:12" x14ac:dyDescent="0.6">
      <c r="A109" s="32"/>
      <c r="C109" s="95"/>
      <c r="D109" s="95"/>
      <c r="E109" s="95"/>
      <c r="F109" s="96"/>
      <c r="G109" s="95"/>
      <c r="H109" s="95"/>
      <c r="J109" s="95"/>
    </row>
    <row r="110" spans="1:12" x14ac:dyDescent="0.6">
      <c r="B110" s="33" t="s">
        <v>43</v>
      </c>
      <c r="C110" s="144">
        <f>SUM(C50:C53)*C92/1000</f>
        <v>97373.143276578718</v>
      </c>
      <c r="D110" s="144">
        <f t="shared" ref="D110:J110" si="32">SUM(D50:D53)*D92/1000</f>
        <v>54.900839545448818</v>
      </c>
      <c r="E110" s="144">
        <f t="shared" si="32"/>
        <v>20312.245311345916</v>
      </c>
      <c r="F110" s="144">
        <f t="shared" si="32"/>
        <v>509.11676440133459</v>
      </c>
      <c r="G110" s="144">
        <f t="shared" si="32"/>
        <v>17922.943723738455</v>
      </c>
      <c r="H110" s="144">
        <f t="shared" si="32"/>
        <v>1107.8912645978937</v>
      </c>
      <c r="I110" s="144">
        <f t="shared" si="32"/>
        <v>863.35654226619283</v>
      </c>
      <c r="J110" s="144">
        <f t="shared" si="32"/>
        <v>227.1924630908668</v>
      </c>
    </row>
    <row r="111" spans="1:12" x14ac:dyDescent="0.6">
      <c r="B111" s="34" t="s">
        <v>125</v>
      </c>
      <c r="C111" s="144">
        <f t="shared" ref="C111:J111" si="33">SUMPRODUCT(C50:C53,C14:C17)*C93/1000</f>
        <v>64608.439686373211</v>
      </c>
      <c r="D111" s="144">
        <f t="shared" si="33"/>
        <v>36.525338471497371</v>
      </c>
      <c r="E111" s="144">
        <f t="shared" si="33"/>
        <v>13797.166893447953</v>
      </c>
      <c r="F111" s="144">
        <f t="shared" si="33"/>
        <v>324.31826798584359</v>
      </c>
      <c r="G111" s="144">
        <f t="shared" si="33"/>
        <v>11798.508855125556</v>
      </c>
      <c r="H111" s="144">
        <f t="shared" si="33"/>
        <v>696.66548343709962</v>
      </c>
      <c r="I111" s="144">
        <f t="shared" si="33"/>
        <v>325.40481464732733</v>
      </c>
      <c r="J111" s="144">
        <f t="shared" si="33"/>
        <v>141.25865161201148</v>
      </c>
    </row>
    <row r="112" spans="1:12" x14ac:dyDescent="0.6">
      <c r="B112" s="34" t="s">
        <v>126</v>
      </c>
      <c r="C112" s="144">
        <f t="shared" ref="C112:J112" si="34">SUMPRODUCT(C50:C53,O14:O17)*C94/1000</f>
        <v>32764.703590205499</v>
      </c>
      <c r="D112" s="144">
        <f t="shared" si="34"/>
        <v>18.375501073951451</v>
      </c>
      <c r="E112" s="144">
        <f t="shared" si="34"/>
        <v>6515.0784178979638</v>
      </c>
      <c r="F112" s="144">
        <f t="shared" si="34"/>
        <v>184.79849641549094</v>
      </c>
      <c r="G112" s="144">
        <f t="shared" si="34"/>
        <v>6124.4348686129015</v>
      </c>
      <c r="H112" s="144">
        <f t="shared" si="34"/>
        <v>411.22578116079416</v>
      </c>
      <c r="I112" s="144">
        <f t="shared" si="34"/>
        <v>537.95172761886545</v>
      </c>
      <c r="J112" s="144">
        <f t="shared" si="34"/>
        <v>85.933811478855318</v>
      </c>
    </row>
    <row r="113" spans="1:29" x14ac:dyDescent="0.6">
      <c r="C113" s="95"/>
      <c r="D113" s="95"/>
      <c r="E113" s="95"/>
      <c r="F113" s="95"/>
      <c r="G113" s="95"/>
      <c r="H113" s="95"/>
      <c r="I113" s="95"/>
      <c r="J113" s="95"/>
    </row>
    <row r="114" spans="1:29" x14ac:dyDescent="0.6">
      <c r="B114" s="33" t="s">
        <v>44</v>
      </c>
      <c r="C114" s="145">
        <f t="shared" ref="C114:J114" si="35">SUM(C45:C49,C54:C56)*C96/1000</f>
        <v>135293.84356152508</v>
      </c>
      <c r="D114" s="145">
        <f t="shared" si="35"/>
        <v>76.244323079781807</v>
      </c>
      <c r="E114" s="145">
        <f t="shared" si="35"/>
        <v>32628.480287814262</v>
      </c>
      <c r="F114" s="145">
        <f t="shared" si="35"/>
        <v>912.54251043614215</v>
      </c>
      <c r="G114" s="145">
        <f t="shared" si="35"/>
        <v>29996.369858147453</v>
      </c>
      <c r="H114" s="145">
        <f t="shared" si="35"/>
        <v>2275.4060177790134</v>
      </c>
      <c r="I114" s="145">
        <f t="shared" si="35"/>
        <v>2017.6256506933646</v>
      </c>
      <c r="J114" s="145">
        <f t="shared" si="35"/>
        <v>384.91553957181554</v>
      </c>
    </row>
    <row r="115" spans="1:29" x14ac:dyDescent="0.6">
      <c r="B115" s="34" t="s">
        <v>125</v>
      </c>
      <c r="C115" s="144">
        <f t="shared" ref="C115:J115" si="36">(SUMPRODUCT(C45:C49,C9:C13)+SUMPRODUCT(C54:C56,C18:C20))*C97/1000</f>
        <v>75290.619264308596</v>
      </c>
      <c r="D115" s="144">
        <f t="shared" si="36"/>
        <v>42.505814860158928</v>
      </c>
      <c r="E115" s="144">
        <f t="shared" si="36"/>
        <v>18944.727629801742</v>
      </c>
      <c r="F115" s="144">
        <f t="shared" si="36"/>
        <v>503.50308087781224</v>
      </c>
      <c r="G115" s="144">
        <f t="shared" si="36"/>
        <v>17169.086489388064</v>
      </c>
      <c r="H115" s="144">
        <f t="shared" si="36"/>
        <v>1255.5546961933219</v>
      </c>
      <c r="I115" s="144">
        <f t="shared" si="36"/>
        <v>826.0615446285284</v>
      </c>
      <c r="J115" s="144">
        <f t="shared" si="36"/>
        <v>211.71627139746104</v>
      </c>
    </row>
    <row r="116" spans="1:29" x14ac:dyDescent="0.6">
      <c r="B116" s="34" t="s">
        <v>126</v>
      </c>
      <c r="C116" s="144">
        <f t="shared" ref="C116:J116" si="37">+(SUMPRODUCT(C45:C49,O9:O13)+SUMPRODUCT(C54:C56,O18:O20))*C98/1000</f>
        <v>60003.224297216475</v>
      </c>
      <c r="D116" s="144">
        <f t="shared" si="37"/>
        <v>33.738508219622894</v>
      </c>
      <c r="E116" s="144">
        <f t="shared" si="37"/>
        <v>13683.75265801252</v>
      </c>
      <c r="F116" s="144">
        <f t="shared" si="37"/>
        <v>409.03942955832986</v>
      </c>
      <c r="G116" s="144">
        <f t="shared" si="37"/>
        <v>12827.28336875939</v>
      </c>
      <c r="H116" s="144">
        <f t="shared" si="37"/>
        <v>1019.8513215856919</v>
      </c>
      <c r="I116" s="144">
        <f t="shared" si="37"/>
        <v>1191.5641060648363</v>
      </c>
      <c r="J116" s="144">
        <f t="shared" si="37"/>
        <v>173.19926817435447</v>
      </c>
    </row>
    <row r="117" spans="1:29" x14ac:dyDescent="0.6">
      <c r="C117" s="95"/>
      <c r="D117" s="95"/>
      <c r="E117" s="95"/>
      <c r="F117" s="96"/>
      <c r="G117" s="95"/>
      <c r="H117" s="95"/>
      <c r="J117" s="95"/>
    </row>
    <row r="118" spans="1:29" x14ac:dyDescent="0.6">
      <c r="B118" s="5" t="s">
        <v>45</v>
      </c>
      <c r="C118" s="145">
        <f>+C110+C114</f>
        <v>232666.9868381038</v>
      </c>
      <c r="D118" s="145">
        <f t="shared" ref="D118:J118" si="38">+D110+D114</f>
        <v>131.14516262523063</v>
      </c>
      <c r="E118" s="145">
        <f t="shared" si="38"/>
        <v>52940.725599160178</v>
      </c>
      <c r="F118" s="145">
        <f t="shared" si="38"/>
        <v>1421.6592748374767</v>
      </c>
      <c r="G118" s="145">
        <f t="shared" si="38"/>
        <v>47919.313581885908</v>
      </c>
      <c r="H118" s="145">
        <f>+H110+H114</f>
        <v>3383.2972823769069</v>
      </c>
      <c r="I118" s="145">
        <f t="shared" si="38"/>
        <v>2880.9821929595573</v>
      </c>
      <c r="J118" s="145">
        <f t="shared" si="38"/>
        <v>612.10800266268234</v>
      </c>
    </row>
    <row r="119" spans="1:29" x14ac:dyDescent="0.6">
      <c r="C119" s="95"/>
      <c r="D119" s="95"/>
      <c r="E119" s="95"/>
      <c r="F119" s="96"/>
      <c r="G119" s="95"/>
      <c r="H119" s="95"/>
      <c r="J119" s="95"/>
    </row>
    <row r="120" spans="1:29" x14ac:dyDescent="0.6">
      <c r="B120" s="5" t="s">
        <v>127</v>
      </c>
      <c r="C120" s="144">
        <f>SUM(C118:J118)</f>
        <v>341956.21793461172</v>
      </c>
      <c r="D120" s="95"/>
      <c r="E120" s="95"/>
      <c r="F120" s="96"/>
      <c r="G120" s="95"/>
      <c r="H120" s="95"/>
      <c r="J120" s="95"/>
    </row>
    <row r="121" spans="1:29" x14ac:dyDescent="0.6">
      <c r="A121" s="32"/>
      <c r="C121" s="95"/>
      <c r="D121" s="95"/>
      <c r="E121" s="95"/>
      <c r="F121" s="96"/>
      <c r="G121" s="95"/>
      <c r="H121" s="95"/>
      <c r="J121" s="95"/>
    </row>
    <row r="122" spans="1:29" x14ac:dyDescent="0.6">
      <c r="A122" s="32"/>
      <c r="C122" s="95"/>
      <c r="D122" s="95"/>
      <c r="E122" s="95"/>
      <c r="F122" s="96"/>
      <c r="G122" s="95"/>
      <c r="H122" s="95"/>
      <c r="J122" s="95"/>
    </row>
    <row r="123" spans="1:29" x14ac:dyDescent="0.6">
      <c r="A123" s="31" t="s">
        <v>73</v>
      </c>
      <c r="B123" s="3" t="s">
        <v>263</v>
      </c>
      <c r="C123" s="95"/>
      <c r="D123" s="95"/>
      <c r="E123" s="95"/>
      <c r="F123" s="96"/>
      <c r="G123" s="95"/>
      <c r="H123" s="95"/>
      <c r="J123" s="95"/>
      <c r="P123" s="5" t="s">
        <v>137</v>
      </c>
      <c r="Q123" s="5" t="s">
        <v>133</v>
      </c>
      <c r="R123" s="5" t="s">
        <v>134</v>
      </c>
      <c r="S123" s="7" t="s">
        <v>135</v>
      </c>
    </row>
    <row r="124" spans="1:29" x14ac:dyDescent="0.6">
      <c r="A124" s="32"/>
      <c r="B124" s="4" t="s">
        <v>128</v>
      </c>
      <c r="C124" s="95"/>
      <c r="D124" s="95"/>
      <c r="E124" s="95"/>
      <c r="F124" s="96"/>
      <c r="G124" s="95"/>
      <c r="H124" s="95"/>
      <c r="J124" s="95"/>
      <c r="R124" s="5" t="s">
        <v>138</v>
      </c>
      <c r="S124" s="7" t="s">
        <v>139</v>
      </c>
      <c r="T124" s="5" t="s">
        <v>136</v>
      </c>
    </row>
    <row r="125" spans="1:29" x14ac:dyDescent="0.6">
      <c r="A125" s="32"/>
      <c r="B125" s="4" t="s">
        <v>35</v>
      </c>
      <c r="C125" s="95"/>
      <c r="D125" s="95"/>
      <c r="E125" s="95"/>
      <c r="F125" s="96"/>
      <c r="G125" s="95"/>
      <c r="H125" s="95"/>
      <c r="J125" s="95"/>
    </row>
    <row r="126" spans="1:29" x14ac:dyDescent="0.6">
      <c r="A126" s="32"/>
      <c r="B126" s="3"/>
      <c r="C126" s="49" t="s">
        <v>5</v>
      </c>
      <c r="D126" s="49" t="s">
        <v>119</v>
      </c>
      <c r="E126" s="49" t="s">
        <v>6</v>
      </c>
      <c r="F126" s="49" t="s">
        <v>7</v>
      </c>
      <c r="G126" s="49" t="s">
        <v>8</v>
      </c>
      <c r="H126" s="49" t="s">
        <v>9</v>
      </c>
      <c r="I126" s="49" t="s">
        <v>10</v>
      </c>
      <c r="J126" s="49" t="s">
        <v>11</v>
      </c>
      <c r="P126" s="27" t="str">
        <f>+D126</f>
        <v>RS TOU - BGS</v>
      </c>
      <c r="Q126" s="27" t="str">
        <f>P126</f>
        <v>RS TOU - BGS</v>
      </c>
      <c r="R126" s="27" t="str">
        <f>+D126</f>
        <v>RS TOU - BGS</v>
      </c>
      <c r="S126" s="27" t="str">
        <f>+D126</f>
        <v>RS TOU - BGS</v>
      </c>
      <c r="T126" s="36" t="str">
        <f>+D126</f>
        <v>RS TOU - BGS</v>
      </c>
      <c r="U126" s="27"/>
      <c r="W126" s="27"/>
      <c r="Z126" s="27"/>
      <c r="AC126" s="27"/>
    </row>
    <row r="127" spans="1:29" x14ac:dyDescent="0.6">
      <c r="A127" s="32"/>
      <c r="C127" s="95"/>
      <c r="D127" s="95"/>
      <c r="E127" s="95"/>
      <c r="F127" s="96"/>
      <c r="G127" s="95"/>
      <c r="H127" s="95"/>
      <c r="J127" s="95"/>
    </row>
    <row r="128" spans="1:29" x14ac:dyDescent="0.6">
      <c r="A128" s="32"/>
      <c r="B128" s="33" t="s">
        <v>43</v>
      </c>
      <c r="C128" s="146">
        <f t="shared" ref="C128:J128" si="39">+C110/SUM(C50:C53)*1000</f>
        <v>58.767353730737192</v>
      </c>
      <c r="D128" s="146">
        <f>+D110/SUM(D50:D53)*1000</f>
        <v>58.806157593225862</v>
      </c>
      <c r="E128" s="146">
        <f>+E110/SUM(E50:E53)*1000</f>
        <v>58.593645992682283</v>
      </c>
      <c r="F128" s="146">
        <f t="shared" si="39"/>
        <v>56.073611130942176</v>
      </c>
      <c r="G128" s="146">
        <f t="shared" si="39"/>
        <v>58.160150233110748</v>
      </c>
      <c r="H128" s="146">
        <f t="shared" si="39"/>
        <v>55.606102557811887</v>
      </c>
      <c r="I128" s="146">
        <f t="shared" si="39"/>
        <v>52.459099900872175</v>
      </c>
      <c r="J128" s="146">
        <f t="shared" si="39"/>
        <v>57.339309085635399</v>
      </c>
    </row>
    <row r="129" spans="1:29" x14ac:dyDescent="0.6">
      <c r="A129" s="32"/>
      <c r="B129" s="34" t="s">
        <v>131</v>
      </c>
      <c r="C129" s="95"/>
      <c r="D129" s="146">
        <f>+(D111*1000-R129*AVERAGE(D$93,D$94))/P129</f>
        <v>71.425163798388922</v>
      </c>
      <c r="E129" s="97"/>
      <c r="F129" s="96"/>
      <c r="G129" s="95"/>
      <c r="H129" s="95"/>
      <c r="J129" s="95"/>
      <c r="P129" s="37">
        <f>SUMPRODUCT(D50:D53,D32:D35)</f>
        <v>389.81937376018573</v>
      </c>
      <c r="Q129" s="37">
        <f>SUMPRODUCT(D50:D53,D14:D17)</f>
        <v>541.72079745591941</v>
      </c>
      <c r="R129" s="37">
        <f>+Q129-P129</f>
        <v>151.90142369573368</v>
      </c>
      <c r="S129" s="38">
        <f>+D129*P129/1000</f>
        <v>27.842912622606658</v>
      </c>
      <c r="W129" s="37"/>
      <c r="Z129" s="38"/>
    </row>
    <row r="130" spans="1:29" ht="15.25" x14ac:dyDescent="1.05">
      <c r="A130" s="32"/>
      <c r="B130" s="34" t="s">
        <v>132</v>
      </c>
      <c r="C130" s="95"/>
      <c r="D130" s="146">
        <f>+(D112*1000-R130*AVERAGE(D$93,D$94))/P130</f>
        <v>49.759818876861232</v>
      </c>
      <c r="E130" s="95"/>
      <c r="F130" s="96"/>
      <c r="G130" s="95"/>
      <c r="H130" s="95"/>
      <c r="J130" s="95"/>
      <c r="P130" s="37">
        <f>SUMPRODUCT(D50:D53,P32:P35)</f>
        <v>543.77060715999414</v>
      </c>
      <c r="Q130" s="37">
        <f>SUMPRODUCT(D50:D53,P14:P17)</f>
        <v>391.8691834642604</v>
      </c>
      <c r="R130" s="37">
        <f>+Q130-P130</f>
        <v>-151.90142369573374</v>
      </c>
      <c r="S130" s="39">
        <f>+D130*P130/1000</f>
        <v>27.057926922842167</v>
      </c>
      <c r="W130" s="37"/>
      <c r="Z130" s="39"/>
    </row>
    <row r="131" spans="1:29" x14ac:dyDescent="0.6">
      <c r="A131" s="32"/>
      <c r="C131" s="95"/>
      <c r="D131" s="95"/>
      <c r="E131" s="95"/>
      <c r="F131" s="96"/>
      <c r="G131" s="95"/>
      <c r="H131" s="95"/>
      <c r="J131" s="95"/>
      <c r="P131" s="37">
        <f>SUM(P129:P130)</f>
        <v>933.58998092017987</v>
      </c>
      <c r="Q131" s="37">
        <f>SUM(Q129:Q130)</f>
        <v>933.58998092017987</v>
      </c>
      <c r="R131" s="37"/>
      <c r="S131" s="38">
        <f>+S130+S129</f>
        <v>54.900839545448825</v>
      </c>
      <c r="T131" s="40">
        <f>+D110</f>
        <v>54.900839545448818</v>
      </c>
      <c r="W131" s="37"/>
      <c r="Z131" s="38"/>
      <c r="AC131" s="40"/>
    </row>
    <row r="132" spans="1:29" x14ac:dyDescent="0.6">
      <c r="A132" s="32"/>
      <c r="B132" s="33" t="s">
        <v>44</v>
      </c>
      <c r="C132" s="35">
        <f t="shared" ref="C132:J132" si="40">+C114/SUM(C45:C49,C54:C56)*1000</f>
        <v>60.248891222505662</v>
      </c>
      <c r="D132" s="35">
        <f t="shared" si="40"/>
        <v>60.259484102160663</v>
      </c>
      <c r="E132" s="35">
        <f t="shared" si="40"/>
        <v>58.05481875833491</v>
      </c>
      <c r="F132" s="35">
        <f t="shared" si="40"/>
        <v>56.399686975212752</v>
      </c>
      <c r="G132" s="35">
        <f t="shared" si="40"/>
        <v>58.139557350943868</v>
      </c>
      <c r="H132" s="35">
        <f t="shared" si="40"/>
        <v>57.462744963833842</v>
      </c>
      <c r="I132" s="35">
        <f>+I114/SUM(I45:I49,I54:I56)*1000</f>
        <v>57.050117396100475</v>
      </c>
      <c r="J132" s="35">
        <f t="shared" si="40"/>
        <v>57.833285520321503</v>
      </c>
      <c r="M132" s="40"/>
      <c r="P132" s="37"/>
      <c r="Q132" s="37"/>
      <c r="R132" s="37"/>
      <c r="S132" s="38"/>
      <c r="T132" s="40"/>
      <c r="W132" s="37"/>
      <c r="Z132" s="38"/>
    </row>
    <row r="133" spans="1:29" x14ac:dyDescent="0.6">
      <c r="A133" s="32"/>
      <c r="B133" s="34" t="s">
        <v>131</v>
      </c>
      <c r="C133" s="95"/>
      <c r="D133" s="146">
        <f>+(D115*1000-R133*AVERAGE(D$97,D$98))/P133</f>
        <v>67.908170514142881</v>
      </c>
      <c r="E133" s="95"/>
      <c r="F133" s="96"/>
      <c r="G133" s="95"/>
      <c r="H133" s="95"/>
      <c r="J133" s="95"/>
      <c r="M133" s="37"/>
      <c r="P133" s="37">
        <f>SUMPRODUCT(D45:D49,D27:D31)+SUMPRODUCT(D54:D56,D36:D38)</f>
        <v>441.05495965522118</v>
      </c>
      <c r="Q133" s="37">
        <f>SUMPRODUCT(D45:D49,D9:D13)+SUMPRODUCT(D54:D56,D18:D20)</f>
        <v>649.89710911176837</v>
      </c>
      <c r="R133" s="37">
        <f>+Q133-P133</f>
        <v>208.84214945654719</v>
      </c>
      <c r="S133" s="38">
        <f>+D133*P133/1000</f>
        <v>29.951235406375169</v>
      </c>
      <c r="T133" s="40"/>
      <c r="W133" s="37"/>
      <c r="Z133" s="38"/>
    </row>
    <row r="134" spans="1:29" ht="15.25" x14ac:dyDescent="1.05">
      <c r="A134" s="32"/>
      <c r="B134" s="34" t="s">
        <v>132</v>
      </c>
      <c r="C134" s="95"/>
      <c r="D134" s="146">
        <f>+(D116*1000-R134*AVERAGE(D$97,D$98))/P134</f>
        <v>56.166493664132972</v>
      </c>
      <c r="E134" s="95"/>
      <c r="F134" s="96"/>
      <c r="G134" s="95"/>
      <c r="H134" s="95"/>
      <c r="J134" s="95"/>
      <c r="P134" s="37">
        <f>SUMPRODUCT(D45:D49,P27:P31)+SUMPRODUCT(D54:D56,P36:P38)</f>
        <v>824.21181479179063</v>
      </c>
      <c r="Q134" s="37">
        <f>SUMPRODUCT(D45:D49,P9:P13)+SUMPRODUCT(D54:D56,P18:P20)</f>
        <v>615.36966533524344</v>
      </c>
      <c r="R134" s="37">
        <f>+Q134-P134</f>
        <v>-208.84214945654719</v>
      </c>
      <c r="S134" s="39">
        <f>+D134*P134/1000</f>
        <v>46.293087673406646</v>
      </c>
      <c r="T134" s="40"/>
      <c r="W134" s="37"/>
      <c r="Z134" s="39"/>
    </row>
    <row r="135" spans="1:29" x14ac:dyDescent="0.6">
      <c r="A135" s="32"/>
      <c r="C135" s="95"/>
      <c r="D135" s="95"/>
      <c r="E135" s="95"/>
      <c r="F135" s="96"/>
      <c r="G135" s="95"/>
      <c r="H135" s="95"/>
      <c r="J135" s="95"/>
      <c r="M135" s="101"/>
      <c r="N135" s="101"/>
      <c r="P135" s="37">
        <f>SUM(P133:P134)</f>
        <v>1265.2667744470118</v>
      </c>
      <c r="Q135" s="37">
        <f>SUM(Q133:Q134)</f>
        <v>1265.2667744470118</v>
      </c>
      <c r="S135" s="38">
        <f>+S134+S133</f>
        <v>76.244323079781822</v>
      </c>
      <c r="T135" s="40">
        <f>+D114</f>
        <v>76.244323079781807</v>
      </c>
      <c r="Z135" s="38"/>
      <c r="AC135" s="40"/>
    </row>
    <row r="136" spans="1:29" x14ac:dyDescent="0.6">
      <c r="A136" s="32"/>
      <c r="B136" s="5" t="s">
        <v>129</v>
      </c>
      <c r="C136" s="15">
        <f t="shared" ref="C136:J136" si="41">(C128*SUM(C50:C53)+C132*SUM(C45:C49,C54:C56))/C57</f>
        <v>59.619860452176248</v>
      </c>
      <c r="D136" s="15">
        <f t="shared" si="41"/>
        <v>59.642431142964753</v>
      </c>
      <c r="E136" s="15">
        <f t="shared" si="41"/>
        <v>58.260379591387988</v>
      </c>
      <c r="F136" s="15">
        <f t="shared" si="41"/>
        <v>56.282479530127958</v>
      </c>
      <c r="G136" s="15">
        <f t="shared" si="41"/>
        <v>58.147257863022531</v>
      </c>
      <c r="H136" s="15">
        <f t="shared" si="41"/>
        <v>56.841265863189264</v>
      </c>
      <c r="I136" s="15">
        <f t="shared" si="41"/>
        <v>55.59213893703312</v>
      </c>
      <c r="J136" s="15">
        <f t="shared" si="41"/>
        <v>57.648949149331195</v>
      </c>
      <c r="P136" s="37"/>
      <c r="Q136" s="37"/>
    </row>
    <row r="137" spans="1:29" x14ac:dyDescent="0.6">
      <c r="A137" s="32"/>
      <c r="B137" s="5" t="s">
        <v>130</v>
      </c>
      <c r="C137" s="146">
        <f>+C120/SUM(C57:J57)*1000</f>
        <v>59.113661699761792</v>
      </c>
      <c r="D137" s="95"/>
      <c r="E137" s="95"/>
      <c r="F137" s="96"/>
      <c r="G137" s="95"/>
      <c r="H137" s="95"/>
      <c r="J137" s="95"/>
      <c r="M137" s="101"/>
    </row>
    <row r="138" spans="1:29" x14ac:dyDescent="0.6">
      <c r="A138" s="32"/>
      <c r="C138" s="95"/>
      <c r="D138" s="95"/>
      <c r="E138" s="95"/>
      <c r="F138" s="96"/>
      <c r="G138" s="95"/>
      <c r="H138" s="95"/>
      <c r="J138" s="95"/>
      <c r="M138" s="101"/>
    </row>
    <row r="139" spans="1:29" x14ac:dyDescent="0.6">
      <c r="A139" s="32"/>
      <c r="C139" s="95"/>
      <c r="D139" s="95"/>
      <c r="E139" s="95"/>
      <c r="F139" s="96"/>
      <c r="G139" s="95"/>
      <c r="H139" s="95"/>
      <c r="J139" s="95"/>
      <c r="M139" s="101"/>
    </row>
    <row r="140" spans="1:29" x14ac:dyDescent="0.6">
      <c r="A140" s="31" t="s">
        <v>79</v>
      </c>
      <c r="B140" s="3" t="s">
        <v>264</v>
      </c>
      <c r="M140" s="101"/>
    </row>
    <row r="141" spans="1:29" x14ac:dyDescent="0.6">
      <c r="A141" s="32"/>
      <c r="B141" s="4" t="s">
        <v>314</v>
      </c>
    </row>
    <row r="142" spans="1:29" x14ac:dyDescent="0.6">
      <c r="A142" s="32"/>
      <c r="B142" s="4" t="s">
        <v>48</v>
      </c>
      <c r="C142" s="49" t="s">
        <v>5</v>
      </c>
      <c r="D142" s="49" t="s">
        <v>119</v>
      </c>
      <c r="E142" s="49" t="s">
        <v>6</v>
      </c>
      <c r="F142" s="49" t="s">
        <v>7</v>
      </c>
      <c r="G142" s="49" t="s">
        <v>8</v>
      </c>
      <c r="H142" s="49" t="s">
        <v>9</v>
      </c>
      <c r="I142" s="49" t="s">
        <v>10</v>
      </c>
      <c r="J142" s="49" t="s">
        <v>11</v>
      </c>
      <c r="K142" s="49" t="s">
        <v>29</v>
      </c>
      <c r="L142" s="27"/>
    </row>
    <row r="143" spans="1:29" x14ac:dyDescent="0.6">
      <c r="A143" s="32"/>
    </row>
    <row r="144" spans="1:29" x14ac:dyDescent="0.6">
      <c r="A144" s="32"/>
      <c r="B144" s="5" t="s">
        <v>49</v>
      </c>
      <c r="C144" s="115">
        <v>1266.4526489999996</v>
      </c>
      <c r="D144" s="115">
        <v>0.46912139999999991</v>
      </c>
      <c r="E144" s="115">
        <v>270.72525839999997</v>
      </c>
      <c r="F144" s="115">
        <v>5.2666946999999995</v>
      </c>
      <c r="G144" s="115">
        <v>179.45278774999997</v>
      </c>
      <c r="H144" s="115">
        <v>10.206769299999998</v>
      </c>
      <c r="I144" s="115">
        <v>0</v>
      </c>
      <c r="J144" s="115">
        <v>1.40957395</v>
      </c>
      <c r="K144" s="115">
        <f>SUM(C144:J144)</f>
        <v>1733.9828544999996</v>
      </c>
      <c r="L144" s="115"/>
    </row>
    <row r="145" spans="1:19" x14ac:dyDescent="0.6">
      <c r="A145" s="32"/>
      <c r="B145" s="5" t="s">
        <v>50</v>
      </c>
      <c r="C145" s="294">
        <v>1494.867806459077</v>
      </c>
      <c r="D145" s="294">
        <v>0.5537313051022813</v>
      </c>
      <c r="E145" s="294">
        <v>319.55278667309648</v>
      </c>
      <c r="F145" s="294">
        <v>6.2165864311589027</v>
      </c>
      <c r="G145" s="294">
        <v>211.81857481890651</v>
      </c>
      <c r="H145" s="294">
        <v>12.047644139378203</v>
      </c>
      <c r="I145" s="294">
        <v>0</v>
      </c>
      <c r="J145" s="294">
        <v>1.6638022119043767</v>
      </c>
      <c r="K145" s="294">
        <f>SUM(C145:J145)</f>
        <v>2046.7209320386237</v>
      </c>
      <c r="L145" s="116"/>
    </row>
    <row r="146" spans="1:19" x14ac:dyDescent="0.6">
      <c r="A146" s="32"/>
    </row>
    <row r="147" spans="1:19" x14ac:dyDescent="0.6">
      <c r="B147" s="5" t="s">
        <v>51</v>
      </c>
      <c r="L147" s="27"/>
      <c r="M147" s="117"/>
      <c r="N147" s="117"/>
    </row>
    <row r="148" spans="1:19" x14ac:dyDescent="0.6">
      <c r="E148" s="7" t="s">
        <v>52</v>
      </c>
      <c r="F148" s="42">
        <f>30+31+31+30</f>
        <v>122</v>
      </c>
      <c r="H148" s="7" t="s">
        <v>53</v>
      </c>
      <c r="I148" s="42">
        <v>4</v>
      </c>
      <c r="K148" s="118"/>
    </row>
    <row r="149" spans="1:19" x14ac:dyDescent="0.6">
      <c r="E149" s="119" t="s">
        <v>54</v>
      </c>
      <c r="F149" s="42">
        <v>244</v>
      </c>
      <c r="H149" s="119" t="s">
        <v>55</v>
      </c>
      <c r="I149" s="42">
        <v>8</v>
      </c>
      <c r="K149" s="120"/>
      <c r="L149" s="6"/>
    </row>
    <row r="150" spans="1:19" x14ac:dyDescent="0.6">
      <c r="H150" s="7" t="s">
        <v>56</v>
      </c>
      <c r="I150" s="5">
        <f>+I148+I149</f>
        <v>12</v>
      </c>
      <c r="K150" s="120"/>
      <c r="L150" s="6"/>
      <c r="M150" s="40"/>
    </row>
    <row r="151" spans="1:19" x14ac:dyDescent="0.6">
      <c r="A151" s="32"/>
      <c r="E151" s="100"/>
      <c r="F151" s="98"/>
    </row>
    <row r="152" spans="1:19" ht="26" x14ac:dyDescent="0.6">
      <c r="A152" s="32"/>
      <c r="B152" s="5" t="s">
        <v>57</v>
      </c>
      <c r="D152" s="162" t="s">
        <v>207</v>
      </c>
      <c r="E152" s="162"/>
      <c r="Q152" s="7"/>
      <c r="R152" s="7"/>
      <c r="S152" s="99"/>
    </row>
    <row r="153" spans="1:19" x14ac:dyDescent="0.6">
      <c r="A153" s="32"/>
      <c r="C153" s="5" t="s">
        <v>58</v>
      </c>
      <c r="D153" s="163">
        <v>53.53</v>
      </c>
      <c r="E153" s="98" t="s">
        <v>59</v>
      </c>
      <c r="F153" s="163"/>
      <c r="I153" s="7" t="s">
        <v>60</v>
      </c>
      <c r="J153" s="40">
        <f>$K$145*$D153*$F148</f>
        <v>13366438.522027358</v>
      </c>
      <c r="K153" s="7"/>
      <c r="L153" s="99"/>
      <c r="M153" s="95"/>
    </row>
    <row r="154" spans="1:19" x14ac:dyDescent="0.6">
      <c r="A154" s="32"/>
      <c r="C154" s="5" t="s">
        <v>61</v>
      </c>
      <c r="D154" s="163">
        <f>+D153</f>
        <v>53.53</v>
      </c>
      <c r="E154" s="98" t="s">
        <v>59</v>
      </c>
      <c r="F154" s="163"/>
      <c r="I154" s="121" t="s">
        <v>62</v>
      </c>
      <c r="J154" s="147">
        <f>$K$145*$D154*$F149</f>
        <v>26732877.044054717</v>
      </c>
      <c r="K154" s="7"/>
      <c r="L154" s="99"/>
    </row>
    <row r="155" spans="1:19" x14ac:dyDescent="0.6">
      <c r="A155" s="32"/>
      <c r="F155" s="122"/>
      <c r="G155" s="98"/>
      <c r="I155" s="7" t="s">
        <v>63</v>
      </c>
      <c r="J155" s="40">
        <f>SUM(J153:J154)</f>
        <v>40099315.566082075</v>
      </c>
      <c r="K155" s="7"/>
      <c r="L155" s="99"/>
    </row>
    <row r="156" spans="1:19" x14ac:dyDescent="0.6">
      <c r="A156" s="32"/>
      <c r="E156" s="146"/>
      <c r="F156" s="122"/>
      <c r="G156" s="98"/>
      <c r="I156" s="7"/>
      <c r="J156" s="40"/>
      <c r="K156" s="7"/>
      <c r="L156" s="99"/>
    </row>
    <row r="157" spans="1:19" x14ac:dyDescent="0.6">
      <c r="A157" s="32"/>
      <c r="B157" s="4" t="s">
        <v>64</v>
      </c>
      <c r="J157" s="7"/>
      <c r="K157" s="7"/>
      <c r="L157" s="99"/>
    </row>
    <row r="158" spans="1:19" x14ac:dyDescent="0.6">
      <c r="A158" s="32"/>
      <c r="B158" s="4"/>
      <c r="C158" s="8" t="str">
        <f>" ---------- Rate "&amp;C142&amp;" ----------"</f>
        <v xml:space="preserve"> ---------- Rate RS ----------</v>
      </c>
      <c r="D158" s="8"/>
      <c r="E158" s="9"/>
      <c r="F158" s="9"/>
      <c r="J158" s="7"/>
      <c r="K158" s="7"/>
      <c r="L158" s="99"/>
    </row>
    <row r="159" spans="1:19" x14ac:dyDescent="0.6">
      <c r="A159" s="32"/>
      <c r="C159" s="10" t="s">
        <v>65</v>
      </c>
      <c r="D159" s="10"/>
      <c r="F159" s="10" t="s">
        <v>66</v>
      </c>
      <c r="H159" s="5" t="s">
        <v>67</v>
      </c>
      <c r="J159" s="172">
        <v>1168949487</v>
      </c>
      <c r="K159" s="7"/>
      <c r="L159" s="99"/>
      <c r="M159" s="172"/>
    </row>
    <row r="160" spans="1:19" x14ac:dyDescent="0.6">
      <c r="A160" s="32"/>
      <c r="B160" s="7" t="s">
        <v>68</v>
      </c>
      <c r="C160" s="11">
        <v>5.4802</v>
      </c>
      <c r="D160" s="11"/>
      <c r="E160" s="12"/>
      <c r="F160" s="148">
        <f>J159/($J$159+$J$160)</f>
        <v>0.62962215694466939</v>
      </c>
      <c r="H160" s="5" t="s">
        <v>71</v>
      </c>
      <c r="J160" s="172">
        <v>687639380</v>
      </c>
      <c r="K160" s="7"/>
      <c r="L160" s="99"/>
      <c r="M160" s="172"/>
    </row>
    <row r="161" spans="1:13" x14ac:dyDescent="0.6">
      <c r="A161" s="32"/>
      <c r="B161" s="7" t="s">
        <v>69</v>
      </c>
      <c r="C161" s="13">
        <v>6.3453999999999997</v>
      </c>
      <c r="D161" s="13"/>
      <c r="E161" s="12"/>
      <c r="F161" s="148">
        <f>1-F160</f>
        <v>0.37037784305533061</v>
      </c>
      <c r="J161" s="155"/>
      <c r="K161" s="7"/>
      <c r="L161" s="99"/>
      <c r="M161" s="155"/>
    </row>
    <row r="162" spans="1:13" x14ac:dyDescent="0.6">
      <c r="A162" s="32"/>
      <c r="B162" s="14" t="s">
        <v>70</v>
      </c>
      <c r="C162" s="11">
        <f>C161-C160</f>
        <v>0.86519999999999975</v>
      </c>
      <c r="D162" s="11"/>
      <c r="E162" s="12"/>
      <c r="F162" s="12"/>
      <c r="G162" s="98"/>
      <c r="H162" s="129" t="s">
        <v>212</v>
      </c>
      <c r="J162" s="288">
        <v>2243087584</v>
      </c>
      <c r="M162" s="172"/>
    </row>
    <row r="163" spans="1:13" x14ac:dyDescent="0.6">
      <c r="A163" s="32"/>
      <c r="B163" s="14"/>
      <c r="C163" s="11"/>
      <c r="D163" s="11"/>
      <c r="E163" s="12"/>
      <c r="F163" s="12"/>
      <c r="G163" s="98"/>
      <c r="J163" s="155">
        <f>SUM(J159:J162)</f>
        <v>4099676451</v>
      </c>
      <c r="M163" s="155"/>
    </row>
    <row r="164" spans="1:13" x14ac:dyDescent="0.6">
      <c r="A164" s="32"/>
      <c r="B164" s="14"/>
      <c r="C164" s="11"/>
      <c r="D164" s="11"/>
      <c r="E164" s="12"/>
      <c r="F164" s="12"/>
      <c r="G164" s="98"/>
    </row>
    <row r="165" spans="1:13" x14ac:dyDescent="0.6">
      <c r="A165" s="31" t="s">
        <v>81</v>
      </c>
      <c r="B165" s="3" t="s">
        <v>213</v>
      </c>
      <c r="G165" s="98"/>
      <c r="J165" s="123"/>
    </row>
    <row r="166" spans="1:13" x14ac:dyDescent="0.6">
      <c r="A166" s="32"/>
      <c r="B166" s="16" t="s">
        <v>214</v>
      </c>
      <c r="E166" s="6">
        <v>2</v>
      </c>
      <c r="G166" s="98"/>
    </row>
    <row r="167" spans="1:13" x14ac:dyDescent="0.6">
      <c r="A167" s="32"/>
      <c r="B167" s="16" t="s">
        <v>215</v>
      </c>
      <c r="E167" s="291">
        <v>17.21</v>
      </c>
      <c r="G167" s="98"/>
    </row>
    <row r="168" spans="1:13" x14ac:dyDescent="0.6">
      <c r="A168" s="32"/>
      <c r="B168" s="19" t="s">
        <v>216</v>
      </c>
      <c r="E168" s="167">
        <f>E166+E167</f>
        <v>19.21</v>
      </c>
      <c r="G168" s="98"/>
    </row>
    <row r="169" spans="1:13" x14ac:dyDescent="0.6">
      <c r="A169" s="32"/>
      <c r="B169" s="16"/>
      <c r="E169" s="6"/>
      <c r="G169" s="98"/>
    </row>
    <row r="170" spans="1:13" x14ac:dyDescent="0.6">
      <c r="A170" s="32"/>
      <c r="B170" s="3"/>
      <c r="F170" s="75"/>
      <c r="G170" s="98"/>
    </row>
    <row r="171" spans="1:13" x14ac:dyDescent="0.6">
      <c r="A171" s="31" t="s">
        <v>86</v>
      </c>
      <c r="B171" s="3" t="s">
        <v>74</v>
      </c>
    </row>
    <row r="172" spans="1:13" x14ac:dyDescent="0.6">
      <c r="A172" s="31"/>
      <c r="B172" s="3"/>
      <c r="C172" s="49" t="s">
        <v>5</v>
      </c>
      <c r="D172" s="49" t="s">
        <v>119</v>
      </c>
      <c r="E172" s="49" t="s">
        <v>6</v>
      </c>
      <c r="F172" s="49" t="s">
        <v>7</v>
      </c>
      <c r="G172" s="49" t="s">
        <v>8</v>
      </c>
      <c r="H172" s="49" t="s">
        <v>9</v>
      </c>
      <c r="I172" s="49" t="s">
        <v>10</v>
      </c>
      <c r="J172" s="49" t="s">
        <v>11</v>
      </c>
      <c r="K172" s="49"/>
    </row>
    <row r="173" spans="1:13" x14ac:dyDescent="0.6">
      <c r="A173" s="32"/>
      <c r="B173" s="7" t="s">
        <v>75</v>
      </c>
      <c r="C173" s="100"/>
      <c r="D173" s="100"/>
      <c r="E173" s="100"/>
      <c r="F173" s="100"/>
      <c r="H173" s="100"/>
      <c r="I173" s="100"/>
      <c r="J173" s="100"/>
      <c r="K173" s="100"/>
      <c r="L173" s="100"/>
    </row>
    <row r="174" spans="1:13" x14ac:dyDescent="0.6">
      <c r="B174" s="7" t="s">
        <v>76</v>
      </c>
      <c r="C174" s="100">
        <f>($J$155*(C$145/$K$145))/C57</f>
        <v>7.5047686269443643</v>
      </c>
      <c r="D174" s="100">
        <f>($J$155*(D$145/$K$145))/SUMPRODUCT(D27:D38,D45:D56)</f>
        <v>13.05695966120769</v>
      </c>
      <c r="E174" s="100">
        <f t="shared" ref="E174:J174" si="42">($J$155*(E$145/$K$145))/E57</f>
        <v>6.889764198623471</v>
      </c>
      <c r="F174" s="100">
        <f t="shared" si="42"/>
        <v>4.8217868065842042</v>
      </c>
      <c r="G174" s="100">
        <f t="shared" si="42"/>
        <v>5.0357135852400612</v>
      </c>
      <c r="H174" s="100">
        <f t="shared" si="42"/>
        <v>3.9655555781867835</v>
      </c>
      <c r="I174" s="100">
        <f t="shared" si="42"/>
        <v>0</v>
      </c>
      <c r="J174" s="100">
        <f t="shared" si="42"/>
        <v>3.0700352624578926</v>
      </c>
      <c r="K174" s="100"/>
      <c r="L174" s="100"/>
    </row>
    <row r="175" spans="1:13" x14ac:dyDescent="0.6">
      <c r="A175" s="32"/>
      <c r="B175" s="7" t="s">
        <v>77</v>
      </c>
      <c r="C175" s="100">
        <f>($J$153*(C$145/$K$145))/SUM(C50:C53)</f>
        <v>5.8919195542920964</v>
      </c>
      <c r="D175" s="100">
        <f>($J$153*(D$145/$K$145))/SUMPRODUCT(D50:D53,D32:D35)</f>
        <v>9.2766833266833633</v>
      </c>
      <c r="E175" s="100">
        <f t="shared" ref="E175:J175" si="43">($J$153*(E$145/$K$145))/SUM(E50:E53)</f>
        <v>6.0199415315191258</v>
      </c>
      <c r="F175" s="100">
        <f t="shared" si="43"/>
        <v>4.4714685223626178</v>
      </c>
      <c r="G175" s="100">
        <f t="shared" si="43"/>
        <v>4.4888727497447753</v>
      </c>
      <c r="H175" s="100">
        <f t="shared" si="43"/>
        <v>3.9489762633809424</v>
      </c>
      <c r="I175" s="100">
        <f t="shared" si="43"/>
        <v>0</v>
      </c>
      <c r="J175" s="100">
        <f t="shared" si="43"/>
        <v>2.7423147968798753</v>
      </c>
      <c r="K175" s="100"/>
      <c r="L175" s="100"/>
    </row>
    <row r="176" spans="1:13" x14ac:dyDescent="0.6">
      <c r="A176" s="32"/>
      <c r="B176" s="7" t="s">
        <v>78</v>
      </c>
      <c r="C176" s="100">
        <f>($J$154*(C$145/$K$145))/SUM(C45:C49,C54:C56)</f>
        <v>8.6948257479990509</v>
      </c>
      <c r="D176" s="100">
        <f>($J$154*(D$145/$K$145))/(SUMPRODUCT(D45:D49,D27:D31)+SUMPRODUCT(D54:D56,D36:D38))</f>
        <v>16.398096454038846</v>
      </c>
      <c r="E176" s="100">
        <f t="shared" ref="E176:J176" si="44">($J$154*(E$145/$K$145))/SUM(E45:E49,E54:E56)</f>
        <v>7.426276344354414</v>
      </c>
      <c r="F176" s="100">
        <f t="shared" si="44"/>
        <v>5.0183694931953164</v>
      </c>
      <c r="G176" s="100">
        <f t="shared" si="44"/>
        <v>5.3623373503062179</v>
      </c>
      <c r="H176" s="100">
        <f t="shared" si="44"/>
        <v>3.9738975501430245</v>
      </c>
      <c r="I176" s="100">
        <f t="shared" si="44"/>
        <v>0</v>
      </c>
      <c r="J176" s="100">
        <f t="shared" si="44"/>
        <v>3.2651353428636871</v>
      </c>
      <c r="K176" s="100"/>
      <c r="L176" s="100"/>
    </row>
    <row r="177" spans="1:12" x14ac:dyDescent="0.6">
      <c r="A177" s="32"/>
      <c r="F177" s="100"/>
      <c r="G177" s="100"/>
      <c r="H177" s="100"/>
      <c r="I177" s="100"/>
      <c r="K177" s="100"/>
      <c r="L177" s="100"/>
    </row>
    <row r="178" spans="1:12" x14ac:dyDescent="0.6">
      <c r="A178" s="32"/>
    </row>
    <row r="179" spans="1:12" x14ac:dyDescent="0.6">
      <c r="A179" s="31" t="s">
        <v>87</v>
      </c>
      <c r="B179" s="3" t="s">
        <v>255</v>
      </c>
    </row>
    <row r="180" spans="1:12" x14ac:dyDescent="0.6">
      <c r="A180" s="32"/>
      <c r="B180" s="19" t="s">
        <v>218</v>
      </c>
    </row>
    <row r="181" spans="1:12" x14ac:dyDescent="0.6">
      <c r="A181" s="32"/>
      <c r="B181" s="4" t="s">
        <v>35</v>
      </c>
    </row>
    <row r="182" spans="1:12" x14ac:dyDescent="0.6">
      <c r="A182" s="32"/>
      <c r="C182" s="49" t="s">
        <v>5</v>
      </c>
      <c r="D182" s="49" t="s">
        <v>119</v>
      </c>
      <c r="E182" s="49" t="s">
        <v>6</v>
      </c>
      <c r="F182" s="49" t="s">
        <v>7</v>
      </c>
      <c r="G182" s="49" t="s">
        <v>8</v>
      </c>
      <c r="H182" s="49" t="s">
        <v>9</v>
      </c>
      <c r="I182" s="49" t="s">
        <v>10</v>
      </c>
      <c r="J182" s="49" t="s">
        <v>11</v>
      </c>
    </row>
    <row r="183" spans="1:12" x14ac:dyDescent="0.6">
      <c r="A183" s="32"/>
      <c r="C183" s="171"/>
      <c r="D183" s="27"/>
      <c r="E183" s="27"/>
      <c r="F183" s="27"/>
      <c r="H183" s="27"/>
    </row>
    <row r="184" spans="1:12" x14ac:dyDescent="0.6">
      <c r="A184" s="32"/>
      <c r="B184" s="33" t="s">
        <v>43</v>
      </c>
      <c r="C184" s="15">
        <f t="shared" ref="C184:J184" si="45">+C128+($E$168*C$80)+C175</f>
        <v>85.330469439883586</v>
      </c>
      <c r="D184" s="15">
        <f>+D128+($E$168*D$80)+D175</f>
        <v>88.754037074763517</v>
      </c>
      <c r="E184" s="15">
        <f t="shared" si="45"/>
        <v>85.284783679055693</v>
      </c>
      <c r="F184" s="15">
        <f t="shared" si="45"/>
        <v>80.675327838339371</v>
      </c>
      <c r="G184" s="15">
        <f t="shared" si="45"/>
        <v>83.320219137709813</v>
      </c>
      <c r="H184" s="15">
        <f t="shared" si="45"/>
        <v>79.685327006227411</v>
      </c>
      <c r="I184" s="15">
        <f t="shared" si="45"/>
        <v>73.130296055726461</v>
      </c>
      <c r="J184" s="15">
        <f t="shared" si="45"/>
        <v>80.752820037369574</v>
      </c>
    </row>
    <row r="185" spans="1:12" x14ac:dyDescent="0.6">
      <c r="A185" s="32"/>
      <c r="B185" s="34" t="s">
        <v>114</v>
      </c>
      <c r="C185" s="15"/>
      <c r="D185" s="15">
        <f>D$129+(E$168*D$80)+D$175</f>
        <v>101.37304327992658</v>
      </c>
      <c r="E185" s="15"/>
      <c r="F185" s="15"/>
      <c r="G185" s="15"/>
      <c r="H185" s="15"/>
      <c r="I185" s="15"/>
      <c r="J185" s="15"/>
    </row>
    <row r="186" spans="1:12" x14ac:dyDescent="0.6">
      <c r="A186" s="32"/>
      <c r="B186" s="34" t="s">
        <v>37</v>
      </c>
      <c r="C186" s="15"/>
      <c r="D186" s="15">
        <f>D$130+(E$168*D$80)</f>
        <v>70.431015031715518</v>
      </c>
      <c r="E186" s="15"/>
      <c r="F186" s="15"/>
      <c r="G186" s="15"/>
      <c r="H186" s="15"/>
      <c r="I186" s="15"/>
      <c r="J186" s="15"/>
    </row>
    <row r="187" spans="1:12" x14ac:dyDescent="0.6">
      <c r="A187" s="32"/>
      <c r="B187" s="7" t="s">
        <v>68</v>
      </c>
      <c r="C187" s="15">
        <f>(C184*SUM(C50:C53)-$C$162*10*$F$161*SUM(C50:C53))/SUM(C50:C53)</f>
        <v>82.125960341768874</v>
      </c>
      <c r="D187" s="15"/>
      <c r="E187" s="15"/>
      <c r="F187" s="15"/>
      <c r="G187" s="15"/>
      <c r="H187" s="15"/>
      <c r="I187" s="15"/>
      <c r="J187" s="15"/>
    </row>
    <row r="188" spans="1:12" x14ac:dyDescent="0.6">
      <c r="A188" s="32"/>
      <c r="B188" s="7" t="s">
        <v>69</v>
      </c>
      <c r="C188" s="15">
        <f>+C187+$C$162*10</f>
        <v>90.777960341768875</v>
      </c>
      <c r="D188" s="15"/>
      <c r="E188" s="15"/>
      <c r="F188" s="15"/>
      <c r="G188" s="15"/>
      <c r="H188" s="15"/>
      <c r="I188" s="15"/>
      <c r="J188" s="15"/>
    </row>
    <row r="189" spans="1:12" x14ac:dyDescent="0.6">
      <c r="A189" s="32"/>
      <c r="B189" s="7"/>
      <c r="C189" s="15"/>
      <c r="D189" s="15"/>
      <c r="E189" s="15"/>
      <c r="F189" s="15"/>
      <c r="G189" s="15"/>
      <c r="H189" s="15"/>
      <c r="I189" s="15"/>
      <c r="J189" s="15"/>
    </row>
    <row r="190" spans="1:12" x14ac:dyDescent="0.6">
      <c r="A190" s="32"/>
      <c r="B190" s="33" t="s">
        <v>44</v>
      </c>
      <c r="C190" s="15">
        <f t="shared" ref="C190:J190" si="46">+C132+($E$168*C$80)+C$176</f>
        <v>89.614913125358996</v>
      </c>
      <c r="D190" s="15">
        <f t="shared" si="46"/>
        <v>97.328776711053806</v>
      </c>
      <c r="E190" s="15">
        <f t="shared" si="46"/>
        <v>86.152291257543624</v>
      </c>
      <c r="F190" s="15">
        <f t="shared" si="46"/>
        <v>81.548304653442656</v>
      </c>
      <c r="G190" s="15">
        <f t="shared" si="46"/>
        <v>84.17309085610438</v>
      </c>
      <c r="H190" s="15">
        <f t="shared" si="46"/>
        <v>81.566890699011452</v>
      </c>
      <c r="I190" s="15">
        <f t="shared" si="46"/>
        <v>77.721313550954761</v>
      </c>
      <c r="J190" s="15">
        <f t="shared" si="46"/>
        <v>81.769617018039483</v>
      </c>
    </row>
    <row r="191" spans="1:12" x14ac:dyDescent="0.6">
      <c r="A191" s="32"/>
      <c r="B191" s="34" t="s">
        <v>114</v>
      </c>
      <c r="C191" s="15"/>
      <c r="D191" s="15">
        <f>D$133+($E$168*D$80)+$D$176</f>
        <v>104.97746312303602</v>
      </c>
      <c r="E191" s="15"/>
      <c r="F191" s="15"/>
      <c r="G191" s="15"/>
      <c r="H191" s="15"/>
      <c r="I191" s="15"/>
      <c r="J191" s="15"/>
    </row>
    <row r="192" spans="1:12" x14ac:dyDescent="0.6">
      <c r="A192" s="32"/>
      <c r="B192" s="34" t="s">
        <v>37</v>
      </c>
      <c r="C192" s="15"/>
      <c r="D192" s="15">
        <f>D$134+($E$168*D$80)</f>
        <v>76.837689818987258</v>
      </c>
      <c r="E192" s="15"/>
      <c r="F192" s="15"/>
      <c r="G192" s="15"/>
      <c r="H192" s="15"/>
      <c r="I192" s="15"/>
      <c r="J192" s="15"/>
    </row>
    <row r="193" spans="1:10" x14ac:dyDescent="0.6">
      <c r="A193" s="32"/>
      <c r="B193" s="5" t="s">
        <v>45</v>
      </c>
      <c r="C193" s="15">
        <f>+C136+($E$168*C$80)+C174</f>
        <v>87.795825233974909</v>
      </c>
      <c r="D193" s="15">
        <f>((D185*SUMPRODUCT(D32:D35,D50:D53)+D186*SUMPRODUCT(D50:D53,P32:P35))+(D191*(SUMPRODUCT(D45:D49,D27:D31)+SUMPRODUCT(D54:D56,D36:D38))+D192*(SUMPRODUCT(D45:D49,P27:P31)+SUMPRODUCT(D54:D56,P36:P38))))/D57</f>
        <v>85.247415107533001</v>
      </c>
      <c r="E193" s="15">
        <f t="shared" ref="E193:J193" si="47">+E136+($E$168*E$80)+E174</f>
        <v>85.821339944865741</v>
      </c>
      <c r="F193" s="15">
        <f t="shared" si="47"/>
        <v>81.234514521746732</v>
      </c>
      <c r="G193" s="15">
        <f t="shared" si="47"/>
        <v>83.854167603116878</v>
      </c>
      <c r="H193" s="15">
        <f t="shared" si="47"/>
        <v>80.937069626410619</v>
      </c>
      <c r="I193" s="15">
        <f t="shared" si="47"/>
        <v>76.263335091887413</v>
      </c>
      <c r="J193" s="15">
        <f t="shared" si="47"/>
        <v>81.39018056664338</v>
      </c>
    </row>
    <row r="194" spans="1:10" x14ac:dyDescent="0.6">
      <c r="A194" s="32"/>
    </row>
    <row r="195" spans="1:10" x14ac:dyDescent="0.6">
      <c r="A195" s="32"/>
      <c r="C195" s="15"/>
      <c r="D195" s="15"/>
      <c r="E195" s="15"/>
    </row>
    <row r="196" spans="1:10" x14ac:dyDescent="0.6">
      <c r="A196" s="32"/>
      <c r="B196" s="7" t="s">
        <v>80</v>
      </c>
      <c r="C196" s="55">
        <f>(SUMPRODUCT(C193:J193,C57:J57)/1000)</f>
        <v>501586.83591457567</v>
      </c>
      <c r="D196" s="55"/>
      <c r="E196" s="55"/>
    </row>
    <row r="197" spans="1:10" x14ac:dyDescent="0.6">
      <c r="A197" s="32"/>
      <c r="B197" s="7"/>
      <c r="C197" s="54"/>
      <c r="D197" s="54"/>
    </row>
    <row r="198" spans="1:10" x14ac:dyDescent="0.6">
      <c r="A198" s="32"/>
      <c r="B198" s="129" t="s">
        <v>265</v>
      </c>
      <c r="G198" s="100">
        <f>+C196/SUM(C57:J57)*1000</f>
        <v>86.708862059580682</v>
      </c>
      <c r="H198" s="103"/>
    </row>
    <row r="199" spans="1:10" x14ac:dyDescent="0.6">
      <c r="A199" s="32"/>
      <c r="B199" s="129" t="s">
        <v>272</v>
      </c>
      <c r="G199" s="100">
        <f>+C196/SUMPRODUCT(C57:J57,C84:J84)*1000</f>
        <v>82.029530284556984</v>
      </c>
      <c r="H199" s="103"/>
    </row>
    <row r="200" spans="1:10" x14ac:dyDescent="0.6">
      <c r="A200" s="32"/>
    </row>
    <row r="201" spans="1:10" x14ac:dyDescent="0.6">
      <c r="A201" s="32"/>
    </row>
    <row r="202" spans="1:10" x14ac:dyDescent="0.6">
      <c r="A202" s="256" t="s">
        <v>88</v>
      </c>
      <c r="B202" s="16" t="s">
        <v>275</v>
      </c>
      <c r="C202" s="17"/>
      <c r="D202" s="17"/>
      <c r="E202" s="17"/>
      <c r="F202" s="17"/>
      <c r="G202" s="17"/>
      <c r="H202" s="17"/>
      <c r="I202" s="17"/>
      <c r="J202" s="17"/>
    </row>
    <row r="203" spans="1:10" x14ac:dyDescent="0.6">
      <c r="A203" s="18"/>
      <c r="B203" s="19" t="s">
        <v>218</v>
      </c>
      <c r="C203" s="17"/>
      <c r="D203" s="17"/>
      <c r="E203" s="17"/>
      <c r="F203" s="17"/>
      <c r="G203" s="17"/>
      <c r="H203" s="17"/>
      <c r="I203" s="17"/>
      <c r="J203" s="17"/>
    </row>
    <row r="204" spans="1:10" x14ac:dyDescent="0.6">
      <c r="A204" s="18"/>
      <c r="B204" s="19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6">
      <c r="A205" s="18"/>
      <c r="B205" s="17"/>
      <c r="C205" s="20" t="s">
        <v>5</v>
      </c>
      <c r="D205" s="49" t="s">
        <v>119</v>
      </c>
      <c r="E205" s="20" t="s">
        <v>6</v>
      </c>
      <c r="F205" s="20" t="s">
        <v>7</v>
      </c>
      <c r="G205" s="20" t="s">
        <v>8</v>
      </c>
      <c r="H205" s="20" t="s">
        <v>9</v>
      </c>
      <c r="I205" s="20" t="s">
        <v>10</v>
      </c>
      <c r="J205" s="20" t="s">
        <v>11</v>
      </c>
    </row>
    <row r="206" spans="1:10" x14ac:dyDescent="0.6">
      <c r="A206" s="18"/>
      <c r="B206" s="17"/>
      <c r="C206" s="21"/>
      <c r="D206" s="21"/>
      <c r="E206" s="21"/>
      <c r="F206" s="21"/>
      <c r="G206" s="17"/>
      <c r="H206" s="21"/>
      <c r="I206" s="17"/>
      <c r="J206" s="17"/>
    </row>
    <row r="207" spans="1:10" x14ac:dyDescent="0.6">
      <c r="A207" s="18"/>
      <c r="B207" s="22" t="s">
        <v>43</v>
      </c>
      <c r="D207" s="29">
        <f t="shared" ref="D207:J207" si="48">ROUND(D184/$G$199,3)</f>
        <v>1.0820000000000001</v>
      </c>
      <c r="E207" s="29">
        <f t="shared" si="48"/>
        <v>1.04</v>
      </c>
      <c r="F207" s="29">
        <f t="shared" si="48"/>
        <v>0.98299999999999998</v>
      </c>
      <c r="G207" s="29">
        <f t="shared" si="48"/>
        <v>1.016</v>
      </c>
      <c r="H207" s="29">
        <f t="shared" si="48"/>
        <v>0.97099999999999997</v>
      </c>
      <c r="I207" s="29">
        <f t="shared" si="48"/>
        <v>0.89200000000000002</v>
      </c>
      <c r="J207" s="29">
        <f t="shared" si="48"/>
        <v>0.98399999999999999</v>
      </c>
    </row>
    <row r="208" spans="1:10" x14ac:dyDescent="0.6">
      <c r="A208" s="18"/>
      <c r="B208" s="34" t="s">
        <v>114</v>
      </c>
      <c r="D208" s="29">
        <f>ROUND(D185/$G$199,3)</f>
        <v>1.236</v>
      </c>
      <c r="E208" s="29"/>
      <c r="F208" s="29"/>
      <c r="G208" s="29"/>
      <c r="H208" s="29"/>
      <c r="I208" s="29"/>
      <c r="J208" s="29"/>
    </row>
    <row r="209" spans="1:12" x14ac:dyDescent="0.6">
      <c r="A209" s="18"/>
      <c r="B209" s="34" t="s">
        <v>37</v>
      </c>
      <c r="D209" s="29">
        <f>ROUND(D186/$G$199,3)</f>
        <v>0.85899999999999999</v>
      </c>
      <c r="E209" s="29"/>
      <c r="F209" s="29"/>
      <c r="G209" s="29"/>
      <c r="H209" s="29"/>
      <c r="I209" s="29"/>
      <c r="J209" s="29"/>
    </row>
    <row r="210" spans="1:12" x14ac:dyDescent="0.6">
      <c r="A210" s="18"/>
      <c r="B210" s="14" t="s">
        <v>82</v>
      </c>
      <c r="C210" s="29">
        <f>ROUND(C184/$G$199,3)</f>
        <v>1.04</v>
      </c>
      <c r="D210" s="29"/>
      <c r="E210" s="24"/>
      <c r="F210" s="23"/>
      <c r="G210" s="23"/>
      <c r="H210" s="23"/>
      <c r="I210" s="23"/>
      <c r="J210" s="149"/>
    </row>
    <row r="211" spans="1:12" x14ac:dyDescent="0.6">
      <c r="A211" s="18"/>
      <c r="B211" s="14" t="s">
        <v>83</v>
      </c>
      <c r="C211" s="25">
        <f>(C187-C$184)</f>
        <v>-3.2045090981147126</v>
      </c>
      <c r="D211" s="25"/>
      <c r="E211" s="26" t="s">
        <v>84</v>
      </c>
      <c r="F211" s="23"/>
      <c r="G211" s="23"/>
      <c r="H211" s="23"/>
      <c r="I211" s="23"/>
      <c r="J211" s="149"/>
    </row>
    <row r="212" spans="1:12" x14ac:dyDescent="0.6">
      <c r="A212" s="18"/>
      <c r="B212" s="14" t="s">
        <v>83</v>
      </c>
      <c r="C212" s="25">
        <f>(C188-C$184)</f>
        <v>5.4474909018852884</v>
      </c>
      <c r="D212" s="25"/>
      <c r="E212" s="26" t="s">
        <v>85</v>
      </c>
      <c r="F212" s="23"/>
      <c r="G212" s="23"/>
      <c r="H212" s="23"/>
      <c r="I212" s="23"/>
      <c r="J212" s="149"/>
    </row>
    <row r="213" spans="1:12" x14ac:dyDescent="0.6">
      <c r="A213" s="18"/>
      <c r="B213" s="22"/>
      <c r="C213" s="23"/>
      <c r="D213" s="23"/>
      <c r="E213" s="23"/>
      <c r="F213" s="23"/>
      <c r="G213" s="23"/>
      <c r="H213" s="23"/>
      <c r="I213" s="23"/>
      <c r="J213" s="149"/>
    </row>
    <row r="214" spans="1:12" x14ac:dyDescent="0.6">
      <c r="A214" s="18"/>
      <c r="B214" s="22" t="s">
        <v>44</v>
      </c>
      <c r="C214" s="29">
        <f t="shared" ref="C214:J214" si="49">ROUND(+C190/$G$199,3)</f>
        <v>1.0920000000000001</v>
      </c>
      <c r="D214" s="29">
        <f t="shared" si="49"/>
        <v>1.1870000000000001</v>
      </c>
      <c r="E214" s="29">
        <f t="shared" si="49"/>
        <v>1.05</v>
      </c>
      <c r="F214" s="29">
        <f t="shared" si="49"/>
        <v>0.99399999999999999</v>
      </c>
      <c r="G214" s="29">
        <f t="shared" si="49"/>
        <v>1.026</v>
      </c>
      <c r="H214" s="29">
        <f t="shared" si="49"/>
        <v>0.99399999999999999</v>
      </c>
      <c r="I214" s="29">
        <f t="shared" si="49"/>
        <v>0.94699999999999995</v>
      </c>
      <c r="J214" s="29">
        <f t="shared" si="49"/>
        <v>0.997</v>
      </c>
    </row>
    <row r="215" spans="1:12" x14ac:dyDescent="0.6">
      <c r="A215" s="18"/>
      <c r="B215" s="34" t="s">
        <v>114</v>
      </c>
      <c r="C215" s="29"/>
      <c r="D215" s="29">
        <f>ROUND(+D191/$G$199,3)</f>
        <v>1.28</v>
      </c>
      <c r="E215" s="29"/>
      <c r="F215" s="29"/>
      <c r="G215" s="29"/>
      <c r="H215" s="29"/>
      <c r="I215" s="29"/>
      <c r="J215" s="29"/>
    </row>
    <row r="216" spans="1:12" x14ac:dyDescent="0.6">
      <c r="A216" s="18"/>
      <c r="B216" s="34" t="s">
        <v>37</v>
      </c>
      <c r="C216" s="29"/>
      <c r="D216" s="29">
        <f>ROUND(+D192/$G$199,3)</f>
        <v>0.93700000000000006</v>
      </c>
      <c r="E216" s="29"/>
      <c r="F216" s="29"/>
      <c r="G216" s="29"/>
      <c r="H216" s="29"/>
      <c r="I216" s="29"/>
      <c r="J216" s="29"/>
    </row>
    <row r="217" spans="1:12" x14ac:dyDescent="0.6">
      <c r="A217" s="18"/>
      <c r="B217" s="17" t="s">
        <v>45</v>
      </c>
      <c r="C217" s="29">
        <f>ROUND(+C193/$G$199,3)</f>
        <v>1.07</v>
      </c>
      <c r="D217" s="29">
        <f>ROUND(+D193/$G$199,3)</f>
        <v>1.0389999999999999</v>
      </c>
      <c r="E217" s="29">
        <f t="shared" ref="E217:J217" si="50">ROUND(+E193/$G$199,3)</f>
        <v>1.046</v>
      </c>
      <c r="F217" s="29">
        <f t="shared" si="50"/>
        <v>0.99</v>
      </c>
      <c r="G217" s="29">
        <f t="shared" si="50"/>
        <v>1.022</v>
      </c>
      <c r="H217" s="29">
        <f t="shared" si="50"/>
        <v>0.98699999999999999</v>
      </c>
      <c r="I217" s="29">
        <f t="shared" si="50"/>
        <v>0.93</v>
      </c>
      <c r="J217" s="29">
        <f t="shared" si="50"/>
        <v>0.99199999999999999</v>
      </c>
    </row>
    <row r="218" spans="1:12" x14ac:dyDescent="0.6">
      <c r="A218" s="32"/>
    </row>
    <row r="219" spans="1:12" x14ac:dyDescent="0.6">
      <c r="A219" s="32"/>
    </row>
    <row r="220" spans="1:12" x14ac:dyDescent="0.6">
      <c r="A220" s="31" t="s">
        <v>257</v>
      </c>
      <c r="B220" s="3" t="s">
        <v>89</v>
      </c>
    </row>
    <row r="221" spans="1:12" x14ac:dyDescent="0.6">
      <c r="A221" s="32"/>
      <c r="B221" s="3"/>
    </row>
    <row r="222" spans="1:12" x14ac:dyDescent="0.6">
      <c r="A222" s="32"/>
      <c r="C222" s="20" t="s">
        <v>5</v>
      </c>
      <c r="D222" s="49" t="s">
        <v>119</v>
      </c>
      <c r="E222" s="20" t="s">
        <v>6</v>
      </c>
      <c r="F222" s="20" t="s">
        <v>7</v>
      </c>
      <c r="G222" s="20" t="s">
        <v>8</v>
      </c>
      <c r="H222" s="20" t="s">
        <v>9</v>
      </c>
      <c r="I222" s="20" t="s">
        <v>10</v>
      </c>
      <c r="J222" s="20" t="s">
        <v>11</v>
      </c>
      <c r="K222" s="27"/>
      <c r="L222" s="27"/>
    </row>
    <row r="223" spans="1:12" x14ac:dyDescent="0.6">
      <c r="A223" s="32"/>
      <c r="B223" s="5" t="s">
        <v>90</v>
      </c>
    </row>
    <row r="224" spans="1:12" x14ac:dyDescent="0.6">
      <c r="A224" s="32"/>
      <c r="B224" s="53" t="s">
        <v>58</v>
      </c>
      <c r="C224" s="54">
        <f>((C187*O$48*F$160)+(C188*O$48*F$161))/1000</f>
        <v>141386.25442788468</v>
      </c>
      <c r="D224" s="54">
        <f t="shared" ref="D224:J224" si="51">+D184*SUM(D50:D53)/1000</f>
        <v>82.859879779217394</v>
      </c>
      <c r="E224" s="54">
        <f t="shared" si="51"/>
        <v>29565.073448926501</v>
      </c>
      <c r="F224" s="54">
        <f t="shared" si="51"/>
        <v>732.48647710879334</v>
      </c>
      <c r="G224" s="54">
        <f t="shared" si="51"/>
        <v>25676.40545406576</v>
      </c>
      <c r="H224" s="54">
        <f t="shared" si="51"/>
        <v>1587.643687399981</v>
      </c>
      <c r="I224" s="54">
        <f t="shared" si="51"/>
        <v>1203.5570502902449</v>
      </c>
      <c r="J224" s="54">
        <f t="shared" si="51"/>
        <v>319.96255933993507</v>
      </c>
      <c r="K224" s="54"/>
      <c r="L224" s="54"/>
    </row>
    <row r="225" spans="1:13" x14ac:dyDescent="0.6">
      <c r="A225" s="32"/>
      <c r="B225" s="53" t="s">
        <v>61</v>
      </c>
      <c r="C225" s="54">
        <f t="shared" ref="C225:J225" si="52">+C190*SUM(C45:C49,C54:C56)/1000</f>
        <v>201237.66248884914</v>
      </c>
      <c r="D225" s="54">
        <f t="shared" si="52"/>
        <v>123.14686737006849</v>
      </c>
      <c r="E225" s="54">
        <f t="shared" si="52"/>
        <v>48420.069120329797</v>
      </c>
      <c r="F225" s="54">
        <f t="shared" si="52"/>
        <v>1319.4451714416305</v>
      </c>
      <c r="G225" s="54">
        <f t="shared" si="52"/>
        <v>43428.042463109094</v>
      </c>
      <c r="H225" s="54">
        <f t="shared" si="52"/>
        <v>3229.8804045101929</v>
      </c>
      <c r="I225" s="54">
        <f t="shared" si="52"/>
        <v>2748.6799849548893</v>
      </c>
      <c r="J225" s="54">
        <f t="shared" si="52"/>
        <v>544.22632177831008</v>
      </c>
      <c r="K225" s="54"/>
      <c r="L225" s="54"/>
    </row>
    <row r="226" spans="1:13" x14ac:dyDescent="0.6">
      <c r="A226" s="32"/>
      <c r="B226" s="53" t="s">
        <v>29</v>
      </c>
      <c r="C226" s="40">
        <f t="shared" ref="C226:J226" si="53">+C225+C224</f>
        <v>342623.91691673384</v>
      </c>
      <c r="D226" s="40">
        <f t="shared" si="53"/>
        <v>206.0067471492859</v>
      </c>
      <c r="E226" s="40">
        <f t="shared" si="53"/>
        <v>77985.142569256306</v>
      </c>
      <c r="F226" s="40">
        <f t="shared" si="53"/>
        <v>2051.9316485504237</v>
      </c>
      <c r="G226" s="40">
        <f t="shared" si="53"/>
        <v>69104.447917174854</v>
      </c>
      <c r="H226" s="40">
        <f t="shared" si="53"/>
        <v>4817.5240919101743</v>
      </c>
      <c r="I226" s="40">
        <f t="shared" si="53"/>
        <v>3952.2370352451344</v>
      </c>
      <c r="J226" s="54">
        <f t="shared" si="53"/>
        <v>864.18888111824515</v>
      </c>
      <c r="K226" s="54"/>
      <c r="L226" s="54"/>
    </row>
    <row r="227" spans="1:13" x14ac:dyDescent="0.6">
      <c r="A227" s="32"/>
      <c r="B227" s="53"/>
    </row>
    <row r="228" spans="1:13" x14ac:dyDescent="0.6">
      <c r="A228" s="32"/>
      <c r="B228" s="5" t="s">
        <v>91</v>
      </c>
    </row>
    <row r="229" spans="1:13" x14ac:dyDescent="0.6">
      <c r="A229" s="32"/>
      <c r="B229" s="53" t="s">
        <v>58</v>
      </c>
      <c r="C229" s="104">
        <f t="shared" ref="C229:J229" si="54">+C224/C226</f>
        <v>0.41265728236433963</v>
      </c>
      <c r="D229" s="104">
        <f>+D224/D226</f>
        <v>0.40221925216445331</v>
      </c>
      <c r="E229" s="104">
        <f t="shared" si="54"/>
        <v>0.37911161632705398</v>
      </c>
      <c r="F229" s="104">
        <f t="shared" si="54"/>
        <v>0.35697411150427671</v>
      </c>
      <c r="G229" s="104">
        <f t="shared" si="54"/>
        <v>0.37155937465617583</v>
      </c>
      <c r="H229" s="104">
        <f t="shared" si="54"/>
        <v>0.32955594141522426</v>
      </c>
      <c r="I229" s="104">
        <f>+I224/I226</f>
        <v>0.30452552302840186</v>
      </c>
      <c r="J229" s="104">
        <f t="shared" si="54"/>
        <v>0.37024609588347074</v>
      </c>
      <c r="K229" s="104"/>
      <c r="L229" s="104"/>
    </row>
    <row r="230" spans="1:13" x14ac:dyDescent="0.6">
      <c r="A230" s="32"/>
      <c r="B230" s="53" t="s">
        <v>61</v>
      </c>
      <c r="C230" s="104">
        <f t="shared" ref="C230:J230" si="55">+C225/C226</f>
        <v>0.58734271763566026</v>
      </c>
      <c r="D230" s="104">
        <f>+D225/D226</f>
        <v>0.59778074783554669</v>
      </c>
      <c r="E230" s="104">
        <f t="shared" si="55"/>
        <v>0.62088838367294596</v>
      </c>
      <c r="F230" s="104">
        <f t="shared" si="55"/>
        <v>0.64302588849572329</v>
      </c>
      <c r="G230" s="104">
        <f t="shared" si="55"/>
        <v>0.62844062534382417</v>
      </c>
      <c r="H230" s="104">
        <f t="shared" si="55"/>
        <v>0.67044405858477563</v>
      </c>
      <c r="I230" s="104">
        <f t="shared" si="55"/>
        <v>0.69547447697159803</v>
      </c>
      <c r="J230" s="104">
        <f t="shared" si="55"/>
        <v>0.62975390411652932</v>
      </c>
      <c r="K230" s="104"/>
      <c r="L230" s="104"/>
    </row>
    <row r="231" spans="1:13" x14ac:dyDescent="0.6">
      <c r="A231" s="32"/>
    </row>
    <row r="232" spans="1:13" x14ac:dyDescent="0.6">
      <c r="A232" s="32"/>
      <c r="B232" s="5" t="s">
        <v>92</v>
      </c>
    </row>
    <row r="233" spans="1:13" x14ac:dyDescent="0.6">
      <c r="A233" s="32"/>
      <c r="B233" s="53" t="s">
        <v>58</v>
      </c>
      <c r="C233" s="105">
        <f>+SUM(C224:J224)</f>
        <v>200554.24298479513</v>
      </c>
      <c r="D233" s="105"/>
    </row>
    <row r="234" spans="1:13" x14ac:dyDescent="0.6">
      <c r="A234" s="32"/>
      <c r="B234" s="53" t="s">
        <v>61</v>
      </c>
      <c r="C234" s="105">
        <f>+SUM(C225:J225)</f>
        <v>301051.15282234311</v>
      </c>
      <c r="D234" s="105"/>
    </row>
    <row r="235" spans="1:13" x14ac:dyDescent="0.6">
      <c r="A235" s="32"/>
      <c r="B235" s="53" t="s">
        <v>29</v>
      </c>
      <c r="C235" s="40">
        <f>+C234+C233</f>
        <v>501605.39580713824</v>
      </c>
      <c r="D235" s="40"/>
    </row>
    <row r="236" spans="1:13" x14ac:dyDescent="0.6">
      <c r="A236" s="32"/>
    </row>
    <row r="237" spans="1:13" x14ac:dyDescent="0.6">
      <c r="A237" s="32"/>
      <c r="B237" s="5" t="s">
        <v>93</v>
      </c>
      <c r="D237" s="5" t="s">
        <v>94</v>
      </c>
    </row>
    <row r="238" spans="1:13" x14ac:dyDescent="0.6">
      <c r="A238" s="32"/>
      <c r="B238" s="53" t="s">
        <v>58</v>
      </c>
      <c r="C238" s="104">
        <f>+C233/C235</f>
        <v>0.399824732072671</v>
      </c>
      <c r="E238" s="99">
        <f>+C233/SUMPRODUCT(O48:V48,C84:J84)*1000</f>
        <v>80.317700504795383</v>
      </c>
      <c r="F238" s="5" t="s">
        <v>273</v>
      </c>
      <c r="I238" s="5" t="s">
        <v>259</v>
      </c>
      <c r="K238" s="5" t="s">
        <v>95</v>
      </c>
      <c r="L238" s="53" t="s">
        <v>58</v>
      </c>
      <c r="M238" s="150">
        <f>IF(ROUND(E$238/G$199,4)&lt;ROUND(E$239/G$199,4),1,ROUND(E238/G$199,4))</f>
        <v>1</v>
      </c>
    </row>
    <row r="239" spans="1:13" x14ac:dyDescent="0.6">
      <c r="A239" s="32"/>
      <c r="B239" s="53" t="s">
        <v>61</v>
      </c>
      <c r="C239" s="104">
        <f>+C234/C235</f>
        <v>0.600175267927329</v>
      </c>
      <c r="E239" s="99">
        <f>+C234/SUMPRODUCT(O45:V45,C84:J84)*1000</f>
        <v>83.216201486101681</v>
      </c>
      <c r="F239" s="5" t="s">
        <v>273</v>
      </c>
      <c r="I239" s="5" t="s">
        <v>112</v>
      </c>
      <c r="L239" s="53" t="s">
        <v>61</v>
      </c>
      <c r="M239" s="150">
        <f>IF(ROUND(E$238/G$199,4)&lt;ROUND(E$239/G$199,4),1,ROUND(E239/G$199,4))</f>
        <v>1</v>
      </c>
    </row>
    <row r="240" spans="1:13" x14ac:dyDescent="0.6">
      <c r="A240" s="32"/>
    </row>
    <row r="241" spans="1:19" x14ac:dyDescent="0.6">
      <c r="A241" s="32"/>
    </row>
    <row r="242" spans="1:19" x14ac:dyDescent="0.6">
      <c r="A242" s="31"/>
      <c r="B242" s="3" t="s">
        <v>97</v>
      </c>
      <c r="F242" s="99"/>
    </row>
    <row r="243" spans="1:19" x14ac:dyDescent="0.6">
      <c r="A243" s="32"/>
      <c r="B243" s="7" t="s">
        <v>98</v>
      </c>
      <c r="C243" s="174">
        <f>D153</f>
        <v>53.53</v>
      </c>
      <c r="D243" s="101"/>
      <c r="E243" s="5" t="s">
        <v>99</v>
      </c>
      <c r="F243" s="5" t="s">
        <v>100</v>
      </c>
    </row>
    <row r="244" spans="1:19" x14ac:dyDescent="0.6">
      <c r="A244" s="32"/>
      <c r="B244" s="7" t="s">
        <v>101</v>
      </c>
      <c r="C244" s="174">
        <f>D154</f>
        <v>53.53</v>
      </c>
      <c r="D244" s="101"/>
      <c r="E244" s="5" t="s">
        <v>99</v>
      </c>
      <c r="F244" s="5" t="s">
        <v>102</v>
      </c>
    </row>
    <row r="245" spans="1:19" x14ac:dyDescent="0.6">
      <c r="A245" s="32"/>
      <c r="B245" s="7" t="s">
        <v>103</v>
      </c>
      <c r="C245" s="35">
        <f>+E166</f>
        <v>2</v>
      </c>
      <c r="D245" s="35"/>
      <c r="E245" s="5" t="s">
        <v>111</v>
      </c>
      <c r="F245" s="75"/>
    </row>
    <row r="246" spans="1:19" x14ac:dyDescent="0.6">
      <c r="A246" s="32"/>
      <c r="B246" s="168" t="s">
        <v>217</v>
      </c>
      <c r="C246" s="35">
        <f>E167</f>
        <v>17.21</v>
      </c>
      <c r="D246" s="35"/>
      <c r="E246" s="5" t="s">
        <v>111</v>
      </c>
      <c r="F246" s="75"/>
    </row>
    <row r="247" spans="1:19" x14ac:dyDescent="0.6">
      <c r="A247" s="32"/>
      <c r="B247" s="7" t="s">
        <v>104</v>
      </c>
      <c r="C247" s="129" t="s">
        <v>290</v>
      </c>
    </row>
    <row r="248" spans="1:19" x14ac:dyDescent="0.6">
      <c r="A248" s="32"/>
      <c r="B248" s="7" t="s">
        <v>105</v>
      </c>
      <c r="C248" s="26" t="s">
        <v>206</v>
      </c>
      <c r="D248" s="26"/>
    </row>
    <row r="249" spans="1:19" x14ac:dyDescent="0.6">
      <c r="A249" s="32"/>
      <c r="B249" s="7" t="s">
        <v>106</v>
      </c>
      <c r="C249" s="129" t="s">
        <v>291</v>
      </c>
    </row>
    <row r="250" spans="1:19" x14ac:dyDescent="0.6">
      <c r="A250" s="32"/>
      <c r="B250" s="7" t="s">
        <v>107</v>
      </c>
      <c r="C250" s="5" t="s">
        <v>211</v>
      </c>
    </row>
    <row r="251" spans="1:19" x14ac:dyDescent="0.6">
      <c r="A251" s="32"/>
      <c r="B251" s="7" t="s">
        <v>108</v>
      </c>
      <c r="C251" s="5" t="s">
        <v>179</v>
      </c>
    </row>
    <row r="252" spans="1:19" x14ac:dyDescent="0.6">
      <c r="A252" s="32"/>
      <c r="C252" s="5" t="s">
        <v>180</v>
      </c>
    </row>
    <row r="255" spans="1:19" x14ac:dyDescent="0.6">
      <c r="A255" s="31" t="s">
        <v>258</v>
      </c>
      <c r="B255" s="3" t="s">
        <v>209</v>
      </c>
    </row>
    <row r="256" spans="1:19" x14ac:dyDescent="0.6">
      <c r="A256" s="32"/>
      <c r="B256" s="4" t="s">
        <v>266</v>
      </c>
      <c r="N256" s="17"/>
      <c r="O256" s="17"/>
      <c r="P256" s="17"/>
      <c r="Q256" s="17"/>
      <c r="R256" s="17"/>
      <c r="S256" s="17"/>
    </row>
    <row r="257" spans="1:19" x14ac:dyDescent="0.6">
      <c r="A257" s="32"/>
      <c r="B257" s="4" t="s">
        <v>35</v>
      </c>
      <c r="N257" s="17"/>
      <c r="O257" s="17"/>
      <c r="P257" s="17"/>
      <c r="Q257" s="17"/>
      <c r="R257" s="17"/>
      <c r="S257" s="17"/>
    </row>
    <row r="258" spans="1:19" x14ac:dyDescent="0.6">
      <c r="A258" s="32"/>
      <c r="B258" s="4"/>
      <c r="N258" s="17"/>
      <c r="O258" s="17"/>
      <c r="P258" s="17"/>
      <c r="Q258" s="17"/>
      <c r="R258" s="17"/>
      <c r="S258" s="17"/>
    </row>
    <row r="259" spans="1:19" x14ac:dyDescent="0.6">
      <c r="A259" s="32"/>
      <c r="B259" s="254" t="s">
        <v>197</v>
      </c>
      <c r="C259" s="255">
        <f>'Attachment 3'!C32</f>
        <v>65.503</v>
      </c>
      <c r="D259" s="80"/>
      <c r="E259" s="127"/>
      <c r="F259" s="101"/>
      <c r="N259" s="17"/>
      <c r="O259" s="73"/>
      <c r="P259" s="73"/>
      <c r="Q259" s="73"/>
      <c r="R259" s="73"/>
      <c r="S259" s="17"/>
    </row>
    <row r="260" spans="1:19" ht="13.25" x14ac:dyDescent="0.65">
      <c r="A260" s="32"/>
      <c r="B260" s="4"/>
      <c r="N260" s="17"/>
      <c r="O260" s="124"/>
      <c r="P260" s="124"/>
      <c r="Q260" s="124"/>
      <c r="R260" s="124"/>
      <c r="S260" s="17"/>
    </row>
    <row r="261" spans="1:19" x14ac:dyDescent="0.6">
      <c r="A261" s="32"/>
      <c r="C261" s="20" t="s">
        <v>5</v>
      </c>
      <c r="D261" s="49" t="s">
        <v>119</v>
      </c>
      <c r="E261" s="20" t="s">
        <v>6</v>
      </c>
      <c r="F261" s="20" t="s">
        <v>7</v>
      </c>
      <c r="G261" s="20" t="s">
        <v>8</v>
      </c>
      <c r="H261" s="20" t="s">
        <v>9</v>
      </c>
      <c r="I261" s="20" t="s">
        <v>10</v>
      </c>
      <c r="J261" s="20" t="s">
        <v>11</v>
      </c>
      <c r="N261" s="17"/>
      <c r="O261" s="17"/>
      <c r="P261" s="17"/>
      <c r="Q261" s="17"/>
      <c r="R261" s="17"/>
      <c r="S261" s="17"/>
    </row>
    <row r="262" spans="1:19" x14ac:dyDescent="0.6">
      <c r="A262" s="32"/>
      <c r="B262" s="33" t="s">
        <v>43</v>
      </c>
      <c r="D262" s="103">
        <f>$C$259*D207*'Attachment 3'!E103</f>
        <v>72.390954864400001</v>
      </c>
      <c r="E262" s="103">
        <f>$C$259*E207*'Attachment 3'!$E$103</f>
        <v>69.580954768000012</v>
      </c>
      <c r="F262" s="103">
        <f>$C$259*F207*'Attachment 3'!$E$103</f>
        <v>65.767383208600009</v>
      </c>
      <c r="G262" s="103">
        <f>$C$259*G207*'Attachment 3'!$E$103</f>
        <v>67.975240427200006</v>
      </c>
      <c r="H262" s="103">
        <f>$C$259*H207*'Attachment 3'!$E$103</f>
        <v>64.964526038200006</v>
      </c>
      <c r="I262" s="103">
        <f>$C$259*I207*'Attachment 3'!$E$103</f>
        <v>59.679049666400005</v>
      </c>
      <c r="J262" s="103">
        <f>$C$259*J207*'Attachment 3'!$E$103</f>
        <v>65.834287972800013</v>
      </c>
      <c r="L262" s="106"/>
      <c r="M262" s="106"/>
      <c r="N262" s="17"/>
      <c r="O262" s="17"/>
      <c r="P262" s="17"/>
      <c r="Q262" s="125"/>
      <c r="R262" s="125"/>
      <c r="S262" s="17"/>
    </row>
    <row r="263" spans="1:19" x14ac:dyDescent="0.6">
      <c r="A263" s="32"/>
      <c r="B263" s="34" t="s">
        <v>114</v>
      </c>
      <c r="D263" s="103">
        <f>$C$259*D208*'Attachment 3'!E103</f>
        <v>82.694288551200003</v>
      </c>
      <c r="E263" s="103"/>
      <c r="F263" s="103"/>
      <c r="G263" s="103"/>
      <c r="H263" s="103"/>
      <c r="I263" s="103"/>
      <c r="J263" s="103"/>
      <c r="N263" s="17"/>
      <c r="O263" s="17"/>
      <c r="P263" s="17"/>
      <c r="Q263" s="17"/>
      <c r="R263" s="17"/>
      <c r="S263" s="17"/>
    </row>
    <row r="264" spans="1:19" x14ac:dyDescent="0.6">
      <c r="A264" s="32"/>
      <c r="B264" s="34" t="s">
        <v>37</v>
      </c>
      <c r="D264" s="103">
        <f>$C$259*D209*'Attachment 3'!E103</f>
        <v>57.471192447800007</v>
      </c>
      <c r="E264" s="103"/>
      <c r="F264" s="103"/>
      <c r="G264" s="103"/>
      <c r="H264" s="103"/>
      <c r="I264" s="103"/>
      <c r="J264" s="103"/>
      <c r="N264" s="17"/>
      <c r="O264" s="17"/>
      <c r="P264" s="17"/>
      <c r="Q264" s="17"/>
      <c r="R264" s="17"/>
      <c r="S264" s="17"/>
    </row>
    <row r="265" spans="1:19" x14ac:dyDescent="0.6">
      <c r="A265" s="32"/>
      <c r="B265" s="7" t="s">
        <v>68</v>
      </c>
      <c r="C265" s="103">
        <f>($C$259*$C$210+C211)*'Attachment 3'!E103</f>
        <v>66.307869175185644</v>
      </c>
      <c r="D265" s="103"/>
      <c r="E265" s="103"/>
      <c r="F265" s="103"/>
      <c r="G265" s="103"/>
      <c r="H265" s="103"/>
      <c r="I265" s="103"/>
      <c r="J265" s="103"/>
      <c r="N265" s="17"/>
      <c r="O265" s="17"/>
      <c r="P265" s="17"/>
      <c r="Q265" s="17"/>
      <c r="R265" s="17"/>
      <c r="S265" s="17"/>
    </row>
    <row r="266" spans="1:19" x14ac:dyDescent="0.6">
      <c r="A266" s="32"/>
      <c r="B266" s="7" t="s">
        <v>69</v>
      </c>
      <c r="C266" s="103">
        <f>($C$259*$C$210+C212)*'Attachment 3'!E103</f>
        <v>75.145021975185642</v>
      </c>
      <c r="D266" s="103"/>
      <c r="E266" s="103"/>
      <c r="F266" s="103"/>
      <c r="G266" s="103"/>
      <c r="H266" s="103"/>
      <c r="I266" s="103"/>
      <c r="J266" s="103"/>
      <c r="N266" s="17"/>
      <c r="O266" s="17"/>
      <c r="P266" s="17"/>
      <c r="Q266" s="17"/>
      <c r="R266" s="17"/>
      <c r="S266" s="17"/>
    </row>
    <row r="267" spans="1:19" x14ac:dyDescent="0.6">
      <c r="A267" s="32"/>
      <c r="B267" s="33" t="s">
        <v>44</v>
      </c>
      <c r="C267" s="103">
        <f>$C$259*C214*'Attachment 3'!E104</f>
        <v>70.53573435636001</v>
      </c>
      <c r="D267" s="103">
        <f>$C$259*D214*'Attachment 3'!E104</f>
        <v>76.672084872710002</v>
      </c>
      <c r="E267" s="103">
        <f>$C$259*E214*'Attachment 3'!$E$104</f>
        <v>67.822821496499998</v>
      </c>
      <c r="F267" s="103">
        <f>$C$259*F214*'Attachment 3'!$E$104</f>
        <v>64.20560435002001</v>
      </c>
      <c r="G267" s="103">
        <f>$C$259*G214*'Attachment 3'!$E$104</f>
        <v>66.272585576580013</v>
      </c>
      <c r="H267" s="103">
        <f>$C$259*H214*'Attachment 3'!$E$104</f>
        <v>64.20560435002001</v>
      </c>
      <c r="I267" s="103">
        <f>$C$259*I214*'Attachment 3'!$E$104</f>
        <v>61.169725673510001</v>
      </c>
      <c r="J267" s="103">
        <f>$C$259*J214*'Attachment 3'!$E$104</f>
        <v>64.399383840010003</v>
      </c>
      <c r="N267" s="17"/>
      <c r="O267" s="17"/>
      <c r="P267" s="17"/>
      <c r="Q267" s="125"/>
      <c r="R267" s="125"/>
      <c r="S267" s="17"/>
    </row>
    <row r="268" spans="1:19" x14ac:dyDescent="0.6">
      <c r="A268" s="32"/>
      <c r="B268" s="34" t="s">
        <v>114</v>
      </c>
      <c r="C268" s="103"/>
      <c r="D268" s="103">
        <f>$C$259*D215*'Attachment 3'!E104</f>
        <v>82.679249062400004</v>
      </c>
      <c r="E268" s="103"/>
      <c r="F268" s="103"/>
      <c r="G268" s="103"/>
      <c r="H268" s="103"/>
      <c r="I268" s="103"/>
      <c r="J268" s="103"/>
      <c r="N268" s="17"/>
      <c r="O268" s="17"/>
      <c r="P268" s="17"/>
      <c r="Q268" s="17"/>
      <c r="R268" s="17"/>
      <c r="S268" s="17"/>
    </row>
    <row r="269" spans="1:19" x14ac:dyDescent="0.6">
      <c r="A269" s="32"/>
      <c r="B269" s="34" t="s">
        <v>37</v>
      </c>
      <c r="C269" s="103"/>
      <c r="D269" s="103">
        <f>$C$259*D216*'Attachment 3'!E104</f>
        <v>60.523794040210007</v>
      </c>
      <c r="E269" s="103"/>
      <c r="F269" s="103"/>
      <c r="G269" s="103"/>
      <c r="H269" s="103"/>
      <c r="I269" s="103"/>
      <c r="J269" s="103"/>
      <c r="N269" s="17"/>
      <c r="O269" s="17"/>
      <c r="P269" s="17"/>
      <c r="Q269" s="17"/>
      <c r="R269" s="17"/>
      <c r="S269" s="17"/>
    </row>
    <row r="270" spans="1:19" x14ac:dyDescent="0.6">
      <c r="A270" s="32"/>
      <c r="B270" s="5" t="s">
        <v>45</v>
      </c>
      <c r="C270" s="103">
        <f t="shared" ref="C270:J270" si="56">$C$259*C217</f>
        <v>70.088210000000004</v>
      </c>
      <c r="D270" s="103">
        <f t="shared" si="56"/>
        <v>68.057616999999993</v>
      </c>
      <c r="E270" s="103">
        <f t="shared" si="56"/>
        <v>68.516137999999998</v>
      </c>
      <c r="F270" s="103">
        <f t="shared" si="56"/>
        <v>64.847970000000004</v>
      </c>
      <c r="G270" s="103">
        <f t="shared" si="56"/>
        <v>66.944066000000007</v>
      </c>
      <c r="H270" s="103">
        <f t="shared" si="56"/>
        <v>64.651460999999998</v>
      </c>
      <c r="I270" s="103">
        <f t="shared" si="56"/>
        <v>60.917790000000004</v>
      </c>
      <c r="J270" s="103">
        <f t="shared" si="56"/>
        <v>64.978976000000003</v>
      </c>
      <c r="N270" s="17"/>
      <c r="O270" s="17"/>
      <c r="P270" s="17"/>
      <c r="Q270" s="125"/>
      <c r="R270" s="125"/>
      <c r="S270" s="17"/>
    </row>
    <row r="271" spans="1:19" x14ac:dyDescent="0.6">
      <c r="A271" s="32"/>
      <c r="C271" s="151"/>
      <c r="D271" s="151"/>
      <c r="E271" s="151"/>
      <c r="F271" s="151"/>
      <c r="G271" s="151"/>
      <c r="H271" s="151"/>
      <c r="I271" s="151"/>
      <c r="J271" s="151"/>
      <c r="N271" s="17"/>
      <c r="O271" s="17"/>
      <c r="P271" s="17"/>
      <c r="Q271" s="126"/>
      <c r="R271" s="126"/>
      <c r="S271" s="17"/>
    </row>
    <row r="272" spans="1:19" x14ac:dyDescent="0.6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  <c r="P272" s="17"/>
      <c r="Q272" s="17"/>
      <c r="R272" s="17"/>
      <c r="S272" s="17"/>
    </row>
    <row r="273" spans="1:19" ht="12.75" customHeight="1" x14ac:dyDescent="0.6">
      <c r="A273" s="31" t="s">
        <v>96</v>
      </c>
      <c r="B273" s="16" t="s">
        <v>210</v>
      </c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  <c r="P273" s="17"/>
      <c r="Q273" s="17"/>
      <c r="R273" s="17"/>
      <c r="S273" s="17"/>
    </row>
    <row r="274" spans="1:19" x14ac:dyDescent="0.6">
      <c r="A274" s="32"/>
      <c r="B274" s="19" t="s">
        <v>266</v>
      </c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  <c r="P274" s="17"/>
      <c r="Q274" s="17"/>
      <c r="R274" s="17"/>
      <c r="S274" s="17"/>
    </row>
    <row r="275" spans="1:19" x14ac:dyDescent="0.6">
      <c r="A275" s="32"/>
      <c r="B275" s="19" t="s">
        <v>198</v>
      </c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  <c r="P275" s="17"/>
      <c r="Q275" s="17"/>
      <c r="R275" s="17"/>
      <c r="S275" s="17"/>
    </row>
    <row r="276" spans="1:19" x14ac:dyDescent="0.6">
      <c r="A276" s="32"/>
      <c r="B276" s="107" t="s">
        <v>199</v>
      </c>
      <c r="C276" s="17">
        <f>1/(1-(0.002482907+0.000530997))</f>
        <v>1.0030230150772332</v>
      </c>
      <c r="D276" s="17"/>
      <c r="E276" s="157"/>
      <c r="F276" s="17"/>
      <c r="G276" s="17"/>
      <c r="H276" s="17"/>
      <c r="I276" s="17"/>
      <c r="J276" s="17"/>
      <c r="K276" s="17"/>
      <c r="N276" s="17"/>
      <c r="O276" s="17"/>
      <c r="P276" s="17"/>
      <c r="Q276" s="17"/>
      <c r="R276" s="17"/>
      <c r="S276" s="17"/>
    </row>
    <row r="277" spans="1:19" x14ac:dyDescent="0.6">
      <c r="A277" s="32"/>
      <c r="B277" s="267" t="s">
        <v>274</v>
      </c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08"/>
      <c r="P277" s="17"/>
      <c r="Q277" s="17"/>
      <c r="R277" s="17"/>
      <c r="S277" s="17"/>
    </row>
    <row r="278" spans="1:19" x14ac:dyDescent="0.6">
      <c r="A278" s="32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  <c r="P278" s="17"/>
      <c r="Q278" s="17"/>
      <c r="R278" s="17"/>
      <c r="S278" s="17"/>
    </row>
    <row r="279" spans="1:19" x14ac:dyDescent="0.6">
      <c r="A279" s="32"/>
      <c r="B279" s="17"/>
      <c r="C279" s="20" t="s">
        <v>5</v>
      </c>
      <c r="D279" s="20" t="s">
        <v>119</v>
      </c>
      <c r="E279" s="20" t="s">
        <v>6</v>
      </c>
      <c r="F279" s="20" t="s">
        <v>7</v>
      </c>
      <c r="G279" s="20" t="s">
        <v>8</v>
      </c>
      <c r="H279" s="20" t="s">
        <v>9</v>
      </c>
      <c r="I279" s="20" t="s">
        <v>10</v>
      </c>
      <c r="J279" s="20" t="s">
        <v>11</v>
      </c>
      <c r="K279" s="17"/>
      <c r="N279" s="17"/>
      <c r="O279" s="17"/>
      <c r="P279" s="17"/>
      <c r="Q279" s="17"/>
      <c r="R279" s="17"/>
      <c r="S279" s="17"/>
    </row>
    <row r="280" spans="1:19" x14ac:dyDescent="0.6">
      <c r="A280" s="32"/>
      <c r="B280" s="22" t="s">
        <v>43</v>
      </c>
      <c r="C280" s="152"/>
      <c r="D280" s="152"/>
      <c r="E280" s="108">
        <f t="shared" ref="E280:J280" si="57">ROUND((E262*$C$276*1.06625)/1000,6)</f>
        <v>7.4414999999999995E-2</v>
      </c>
      <c r="F280" s="108">
        <f t="shared" si="57"/>
        <v>7.0335999999999996E-2</v>
      </c>
      <c r="G280" s="108">
        <f t="shared" si="57"/>
        <v>7.2697999999999999E-2</v>
      </c>
      <c r="H280" s="108">
        <f t="shared" si="57"/>
        <v>6.9477999999999998E-2</v>
      </c>
      <c r="I280" s="108">
        <f t="shared" si="57"/>
        <v>6.3825000000000007E-2</v>
      </c>
      <c r="J280" s="108">
        <f t="shared" si="57"/>
        <v>7.0407999999999998E-2</v>
      </c>
      <c r="K280" s="17"/>
    </row>
    <row r="281" spans="1:19" x14ac:dyDescent="0.6">
      <c r="A281" s="32"/>
      <c r="B281" s="109" t="s">
        <v>114</v>
      </c>
      <c r="C281" s="152"/>
      <c r="D281" s="108">
        <f>ROUND((D263*$C$276*1.06625)/1000,6)</f>
        <v>8.8439000000000004E-2</v>
      </c>
      <c r="E281" s="108"/>
      <c r="F281" s="108"/>
      <c r="G281" s="108"/>
      <c r="H281" s="108"/>
      <c r="I281" s="108"/>
      <c r="J281" s="153"/>
      <c r="K281" s="17"/>
    </row>
    <row r="282" spans="1:19" x14ac:dyDescent="0.6">
      <c r="A282" s="32"/>
      <c r="B282" s="109" t="s">
        <v>37</v>
      </c>
      <c r="C282" s="152"/>
      <c r="D282" s="108">
        <f>ROUND((D264*$C$276*1.06625)/1000,6)</f>
        <v>6.1463999999999998E-2</v>
      </c>
      <c r="E282" s="108"/>
      <c r="F282" s="108"/>
      <c r="G282" s="108"/>
      <c r="H282" s="108"/>
      <c r="I282" s="108"/>
      <c r="J282" s="153"/>
      <c r="K282" s="17"/>
    </row>
    <row r="283" spans="1:19" x14ac:dyDescent="0.6">
      <c r="A283" s="32"/>
      <c r="B283" s="72" t="s">
        <v>68</v>
      </c>
      <c r="C283" s="108">
        <f>ROUND((C265*$C$276*1.06625)/1000,6)</f>
        <v>7.0914000000000005E-2</v>
      </c>
      <c r="D283" s="108"/>
      <c r="E283" s="108"/>
      <c r="F283" s="108"/>
      <c r="G283" s="108"/>
      <c r="H283" s="108"/>
      <c r="I283" s="108"/>
      <c r="J283" s="17"/>
      <c r="K283" s="17"/>
    </row>
    <row r="284" spans="1:19" x14ac:dyDescent="0.6">
      <c r="A284" s="32"/>
      <c r="B284" s="72" t="s">
        <v>69</v>
      </c>
      <c r="C284" s="108">
        <f>ROUND((C266*$C$276*1.06625)/1000,6)</f>
        <v>8.0366000000000007E-2</v>
      </c>
      <c r="D284" s="108"/>
      <c r="E284" s="108"/>
      <c r="F284" s="108"/>
      <c r="G284" s="108"/>
      <c r="H284" s="108"/>
      <c r="I284" s="108"/>
      <c r="J284" s="17"/>
      <c r="K284" s="17"/>
    </row>
    <row r="285" spans="1:19" x14ac:dyDescent="0.6">
      <c r="A285" s="32"/>
      <c r="B285" s="22" t="s">
        <v>44</v>
      </c>
      <c r="C285" s="108">
        <f>ROUND((C267*$C$276*1.06625)/1000,6)</f>
        <v>7.5436000000000003E-2</v>
      </c>
      <c r="D285" s="108"/>
      <c r="E285" s="108">
        <f t="shared" ref="E285:J285" si="58">ROUND((E267*$C$276*1.06625)/1000,6)</f>
        <v>7.2535000000000002E-2</v>
      </c>
      <c r="F285" s="108">
        <f t="shared" si="58"/>
        <v>6.8666000000000005E-2</v>
      </c>
      <c r="G285" s="108">
        <f t="shared" si="58"/>
        <v>7.0876999999999996E-2</v>
      </c>
      <c r="H285" s="108">
        <f t="shared" si="58"/>
        <v>6.8666000000000005E-2</v>
      </c>
      <c r="I285" s="108">
        <f t="shared" si="58"/>
        <v>6.5419000000000005E-2</v>
      </c>
      <c r="J285" s="108">
        <f t="shared" si="58"/>
        <v>6.8873000000000004E-2</v>
      </c>
      <c r="K285" s="17"/>
    </row>
    <row r="286" spans="1:19" x14ac:dyDescent="0.6">
      <c r="A286" s="32"/>
      <c r="B286" s="109" t="s">
        <v>114</v>
      </c>
      <c r="C286" s="108"/>
      <c r="D286" s="108">
        <f>ROUND((D268*$C$276*1.06625)/1000,6)</f>
        <v>8.8423000000000002E-2</v>
      </c>
      <c r="E286" s="108"/>
      <c r="F286" s="108"/>
      <c r="G286" s="108"/>
      <c r="H286" s="108"/>
      <c r="I286" s="108"/>
      <c r="J286" s="153"/>
      <c r="K286" s="17"/>
    </row>
    <row r="287" spans="1:19" x14ac:dyDescent="0.6">
      <c r="A287" s="32"/>
      <c r="B287" s="109" t="s">
        <v>37</v>
      </c>
      <c r="C287" s="108"/>
      <c r="D287" s="108">
        <f>ROUND((D269*$C$276*1.06625)/1000,6)</f>
        <v>6.4728999999999995E-2</v>
      </c>
      <c r="E287" s="108"/>
      <c r="F287" s="108"/>
      <c r="G287" s="108"/>
      <c r="H287" s="108"/>
      <c r="I287" s="108"/>
      <c r="J287" s="153"/>
      <c r="K287" s="17"/>
    </row>
    <row r="288" spans="1:19" x14ac:dyDescent="0.6">
      <c r="A288" s="32"/>
      <c r="B288" s="17" t="s">
        <v>45</v>
      </c>
      <c r="C288" s="108">
        <f>ROUND((C270*$C$276*1.06625)/1000,6)</f>
        <v>7.4956999999999996E-2</v>
      </c>
      <c r="D288" s="108">
        <f>ROUND((D270*$C$276*1.06625)/1000,6)</f>
        <v>7.2786000000000003E-2</v>
      </c>
      <c r="E288" s="108">
        <f t="shared" ref="E288:J288" si="59">ROUND((E270*$C$276*1.06625)/1000,6)</f>
        <v>7.3275999999999994E-2</v>
      </c>
      <c r="F288" s="108">
        <f t="shared" si="59"/>
        <v>6.9352999999999998E-2</v>
      </c>
      <c r="G288" s="108">
        <f t="shared" si="59"/>
        <v>7.1595000000000006E-2</v>
      </c>
      <c r="H288" s="108">
        <f t="shared" si="59"/>
        <v>6.9142999999999996E-2</v>
      </c>
      <c r="I288" s="108">
        <f t="shared" si="59"/>
        <v>6.515E-2</v>
      </c>
      <c r="J288" s="108">
        <f t="shared" si="59"/>
        <v>6.9492999999999999E-2</v>
      </c>
      <c r="K288" s="17"/>
    </row>
    <row r="289" spans="3:10" x14ac:dyDescent="0.6">
      <c r="C289" s="127"/>
    </row>
    <row r="290" spans="3:10" x14ac:dyDescent="0.6">
      <c r="C290" s="127"/>
    </row>
    <row r="291" spans="3:10" x14ac:dyDescent="0.6">
      <c r="C291" s="17"/>
      <c r="D291" s="173"/>
      <c r="E291" s="108"/>
      <c r="F291" s="108"/>
      <c r="G291" s="108"/>
      <c r="H291" s="108"/>
      <c r="I291" s="108"/>
      <c r="J291" s="108"/>
    </row>
    <row r="292" spans="3:10" x14ac:dyDescent="0.6">
      <c r="C292" s="129"/>
      <c r="E292" s="108"/>
    </row>
    <row r="293" spans="3:10" x14ac:dyDescent="0.6">
      <c r="C293" s="108"/>
      <c r="E293" s="108"/>
    </row>
    <row r="294" spans="3:10" x14ac:dyDescent="0.6">
      <c r="C294" s="108"/>
      <c r="E294" s="108"/>
      <c r="F294" s="108"/>
      <c r="G294" s="108"/>
      <c r="H294" s="108"/>
      <c r="I294" s="108"/>
      <c r="J294" s="108"/>
    </row>
    <row r="295" spans="3:10" x14ac:dyDescent="0.6">
      <c r="C295" s="108"/>
      <c r="D295" s="101"/>
      <c r="E295" s="108"/>
    </row>
    <row r="296" spans="3:10" x14ac:dyDescent="0.6">
      <c r="D296" s="101"/>
      <c r="E296" s="108"/>
      <c r="F296" s="108"/>
      <c r="G296" s="108"/>
      <c r="H296" s="108"/>
      <c r="I296" s="108"/>
      <c r="J296" s="108"/>
    </row>
    <row r="301" spans="3:10" x14ac:dyDescent="0.6">
      <c r="D301" s="127"/>
    </row>
    <row r="302" spans="3:10" x14ac:dyDescent="0.6">
      <c r="D302" s="127"/>
    </row>
    <row r="303" spans="3:10" x14ac:dyDescent="0.6">
      <c r="D303" s="127"/>
    </row>
    <row r="304" spans="3:10" x14ac:dyDescent="0.6">
      <c r="D304" s="127"/>
    </row>
    <row r="305" spans="4:4" x14ac:dyDescent="0.6">
      <c r="D305" s="127"/>
    </row>
    <row r="306" spans="4:4" x14ac:dyDescent="0.6">
      <c r="D306" s="127"/>
    </row>
    <row r="307" spans="4:4" x14ac:dyDescent="0.6">
      <c r="D307" s="127"/>
    </row>
    <row r="308" spans="4:4" x14ac:dyDescent="0.6">
      <c r="D308" s="127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2023 - May 2024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zoomScaleNormal="100" workbookViewId="0"/>
  </sheetViews>
  <sheetFormatPr defaultColWidth="9.1328125" defaultRowHeight="13" x14ac:dyDescent="0.6"/>
  <cols>
    <col min="1" max="1" width="12.86328125" style="5" customWidth="1"/>
    <col min="2" max="2" width="44.1328125" style="5" customWidth="1"/>
    <col min="3" max="5" width="13.1328125" style="5" customWidth="1"/>
    <col min="6" max="6" width="11.86328125" style="5" customWidth="1"/>
    <col min="7" max="8" width="10.7265625" style="5" customWidth="1"/>
    <col min="9" max="9" width="11" style="5" customWidth="1"/>
    <col min="10" max="10" width="11.54296875" style="5" customWidth="1"/>
    <col min="11" max="11" width="10.7265625" style="5" customWidth="1"/>
    <col min="12" max="12" width="14.26953125" style="5" bestFit="1" customWidth="1"/>
    <col min="13" max="13" width="15" style="5" customWidth="1"/>
    <col min="14" max="14" width="23.26953125" style="5" customWidth="1"/>
    <col min="15" max="16" width="14.54296875" style="5" bestFit="1" customWidth="1"/>
    <col min="17" max="17" width="15.40625" style="5" customWidth="1"/>
    <col min="18" max="18" width="11.54296875" style="5" bestFit="1" customWidth="1"/>
    <col min="19" max="19" width="10" style="5" bestFit="1" customWidth="1"/>
    <col min="20" max="20" width="11.40625" style="5" bestFit="1" customWidth="1"/>
    <col min="21" max="21" width="9.1328125" style="5"/>
    <col min="22" max="22" width="12.26953125" style="5" bestFit="1" customWidth="1"/>
    <col min="23" max="23" width="9.1328125" style="5"/>
    <col min="24" max="24" width="11.26953125" style="5" bestFit="1" customWidth="1"/>
    <col min="25" max="16384" width="9.1328125" style="5"/>
  </cols>
  <sheetData>
    <row r="1" spans="1:17" x14ac:dyDescent="0.6">
      <c r="A1" s="3" t="s">
        <v>205</v>
      </c>
    </row>
    <row r="2" spans="1:17" x14ac:dyDescent="0.6">
      <c r="A2" s="129" t="s">
        <v>267</v>
      </c>
    </row>
    <row r="3" spans="1:17" x14ac:dyDescent="0.6">
      <c r="A3" s="129" t="s">
        <v>292</v>
      </c>
    </row>
    <row r="5" spans="1:17" x14ac:dyDescent="0.6">
      <c r="A5" s="31" t="s">
        <v>194</v>
      </c>
      <c r="B5" s="3" t="s">
        <v>195</v>
      </c>
    </row>
    <row r="6" spans="1:17" ht="52.75" x14ac:dyDescent="0.75">
      <c r="A6" s="53" t="s">
        <v>142</v>
      </c>
      <c r="B6" s="3" t="s">
        <v>143</v>
      </c>
      <c r="C6" s="130" t="s">
        <v>279</v>
      </c>
      <c r="D6" s="130" t="s">
        <v>293</v>
      </c>
      <c r="E6" s="130" t="s">
        <v>294</v>
      </c>
      <c r="G6" s="130" t="s">
        <v>144</v>
      </c>
      <c r="M6" s="265"/>
      <c r="N6" s="259"/>
      <c r="O6" s="259"/>
      <c r="P6" s="259"/>
      <c r="Q6" s="259"/>
    </row>
    <row r="7" spans="1:17" x14ac:dyDescent="0.6">
      <c r="M7" s="21"/>
      <c r="N7" s="17"/>
      <c r="O7" s="17"/>
      <c r="P7" s="17"/>
      <c r="Q7" s="17"/>
    </row>
    <row r="8" spans="1:17" x14ac:dyDescent="0.6">
      <c r="A8" s="53">
        <v>1</v>
      </c>
      <c r="B8" s="5" t="s">
        <v>145</v>
      </c>
      <c r="C8" s="6">
        <v>64.2</v>
      </c>
      <c r="D8" s="270">
        <v>75.569999999999993</v>
      </c>
      <c r="E8" s="270">
        <v>75.569999999999993</v>
      </c>
      <c r="F8" s="101"/>
      <c r="G8" s="5" t="s">
        <v>146</v>
      </c>
      <c r="M8" s="21"/>
      <c r="N8" s="17"/>
      <c r="O8" s="260"/>
      <c r="P8" s="260"/>
      <c r="Q8" s="260"/>
    </row>
    <row r="9" spans="1:17" x14ac:dyDescent="0.6">
      <c r="A9" s="173" t="s">
        <v>268</v>
      </c>
      <c r="B9" s="5" t="s">
        <v>271</v>
      </c>
      <c r="C9" s="6">
        <f>'Attachment 4 Pg1'!C21</f>
        <v>-11.87</v>
      </c>
      <c r="D9" s="6">
        <f>'Attachment 4 Pg1'!D21</f>
        <v>-8.4</v>
      </c>
      <c r="E9" s="271"/>
      <c r="F9" s="101"/>
      <c r="G9" s="129" t="s">
        <v>288</v>
      </c>
      <c r="M9" s="21"/>
      <c r="N9" s="17"/>
      <c r="O9" s="261"/>
      <c r="P9" s="261"/>
      <c r="Q9" s="261"/>
    </row>
    <row r="10" spans="1:17" x14ac:dyDescent="0.6">
      <c r="A10" s="173" t="s">
        <v>226</v>
      </c>
      <c r="B10" s="268" t="s">
        <v>225</v>
      </c>
      <c r="C10" s="6">
        <f>C8+C9</f>
        <v>52.330000000000005</v>
      </c>
      <c r="D10" s="6">
        <f>D8+D9</f>
        <v>67.169999999999987</v>
      </c>
      <c r="E10" s="6">
        <f>E8+E9</f>
        <v>75.569999999999993</v>
      </c>
      <c r="F10" s="101"/>
      <c r="G10" s="164" t="s">
        <v>295</v>
      </c>
      <c r="M10" s="21"/>
      <c r="N10" s="17"/>
      <c r="O10" s="262"/>
      <c r="P10" s="262"/>
      <c r="Q10" s="262"/>
    </row>
    <row r="11" spans="1:17" x14ac:dyDescent="0.6">
      <c r="A11" s="53"/>
      <c r="C11" s="6"/>
      <c r="D11" s="6"/>
      <c r="E11" s="6"/>
      <c r="F11" s="101"/>
      <c r="M11" s="21"/>
      <c r="N11" s="17"/>
      <c r="O11" s="263"/>
      <c r="P11" s="263"/>
      <c r="Q11" s="263"/>
    </row>
    <row r="12" spans="1:17" x14ac:dyDescent="0.6">
      <c r="A12" s="53">
        <v>2</v>
      </c>
      <c r="B12" s="257" t="s">
        <v>247</v>
      </c>
      <c r="C12" s="42">
        <v>7</v>
      </c>
      <c r="D12" s="42">
        <v>7</v>
      </c>
      <c r="E12" s="42">
        <v>8</v>
      </c>
      <c r="G12" s="5" t="s">
        <v>147</v>
      </c>
      <c r="M12" s="21"/>
      <c r="N12" s="17"/>
      <c r="O12" s="264"/>
      <c r="P12" s="264"/>
      <c r="Q12" s="264"/>
    </row>
    <row r="13" spans="1:17" x14ac:dyDescent="0.6">
      <c r="A13" s="53">
        <v>3</v>
      </c>
      <c r="B13" s="129" t="s">
        <v>248</v>
      </c>
      <c r="C13" s="42">
        <v>22</v>
      </c>
      <c r="D13" s="42">
        <v>22</v>
      </c>
      <c r="E13" s="42">
        <f>+D13</f>
        <v>22</v>
      </c>
      <c r="G13" s="5" t="s">
        <v>147</v>
      </c>
      <c r="M13" s="21"/>
      <c r="N13" s="17"/>
      <c r="O13" s="264"/>
      <c r="P13" s="264"/>
      <c r="Q13" s="264"/>
    </row>
    <row r="14" spans="1:17" x14ac:dyDescent="0.6">
      <c r="A14" s="53"/>
      <c r="C14" s="131"/>
      <c r="D14" s="131"/>
      <c r="E14" s="131"/>
      <c r="M14" s="21"/>
      <c r="N14" s="16"/>
      <c r="O14" s="80"/>
      <c r="P14" s="80"/>
      <c r="Q14" s="80"/>
    </row>
    <row r="15" spans="1:17" x14ac:dyDescent="0.6">
      <c r="A15" s="53"/>
      <c r="B15" s="5" t="s">
        <v>148</v>
      </c>
    </row>
    <row r="16" spans="1:17" x14ac:dyDescent="0.6">
      <c r="A16" s="53">
        <v>4</v>
      </c>
      <c r="B16" s="132" t="s">
        <v>149</v>
      </c>
      <c r="C16" s="78">
        <v>1</v>
      </c>
      <c r="D16" s="78">
        <v>1</v>
      </c>
      <c r="E16" s="133">
        <f>'Attachment 2'!M238</f>
        <v>1</v>
      </c>
      <c r="G16" s="5" t="s">
        <v>150</v>
      </c>
    </row>
    <row r="17" spans="1:15" x14ac:dyDescent="0.6">
      <c r="A17" s="53">
        <v>5</v>
      </c>
      <c r="B17" s="132" t="s">
        <v>151</v>
      </c>
      <c r="C17" s="78">
        <v>1</v>
      </c>
      <c r="D17" s="78">
        <v>1</v>
      </c>
      <c r="E17" s="133">
        <f>'Attachment 2'!M239</f>
        <v>1</v>
      </c>
      <c r="G17" s="5" t="s">
        <v>150</v>
      </c>
      <c r="K17" s="78"/>
    </row>
    <row r="18" spans="1:15" x14ac:dyDescent="0.6">
      <c r="A18" s="53"/>
      <c r="K18" s="78"/>
    </row>
    <row r="19" spans="1:15" x14ac:dyDescent="0.6">
      <c r="A19" s="53"/>
      <c r="B19" s="5" t="s">
        <v>152</v>
      </c>
    </row>
    <row r="20" spans="1:15" x14ac:dyDescent="0.6">
      <c r="A20" s="53">
        <v>6</v>
      </c>
      <c r="B20" s="5" t="s">
        <v>153</v>
      </c>
      <c r="C20" s="43">
        <f>SUMPRODUCT('Attachment 2'!O$48:V$48,'Attachment 2'!C$84:J$84)</f>
        <v>2497011.763587791</v>
      </c>
      <c r="D20" s="43"/>
      <c r="E20" s="44"/>
      <c r="G20" s="5" t="s">
        <v>154</v>
      </c>
    </row>
    <row r="21" spans="1:15" x14ac:dyDescent="0.6">
      <c r="A21" s="53">
        <v>7</v>
      </c>
      <c r="B21" s="5" t="s">
        <v>155</v>
      </c>
      <c r="C21" s="43">
        <f>SUMPRODUCT('Attachment 2'!O$45:V$45,'Attachment 2'!C$84:J$84)</f>
        <v>3617698.8067957303</v>
      </c>
      <c r="D21" s="43"/>
      <c r="E21" s="44"/>
    </row>
    <row r="22" spans="1:15" x14ac:dyDescent="0.6">
      <c r="A22" s="53"/>
      <c r="D22" s="37"/>
    </row>
    <row r="23" spans="1:15" x14ac:dyDescent="0.6">
      <c r="A23" s="53"/>
      <c r="B23" s="5" t="s">
        <v>156</v>
      </c>
    </row>
    <row r="24" spans="1:15" x14ac:dyDescent="0.6">
      <c r="A24" s="53">
        <v>8</v>
      </c>
      <c r="B24" s="132" t="s">
        <v>149</v>
      </c>
      <c r="C24" s="54">
        <f t="shared" ref="C24:E25" si="0">((+C$8+C$9)*C$12/C$13*C16*$C20/1000)</f>
        <v>41576.380869083805</v>
      </c>
      <c r="D24" s="54">
        <f t="shared" si="0"/>
        <v>53366.816414606517</v>
      </c>
      <c r="E24" s="54">
        <f t="shared" si="0"/>
        <v>68617.88326339249</v>
      </c>
      <c r="G24" s="287" t="s">
        <v>296</v>
      </c>
      <c r="M24" s="54"/>
      <c r="N24" s="54"/>
      <c r="O24" s="54"/>
    </row>
    <row r="25" spans="1:15" x14ac:dyDescent="0.6">
      <c r="A25" s="53">
        <v>9</v>
      </c>
      <c r="B25" s="132" t="s">
        <v>151</v>
      </c>
      <c r="C25" s="166">
        <f t="shared" si="0"/>
        <v>60236.329541697458</v>
      </c>
      <c r="D25" s="166">
        <f t="shared" si="0"/>
        <v>77318.445543967464</v>
      </c>
      <c r="E25" s="166">
        <f t="shared" si="0"/>
        <v>99414.363210746655</v>
      </c>
      <c r="G25" s="287" t="s">
        <v>297</v>
      </c>
      <c r="M25" s="286"/>
      <c r="N25" s="286"/>
      <c r="O25" s="286"/>
    </row>
    <row r="26" spans="1:15" x14ac:dyDescent="0.6">
      <c r="A26" s="53">
        <v>10</v>
      </c>
      <c r="B26" s="5" t="s">
        <v>157</v>
      </c>
      <c r="C26" s="40">
        <f>+C25+C24</f>
        <v>101812.71041078126</v>
      </c>
      <c r="D26" s="40">
        <f>+D25+D24</f>
        <v>130685.26195857397</v>
      </c>
      <c r="E26" s="40">
        <f>+E25+E24</f>
        <v>168032.24647413916</v>
      </c>
      <c r="M26" s="61"/>
      <c r="N26" s="61"/>
      <c r="O26" s="61"/>
    </row>
    <row r="27" spans="1:15" x14ac:dyDescent="0.6">
      <c r="A27" s="53"/>
      <c r="M27" s="17"/>
      <c r="N27" s="17"/>
      <c r="O27" s="17"/>
    </row>
    <row r="28" spans="1:15" x14ac:dyDescent="0.6">
      <c r="A28" s="53"/>
      <c r="B28" s="5" t="s">
        <v>158</v>
      </c>
    </row>
    <row r="29" spans="1:15" x14ac:dyDescent="0.6">
      <c r="A29" s="53">
        <v>11</v>
      </c>
      <c r="B29" s="132" t="s">
        <v>149</v>
      </c>
      <c r="C29" s="134">
        <f>ROUND(+SUM(C24:E24)/C20*1000,3)</f>
        <v>65.503</v>
      </c>
      <c r="D29" s="102"/>
      <c r="G29" s="164" t="s">
        <v>219</v>
      </c>
    </row>
    <row r="30" spans="1:15" x14ac:dyDescent="0.6">
      <c r="A30" s="53">
        <v>12</v>
      </c>
      <c r="B30" s="132" t="s">
        <v>151</v>
      </c>
      <c r="C30" s="122">
        <f>ROUND(+SUM(C25:E25)/C21*1000,3)</f>
        <v>65.503</v>
      </c>
      <c r="G30" s="164" t="s">
        <v>220</v>
      </c>
    </row>
    <row r="31" spans="1:15" x14ac:dyDescent="0.6">
      <c r="A31" s="53"/>
      <c r="B31" s="132"/>
      <c r="C31" s="135"/>
      <c r="G31" s="98"/>
    </row>
    <row r="32" spans="1:15" x14ac:dyDescent="0.6">
      <c r="A32" s="53">
        <v>13</v>
      </c>
      <c r="B32" s="5" t="s">
        <v>159</v>
      </c>
      <c r="C32" s="136">
        <f>ROUND(+SUM(C26:E26)/(C20+C21)*1000,3)</f>
        <v>65.503</v>
      </c>
      <c r="D32" s="5" t="s">
        <v>160</v>
      </c>
      <c r="G32" s="164" t="s">
        <v>221</v>
      </c>
    </row>
    <row r="33" spans="1:11" x14ac:dyDescent="0.6">
      <c r="D33" s="5" t="s">
        <v>161</v>
      </c>
      <c r="G33" s="5" t="s">
        <v>162</v>
      </c>
    </row>
    <row r="34" spans="1:11" x14ac:dyDescent="0.6">
      <c r="C34" s="102"/>
    </row>
    <row r="35" spans="1:11" x14ac:dyDescent="0.6">
      <c r="B35" s="26" t="s">
        <v>163</v>
      </c>
      <c r="D35" s="102"/>
    </row>
    <row r="36" spans="1:11" x14ac:dyDescent="0.6">
      <c r="A36" s="53">
        <v>14</v>
      </c>
      <c r="B36" s="7" t="s">
        <v>164</v>
      </c>
      <c r="C36" s="40">
        <f>(C32*(C21+C20))/1000</f>
        <v>400531.8864918318</v>
      </c>
      <c r="D36" s="102"/>
      <c r="G36" s="164" t="s">
        <v>222</v>
      </c>
    </row>
    <row r="37" spans="1:11" ht="15.25" x14ac:dyDescent="1.05">
      <c r="A37" s="53">
        <v>15</v>
      </c>
      <c r="B37" s="7" t="s">
        <v>165</v>
      </c>
      <c r="C37" s="56">
        <f>SUM(C26:E26)</f>
        <v>400530.21884349443</v>
      </c>
      <c r="D37" s="102"/>
      <c r="G37" s="164" t="s">
        <v>223</v>
      </c>
    </row>
    <row r="38" spans="1:11" x14ac:dyDescent="0.6">
      <c r="A38" s="53">
        <v>16</v>
      </c>
      <c r="B38" s="7" t="s">
        <v>166</v>
      </c>
      <c r="C38" s="54">
        <f>+C36-C37</f>
        <v>1.6676483373739757</v>
      </c>
      <c r="D38" s="102"/>
      <c r="G38" s="164" t="s">
        <v>224</v>
      </c>
    </row>
    <row r="39" spans="1:11" x14ac:dyDescent="0.6">
      <c r="B39" s="7"/>
      <c r="D39" s="102"/>
    </row>
    <row r="41" spans="1:11" x14ac:dyDescent="0.6">
      <c r="A41" s="31" t="s">
        <v>196</v>
      </c>
      <c r="B41" s="3" t="s">
        <v>276</v>
      </c>
      <c r="G41" s="4" t="s">
        <v>167</v>
      </c>
    </row>
    <row r="42" spans="1:11" x14ac:dyDescent="0.6">
      <c r="A42" s="32"/>
      <c r="B42" s="3"/>
      <c r="G42" s="4" t="s">
        <v>185</v>
      </c>
    </row>
    <row r="43" spans="1:11" x14ac:dyDescent="0.6">
      <c r="B43" s="3"/>
    </row>
    <row r="44" spans="1:11" x14ac:dyDescent="0.6">
      <c r="B44" s="4" t="s">
        <v>256</v>
      </c>
    </row>
    <row r="45" spans="1:11" x14ac:dyDescent="0.6">
      <c r="B45" s="3"/>
    </row>
    <row r="46" spans="1:11" x14ac:dyDescent="0.6">
      <c r="C46" s="27" t="s">
        <v>5</v>
      </c>
      <c r="D46" s="27" t="s">
        <v>119</v>
      </c>
      <c r="E46" s="27" t="s">
        <v>6</v>
      </c>
      <c r="F46" s="27" t="s">
        <v>7</v>
      </c>
      <c r="G46" s="27" t="s">
        <v>8</v>
      </c>
      <c r="H46" s="27" t="s">
        <v>9</v>
      </c>
      <c r="I46" s="27" t="s">
        <v>10</v>
      </c>
      <c r="J46" s="27" t="s">
        <v>11</v>
      </c>
      <c r="K46" s="27"/>
    </row>
    <row r="47" spans="1:11" x14ac:dyDescent="0.6">
      <c r="C47" s="27"/>
      <c r="D47" s="27"/>
      <c r="E47" s="27"/>
      <c r="F47" s="27"/>
      <c r="G47" s="27"/>
    </row>
    <row r="48" spans="1:11" x14ac:dyDescent="0.6">
      <c r="B48" s="33" t="s">
        <v>43</v>
      </c>
      <c r="D48" s="165">
        <f>'Attachment 2'!D207</f>
        <v>1.0820000000000001</v>
      </c>
      <c r="E48" s="165">
        <f>'Attachment 2'!E207</f>
        <v>1.04</v>
      </c>
      <c r="F48" s="165">
        <f>'Attachment 2'!F207</f>
        <v>0.98299999999999998</v>
      </c>
      <c r="G48" s="165">
        <f>'Attachment 2'!G207</f>
        <v>1.016</v>
      </c>
      <c r="H48" s="165">
        <f>'Attachment 2'!H207</f>
        <v>0.97099999999999997</v>
      </c>
      <c r="I48" s="165">
        <f>'Attachment 2'!I207</f>
        <v>0.89200000000000002</v>
      </c>
      <c r="J48" s="165">
        <f>'Attachment 2'!J207</f>
        <v>0.98399999999999999</v>
      </c>
      <c r="K48" s="45"/>
    </row>
    <row r="49" spans="2:13" x14ac:dyDescent="0.6">
      <c r="B49" s="34" t="s">
        <v>114</v>
      </c>
      <c r="D49" s="165">
        <f>'Attachment 2'!D208</f>
        <v>1.236</v>
      </c>
      <c r="E49" s="3"/>
      <c r="F49" s="3"/>
      <c r="G49" s="3"/>
      <c r="H49" s="3"/>
      <c r="I49" s="3"/>
      <c r="J49" s="3"/>
      <c r="K49" s="45"/>
      <c r="L49" s="45"/>
      <c r="M49" s="45"/>
    </row>
    <row r="50" spans="2:13" x14ac:dyDescent="0.6">
      <c r="B50" s="34" t="s">
        <v>37</v>
      </c>
      <c r="D50" s="165">
        <f>'Attachment 2'!D209</f>
        <v>0.85899999999999999</v>
      </c>
      <c r="E50" s="3"/>
      <c r="F50" s="3"/>
      <c r="G50" s="3"/>
      <c r="H50" s="3"/>
      <c r="I50" s="3"/>
      <c r="J50" s="3"/>
      <c r="K50" s="48"/>
      <c r="L50" s="45"/>
      <c r="M50" s="45"/>
    </row>
    <row r="51" spans="2:13" x14ac:dyDescent="0.6">
      <c r="E51" s="24"/>
      <c r="F51" s="46"/>
      <c r="G51" s="46"/>
      <c r="L51" s="45"/>
      <c r="M51" s="45"/>
    </row>
    <row r="52" spans="2:13" x14ac:dyDescent="0.6">
      <c r="B52" s="14" t="s">
        <v>82</v>
      </c>
      <c r="C52" s="29">
        <f>'Attachment 2'!C210</f>
        <v>1.04</v>
      </c>
      <c r="D52" s="29"/>
      <c r="E52" s="24"/>
      <c r="F52" s="46"/>
      <c r="G52" s="46"/>
      <c r="H52" s="46"/>
      <c r="I52" s="46"/>
      <c r="J52" s="46"/>
      <c r="K52" s="45"/>
      <c r="L52" s="45"/>
      <c r="M52" s="45"/>
    </row>
    <row r="53" spans="2:13" x14ac:dyDescent="0.6">
      <c r="B53" s="14" t="s">
        <v>83</v>
      </c>
      <c r="C53" s="29">
        <f>'Attachment 2'!C211</f>
        <v>-3.2045090981147126</v>
      </c>
      <c r="D53" s="29"/>
      <c r="E53" s="41" t="s">
        <v>84</v>
      </c>
      <c r="F53" s="46"/>
      <c r="G53" s="46"/>
      <c r="H53" s="46"/>
      <c r="I53" s="46"/>
      <c r="J53" s="46"/>
      <c r="K53" s="45"/>
      <c r="L53" s="45"/>
      <c r="M53" s="45"/>
    </row>
    <row r="54" spans="2:13" x14ac:dyDescent="0.6">
      <c r="B54" s="14" t="s">
        <v>83</v>
      </c>
      <c r="C54" s="29">
        <f>'Attachment 2'!C212</f>
        <v>5.4474909018852884</v>
      </c>
      <c r="D54" s="29"/>
      <c r="E54" s="41" t="s">
        <v>85</v>
      </c>
      <c r="F54" s="46"/>
      <c r="G54" s="46"/>
      <c r="H54" s="46"/>
      <c r="I54" s="46"/>
      <c r="J54" s="46"/>
      <c r="K54" s="45"/>
      <c r="L54" s="45"/>
      <c r="M54" s="45"/>
    </row>
    <row r="55" spans="2:13" x14ac:dyDescent="0.6">
      <c r="G55" s="46"/>
      <c r="H55" s="46"/>
      <c r="I55" s="46"/>
      <c r="J55" s="46"/>
      <c r="K55" s="45"/>
      <c r="L55" s="45"/>
      <c r="M55" s="45"/>
    </row>
    <row r="56" spans="2:13" x14ac:dyDescent="0.6">
      <c r="H56" s="46"/>
      <c r="I56" s="46"/>
      <c r="J56" s="46"/>
      <c r="K56" s="45"/>
      <c r="L56" s="45"/>
      <c r="M56" s="45"/>
    </row>
    <row r="57" spans="2:13" x14ac:dyDescent="0.6"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5"/>
    </row>
    <row r="58" spans="2:13" x14ac:dyDescent="0.6">
      <c r="B58" s="33" t="s">
        <v>44</v>
      </c>
      <c r="C58" s="29">
        <f>'Attachment 2'!C214</f>
        <v>1.0920000000000001</v>
      </c>
      <c r="D58" s="29">
        <f>'Attachment 2'!D214</f>
        <v>1.1870000000000001</v>
      </c>
      <c r="E58" s="29">
        <f>'Attachment 2'!E214</f>
        <v>1.05</v>
      </c>
      <c r="F58" s="29">
        <f>'Attachment 2'!F214</f>
        <v>0.99399999999999999</v>
      </c>
      <c r="G58" s="29">
        <f>'Attachment 2'!G214</f>
        <v>1.026</v>
      </c>
      <c r="H58" s="29">
        <f>'Attachment 2'!H214</f>
        <v>0.99399999999999999</v>
      </c>
      <c r="I58" s="29">
        <f>'Attachment 2'!I214</f>
        <v>0.94699999999999995</v>
      </c>
      <c r="J58" s="29">
        <f>'Attachment 2'!J214</f>
        <v>0.997</v>
      </c>
      <c r="K58" s="45"/>
      <c r="L58" s="45"/>
      <c r="M58" s="45"/>
    </row>
    <row r="59" spans="2:13" x14ac:dyDescent="0.6">
      <c r="B59" s="34" t="s">
        <v>114</v>
      </c>
      <c r="C59" s="29"/>
      <c r="D59" s="29">
        <f>'Attachment 2'!D215</f>
        <v>1.28</v>
      </c>
      <c r="E59" s="29"/>
      <c r="F59" s="29"/>
      <c r="G59" s="29"/>
      <c r="H59" s="29"/>
      <c r="I59" s="29"/>
      <c r="J59" s="29"/>
      <c r="K59" s="45"/>
      <c r="L59" s="45"/>
      <c r="M59" s="45"/>
    </row>
    <row r="60" spans="2:13" x14ac:dyDescent="0.6">
      <c r="B60" s="34" t="s">
        <v>37</v>
      </c>
      <c r="C60" s="29"/>
      <c r="D60" s="29">
        <f>'Attachment 2'!D216</f>
        <v>0.93700000000000006</v>
      </c>
      <c r="E60" s="29"/>
      <c r="F60" s="29"/>
      <c r="G60" s="29"/>
      <c r="H60" s="29"/>
      <c r="I60" s="29"/>
      <c r="J60" s="29"/>
      <c r="K60" s="48"/>
      <c r="L60" s="45"/>
      <c r="M60" s="45"/>
    </row>
    <row r="61" spans="2:13" x14ac:dyDescent="0.6">
      <c r="C61" s="50"/>
      <c r="D61" s="50"/>
      <c r="E61" s="50"/>
      <c r="F61" s="50"/>
      <c r="G61" s="50"/>
      <c r="K61" s="45"/>
      <c r="L61" s="45"/>
      <c r="M61" s="45"/>
    </row>
    <row r="62" spans="2:13" x14ac:dyDescent="0.6">
      <c r="B62" s="5" t="s">
        <v>168</v>
      </c>
      <c r="C62" s="58">
        <f>'Attachment 2'!C217</f>
        <v>1.07</v>
      </c>
      <c r="D62" s="58">
        <f>'Attachment 2'!D217</f>
        <v>1.0389999999999999</v>
      </c>
      <c r="E62" s="58">
        <f>'Attachment 2'!E217</f>
        <v>1.046</v>
      </c>
      <c r="F62" s="58">
        <f>'Attachment 2'!F217</f>
        <v>0.99</v>
      </c>
      <c r="G62" s="58">
        <f>'Attachment 2'!G217</f>
        <v>1.022</v>
      </c>
      <c r="H62" s="58">
        <f>'Attachment 2'!H217</f>
        <v>0.98699999999999999</v>
      </c>
      <c r="I62" s="58">
        <f>'Attachment 2'!I217</f>
        <v>0.93</v>
      </c>
      <c r="J62" s="58">
        <f>'Attachment 2'!J217</f>
        <v>0.99199999999999999</v>
      </c>
      <c r="K62" s="45"/>
      <c r="L62" s="45"/>
      <c r="M62" s="45"/>
    </row>
    <row r="63" spans="2:13" x14ac:dyDescent="0.6">
      <c r="L63" s="45"/>
      <c r="M63" s="45"/>
    </row>
    <row r="65" spans="1:13" x14ac:dyDescent="0.6">
      <c r="A65" s="137" t="s">
        <v>188</v>
      </c>
      <c r="B65" s="52" t="s">
        <v>189</v>
      </c>
      <c r="C65" s="45"/>
      <c r="E65" s="45"/>
    </row>
    <row r="66" spans="1:13" x14ac:dyDescent="0.6">
      <c r="B66" s="4" t="s">
        <v>169</v>
      </c>
    </row>
    <row r="68" spans="1:13" x14ac:dyDescent="0.6">
      <c r="B68" s="4" t="s">
        <v>256</v>
      </c>
    </row>
    <row r="69" spans="1:13" x14ac:dyDescent="0.6">
      <c r="B69" s="3"/>
    </row>
    <row r="70" spans="1:13" x14ac:dyDescent="0.6">
      <c r="C70" s="27" t="str">
        <f t="shared" ref="C70:I70" si="1">+C46</f>
        <v>RS</v>
      </c>
      <c r="D70" s="27" t="str">
        <f t="shared" si="1"/>
        <v>RS TOU - BGS</v>
      </c>
      <c r="E70" s="27" t="str">
        <f t="shared" si="1"/>
        <v>MGS - SEC</v>
      </c>
      <c r="F70" s="27" t="str">
        <f t="shared" si="1"/>
        <v>MGS - PRI</v>
      </c>
      <c r="G70" s="27" t="str">
        <f t="shared" si="1"/>
        <v>AGS - SEC</v>
      </c>
      <c r="H70" s="27" t="str">
        <f t="shared" si="1"/>
        <v>AGS - PRI</v>
      </c>
      <c r="I70" s="27" t="str">
        <f t="shared" si="1"/>
        <v>SPL/CSL</v>
      </c>
      <c r="J70" s="27" t="str">
        <f>+J46</f>
        <v>DDC</v>
      </c>
    </row>
    <row r="71" spans="1:13" x14ac:dyDescent="0.6">
      <c r="C71" s="137"/>
      <c r="D71" s="137"/>
      <c r="E71" s="137"/>
      <c r="F71" s="138"/>
      <c r="G71" s="138"/>
      <c r="H71" s="138"/>
      <c r="I71" s="138"/>
      <c r="J71" s="138"/>
    </row>
    <row r="72" spans="1:13" x14ac:dyDescent="0.6">
      <c r="B72" s="33" t="s">
        <v>43</v>
      </c>
      <c r="C72" s="138"/>
      <c r="D72" s="138">
        <f t="shared" ref="D72:I72" si="2">ROUND(($C$32*D48)/10,4)</f>
        <v>7.0873999999999997</v>
      </c>
      <c r="E72" s="138">
        <f t="shared" si="2"/>
        <v>6.8122999999999996</v>
      </c>
      <c r="F72" s="138">
        <f t="shared" si="2"/>
        <v>6.4389000000000003</v>
      </c>
      <c r="G72" s="138">
        <f t="shared" si="2"/>
        <v>6.6551</v>
      </c>
      <c r="H72" s="138">
        <f t="shared" si="2"/>
        <v>6.3602999999999996</v>
      </c>
      <c r="I72" s="138">
        <f t="shared" si="2"/>
        <v>5.8429000000000002</v>
      </c>
      <c r="J72" s="138">
        <f>ROUND(($C$32*J48)/10,4)</f>
        <v>6.4455</v>
      </c>
    </row>
    <row r="73" spans="1:13" x14ac:dyDescent="0.6">
      <c r="B73" s="34" t="s">
        <v>114</v>
      </c>
      <c r="C73" s="137"/>
      <c r="D73" s="138">
        <f>ROUND(($C$32*D49)/10,4)</f>
        <v>8.0961999999999996</v>
      </c>
      <c r="E73" s="138"/>
      <c r="F73" s="137"/>
      <c r="G73" s="137"/>
      <c r="H73" s="137"/>
      <c r="I73" s="137"/>
      <c r="J73" s="137"/>
      <c r="L73" s="45"/>
      <c r="M73" s="45"/>
    </row>
    <row r="74" spans="1:13" x14ac:dyDescent="0.6">
      <c r="B74" s="34" t="s">
        <v>37</v>
      </c>
      <c r="C74" s="137"/>
      <c r="D74" s="138">
        <f>ROUND(($C$32*D50)/10,4)</f>
        <v>5.6266999999999996</v>
      </c>
      <c r="E74" s="138"/>
      <c r="F74" s="137"/>
      <c r="G74" s="137"/>
      <c r="H74" s="137"/>
      <c r="I74" s="137"/>
      <c r="J74" s="137"/>
      <c r="L74" s="45"/>
      <c r="M74" s="45"/>
    </row>
    <row r="75" spans="1:13" x14ac:dyDescent="0.6">
      <c r="B75" s="49"/>
      <c r="C75" s="137"/>
      <c r="D75" s="137"/>
      <c r="E75" s="137"/>
      <c r="F75" s="137"/>
      <c r="G75" s="137"/>
      <c r="H75" s="137"/>
      <c r="I75" s="137"/>
      <c r="J75" s="137"/>
      <c r="L75" s="45"/>
      <c r="M75" s="45"/>
    </row>
    <row r="76" spans="1:13" x14ac:dyDescent="0.6">
      <c r="B76" s="41" t="s">
        <v>84</v>
      </c>
      <c r="C76" s="138">
        <f>ROUND((+$C$32*C52+C53)/10,4)</f>
        <v>6.4919000000000002</v>
      </c>
      <c r="D76" s="138"/>
      <c r="E76" s="137"/>
      <c r="F76" s="137"/>
      <c r="G76" s="137"/>
      <c r="H76" s="137"/>
      <c r="I76" s="137"/>
      <c r="J76" s="137"/>
      <c r="L76" s="45"/>
      <c r="M76" s="45"/>
    </row>
    <row r="77" spans="1:13" x14ac:dyDescent="0.6">
      <c r="B77" s="41" t="s">
        <v>85</v>
      </c>
      <c r="C77" s="138">
        <f>ROUND((+$C$32*C52+C54)/10,4)</f>
        <v>7.3571</v>
      </c>
      <c r="D77" s="138"/>
      <c r="E77" s="137"/>
      <c r="F77" s="137"/>
      <c r="G77" s="137"/>
      <c r="H77" s="137"/>
      <c r="I77" s="137"/>
      <c r="J77" s="137"/>
      <c r="L77" s="45"/>
      <c r="M77" s="45"/>
    </row>
    <row r="78" spans="1:13" x14ac:dyDescent="0.6">
      <c r="C78" s="138"/>
      <c r="D78" s="138"/>
      <c r="E78" s="137"/>
      <c r="F78" s="137"/>
      <c r="G78" s="137"/>
      <c r="H78" s="137"/>
      <c r="I78" s="137"/>
      <c r="J78" s="137"/>
      <c r="L78" s="45"/>
      <c r="M78" s="45"/>
    </row>
    <row r="79" spans="1:13" x14ac:dyDescent="0.6">
      <c r="B79" s="33" t="s">
        <v>44</v>
      </c>
      <c r="C79" s="138">
        <f t="shared" ref="C79:I79" si="3">ROUND(($C$32*C58)/10,4)</f>
        <v>7.1528999999999998</v>
      </c>
      <c r="D79" s="138">
        <f t="shared" si="3"/>
        <v>7.7751999999999999</v>
      </c>
      <c r="E79" s="138">
        <f t="shared" si="3"/>
        <v>6.8777999999999997</v>
      </c>
      <c r="F79" s="138">
        <f t="shared" si="3"/>
        <v>6.5110000000000001</v>
      </c>
      <c r="G79" s="138">
        <f t="shared" si="3"/>
        <v>6.7206000000000001</v>
      </c>
      <c r="H79" s="138">
        <f t="shared" si="3"/>
        <v>6.5110000000000001</v>
      </c>
      <c r="I79" s="138">
        <f t="shared" si="3"/>
        <v>6.2031000000000001</v>
      </c>
      <c r="J79" s="138">
        <f>ROUND(($C$32*J58)/10,4)</f>
        <v>6.5305999999999997</v>
      </c>
      <c r="L79" s="45"/>
      <c r="M79" s="45"/>
    </row>
    <row r="80" spans="1:13" x14ac:dyDescent="0.6">
      <c r="B80" s="34" t="s">
        <v>114</v>
      </c>
      <c r="C80" s="137"/>
      <c r="D80" s="138">
        <f>ROUND(($C$32*D59)/10,4)</f>
        <v>8.3843999999999994</v>
      </c>
      <c r="E80" s="138"/>
      <c r="F80" s="137"/>
      <c r="G80" s="137"/>
      <c r="H80" s="137"/>
      <c r="I80" s="137"/>
      <c r="L80" s="45"/>
      <c r="M80" s="45"/>
    </row>
    <row r="81" spans="1:24" x14ac:dyDescent="0.6">
      <c r="B81" s="34" t="s">
        <v>37</v>
      </c>
      <c r="C81" s="137"/>
      <c r="D81" s="138">
        <f>ROUND(($C$32*D60)/10,4)</f>
        <v>6.1375999999999999</v>
      </c>
      <c r="E81" s="138"/>
      <c r="F81" s="137"/>
      <c r="G81" s="137"/>
      <c r="H81" s="137"/>
      <c r="I81" s="137"/>
      <c r="J81" s="137"/>
      <c r="L81" s="45"/>
      <c r="M81" s="45"/>
    </row>
    <row r="82" spans="1:24" x14ac:dyDescent="0.6">
      <c r="C82" s="51"/>
      <c r="D82" s="47"/>
      <c r="E82" s="51"/>
      <c r="F82" s="47"/>
      <c r="J82" s="137"/>
      <c r="L82" s="45"/>
      <c r="M82" s="45"/>
    </row>
    <row r="84" spans="1:24" x14ac:dyDescent="0.6">
      <c r="A84" s="137" t="s">
        <v>186</v>
      </c>
      <c r="B84" s="3" t="s">
        <v>187</v>
      </c>
      <c r="C84" s="45"/>
      <c r="E84" s="45"/>
    </row>
    <row r="85" spans="1:24" x14ac:dyDescent="0.6">
      <c r="C85" s="45"/>
      <c r="E85" s="45"/>
    </row>
    <row r="86" spans="1:24" x14ac:dyDescent="0.6">
      <c r="C86" s="27" t="str">
        <f>C70</f>
        <v>RS</v>
      </c>
      <c r="D86" s="27" t="str">
        <f t="shared" ref="D86:I86" si="4">D70</f>
        <v>RS TOU - BGS</v>
      </c>
      <c r="E86" s="27" t="str">
        <f t="shared" si="4"/>
        <v>MGS - SEC</v>
      </c>
      <c r="F86" s="27" t="str">
        <f t="shared" si="4"/>
        <v>MGS - PRI</v>
      </c>
      <c r="G86" s="27" t="str">
        <f t="shared" si="4"/>
        <v>AGS - SEC</v>
      </c>
      <c r="H86" s="27" t="str">
        <f t="shared" si="4"/>
        <v>AGS - PRI</v>
      </c>
      <c r="I86" s="27" t="str">
        <f t="shared" si="4"/>
        <v>SPL/CSL</v>
      </c>
      <c r="J86" s="27" t="str">
        <f>J70</f>
        <v>DDC</v>
      </c>
    </row>
    <row r="87" spans="1:24" x14ac:dyDescent="0.6">
      <c r="B87" s="5" t="s">
        <v>140</v>
      </c>
      <c r="K87" s="21"/>
      <c r="L87" s="21"/>
    </row>
    <row r="88" spans="1:24" x14ac:dyDescent="0.6">
      <c r="B88" s="53" t="s">
        <v>58</v>
      </c>
      <c r="C88" s="54">
        <f>+C76/100*'Attachment 2'!$O52+C77/100*'Attachment 2'!$O53</f>
        <v>112875.59828382335</v>
      </c>
      <c r="D88" s="54">
        <f>(D73/100*'Attachment 2'!$P49)+(D74/100*'Attachment 2'!$P50)</f>
        <v>65.90810254960968</v>
      </c>
      <c r="E88" s="55">
        <f>E72/100*'Attachment 2'!$Q48</f>
        <v>23615.719143294664</v>
      </c>
      <c r="F88" s="55">
        <f>F72/100*'Attachment 2'!R48</f>
        <v>584.61580557896775</v>
      </c>
      <c r="G88" s="55">
        <f>G72/100*'Attachment 2'!$S48</f>
        <v>20508.712975769777</v>
      </c>
      <c r="H88" s="55">
        <f>H72/100*'Attachment 2'!$T48</f>
        <v>1267.2207700397526</v>
      </c>
      <c r="I88" s="55">
        <f>I72/100*'Attachment 2'!$U48</f>
        <v>961.60741422162084</v>
      </c>
      <c r="J88" s="55">
        <f>J72/100*'Attachment 2'!$V48</f>
        <v>255.38658281793536</v>
      </c>
      <c r="K88" s="17"/>
      <c r="L88" s="17"/>
      <c r="P88" s="62"/>
      <c r="Q88" s="62"/>
      <c r="R88" s="63"/>
      <c r="S88" s="63"/>
      <c r="T88" s="63"/>
      <c r="U88" s="63"/>
      <c r="V88" s="63"/>
      <c r="W88" s="63"/>
      <c r="X88" s="123"/>
    </row>
    <row r="89" spans="1:24" ht="15.25" x14ac:dyDescent="1.05">
      <c r="B89" s="53" t="s">
        <v>61</v>
      </c>
      <c r="C89" s="39">
        <f>+C79/100*'Attachment 2'!$O45</f>
        <v>160624.25614394329</v>
      </c>
      <c r="D89" s="39">
        <f>(D80/100*'Attachment 2'!$P46)+(D81/100*'Attachment 2'!$P47)</f>
        <v>92.258901795983007</v>
      </c>
      <c r="E89" s="39">
        <f>E79/100*'Attachment 2'!$Q45</f>
        <v>38655.217004068269</v>
      </c>
      <c r="F89" s="39">
        <f>F79/100*'Attachment 2'!R45</f>
        <v>1053.4746918118526</v>
      </c>
      <c r="G89" s="39">
        <f>G79/100*'Attachment 2'!$S45</f>
        <v>34674.086362887145</v>
      </c>
      <c r="H89" s="39">
        <f>H79/100*'Attachment 2'!$T45</f>
        <v>2578.2215226724015</v>
      </c>
      <c r="I89" s="39">
        <f>I79/100*'Attachment 2'!$U45</f>
        <v>2193.7787764607615</v>
      </c>
      <c r="J89" s="39">
        <f>J79/100*'Attachment 2'!$V45</f>
        <v>434.65097998702191</v>
      </c>
      <c r="K89" s="59"/>
      <c r="P89" s="64"/>
      <c r="Q89" s="64"/>
      <c r="R89" s="64"/>
      <c r="S89" s="64"/>
      <c r="T89" s="64"/>
      <c r="U89" s="64"/>
      <c r="V89" s="64"/>
      <c r="W89" s="64"/>
      <c r="X89" s="266"/>
    </row>
    <row r="90" spans="1:24" ht="15.25" x14ac:dyDescent="1.05">
      <c r="B90" s="53" t="s">
        <v>29</v>
      </c>
      <c r="C90" s="40">
        <f t="shared" ref="C90:I90" si="5">+C89+C88</f>
        <v>273499.85442776664</v>
      </c>
      <c r="D90" s="40">
        <f t="shared" si="5"/>
        <v>158.16700434559269</v>
      </c>
      <c r="E90" s="40">
        <f t="shared" si="5"/>
        <v>62270.936147362932</v>
      </c>
      <c r="F90" s="40">
        <f t="shared" si="5"/>
        <v>1638.0904973908205</v>
      </c>
      <c r="G90" s="40">
        <f t="shared" si="5"/>
        <v>55182.799338656921</v>
      </c>
      <c r="H90" s="40">
        <f t="shared" si="5"/>
        <v>3845.4422927121541</v>
      </c>
      <c r="I90" s="40">
        <f t="shared" si="5"/>
        <v>3155.3861906823822</v>
      </c>
      <c r="J90" s="40">
        <f>+J89+J88</f>
        <v>690.03756280495725</v>
      </c>
      <c r="K90" s="60"/>
      <c r="P90" s="65"/>
      <c r="Q90" s="65"/>
      <c r="R90" s="65"/>
      <c r="S90" s="65"/>
      <c r="T90" s="65"/>
      <c r="U90" s="65"/>
      <c r="V90" s="65"/>
      <c r="W90" s="65"/>
      <c r="X90" s="123"/>
    </row>
    <row r="91" spans="1:24" x14ac:dyDescent="0.6">
      <c r="B91" s="53"/>
      <c r="C91" s="40"/>
      <c r="D91" s="40"/>
      <c r="E91" s="40"/>
      <c r="F91" s="40"/>
      <c r="G91" s="40"/>
      <c r="H91" s="40"/>
      <c r="I91" s="40"/>
      <c r="J91" s="40"/>
      <c r="K91" s="61"/>
    </row>
    <row r="92" spans="1:24" x14ac:dyDescent="0.6">
      <c r="B92" s="53" t="s">
        <v>170</v>
      </c>
      <c r="C92" s="40">
        <f>SUM(C88:J88)</f>
        <v>160134.76907809568</v>
      </c>
      <c r="D92" s="40"/>
      <c r="E92" s="40"/>
      <c r="F92" s="40"/>
      <c r="G92" s="40"/>
      <c r="H92" s="40"/>
      <c r="I92" s="40"/>
      <c r="J92" s="40"/>
      <c r="K92" s="40"/>
      <c r="L92" s="40"/>
    </row>
    <row r="93" spans="1:24" ht="15.25" x14ac:dyDescent="1.05">
      <c r="B93" s="53" t="s">
        <v>171</v>
      </c>
      <c r="C93" s="56">
        <f>SUM(C89:J89)</f>
        <v>240305.94438362675</v>
      </c>
      <c r="E93" s="45"/>
      <c r="K93" s="40"/>
      <c r="L93" s="40"/>
    </row>
    <row r="94" spans="1:24" x14ac:dyDescent="0.6">
      <c r="B94" s="53" t="s">
        <v>172</v>
      </c>
      <c r="C94" s="40">
        <f>+C93+C92</f>
        <v>400440.71346172242</v>
      </c>
      <c r="E94" s="45"/>
    </row>
    <row r="95" spans="1:24" x14ac:dyDescent="0.6">
      <c r="B95" s="53"/>
      <c r="C95" s="45"/>
      <c r="E95" s="45"/>
    </row>
    <row r="96" spans="1:24" x14ac:dyDescent="0.6">
      <c r="C96" s="27"/>
      <c r="D96" s="27"/>
      <c r="E96" s="27"/>
      <c r="F96" s="27"/>
      <c r="G96" s="27"/>
      <c r="H96" s="27"/>
      <c r="I96" s="27"/>
      <c r="J96" s="27"/>
    </row>
    <row r="97" spans="1:12" x14ac:dyDescent="0.6">
      <c r="B97" s="5" t="s">
        <v>141</v>
      </c>
      <c r="K97" s="27"/>
      <c r="L97" s="27"/>
    </row>
    <row r="98" spans="1:12" x14ac:dyDescent="0.6">
      <c r="B98" s="53" t="s">
        <v>58</v>
      </c>
      <c r="C98" s="40">
        <f>+C24+D24+E24</f>
        <v>163561.08054708282</v>
      </c>
    </row>
    <row r="99" spans="1:12" ht="15.25" x14ac:dyDescent="1.05">
      <c r="B99" s="53" t="s">
        <v>61</v>
      </c>
      <c r="C99" s="56">
        <f>+C25+D25+E25</f>
        <v>236969.13829641161</v>
      </c>
      <c r="E99" s="66"/>
      <c r="F99" s="67"/>
      <c r="G99" s="67"/>
      <c r="H99" s="68"/>
    </row>
    <row r="100" spans="1:12" x14ac:dyDescent="0.6">
      <c r="B100" s="53" t="s">
        <v>29</v>
      </c>
      <c r="C100" s="40">
        <f>+C99+C98</f>
        <v>400530.21884349443</v>
      </c>
      <c r="E100" s="69" t="s">
        <v>181</v>
      </c>
      <c r="F100" s="17"/>
      <c r="G100" s="17"/>
      <c r="H100" s="139"/>
      <c r="J100" s="10" t="s">
        <v>174</v>
      </c>
    </row>
    <row r="101" spans="1:12" x14ac:dyDescent="0.6">
      <c r="C101" s="45"/>
      <c r="E101" s="69" t="s">
        <v>182</v>
      </c>
      <c r="F101" s="19" t="s">
        <v>183</v>
      </c>
      <c r="G101" s="17"/>
      <c r="H101" s="139"/>
      <c r="J101" s="57">
        <f>+C103/C98</f>
        <v>2.0948207590257652E-2</v>
      </c>
    </row>
    <row r="102" spans="1:12" x14ac:dyDescent="0.6">
      <c r="B102" s="26" t="s">
        <v>173</v>
      </c>
      <c r="C102" s="40"/>
      <c r="E102" s="140" t="s">
        <v>184</v>
      </c>
      <c r="F102" s="17"/>
      <c r="G102" s="17"/>
      <c r="H102" s="139"/>
      <c r="J102" s="57">
        <f>+C104/C99</f>
        <v>-1.4081184204844908E-2</v>
      </c>
    </row>
    <row r="103" spans="1:12" x14ac:dyDescent="0.6">
      <c r="B103" s="53" t="s">
        <v>58</v>
      </c>
      <c r="C103" s="40">
        <f>+C98-C92</f>
        <v>3426.3114689871436</v>
      </c>
      <c r="E103" s="70">
        <f>ROUND(1+(C103/C92),5)</f>
        <v>1.0214000000000001</v>
      </c>
      <c r="F103" s="17"/>
      <c r="G103" s="17"/>
      <c r="H103" s="139"/>
      <c r="J103" s="57">
        <f>+C105/C100</f>
        <v>2.2346723807867657E-4</v>
      </c>
    </row>
    <row r="104" spans="1:12" ht="15.25" x14ac:dyDescent="1.05">
      <c r="B104" s="53" t="s">
        <v>61</v>
      </c>
      <c r="C104" s="56">
        <f>+C99-C93</f>
        <v>-3336.80608721514</v>
      </c>
      <c r="E104" s="70">
        <f>ROUND(1+(C104/C93),5)</f>
        <v>0.98611000000000004</v>
      </c>
      <c r="F104" s="17"/>
      <c r="G104" s="17"/>
      <c r="H104" s="139"/>
    </row>
    <row r="105" spans="1:12" x14ac:dyDescent="0.6">
      <c r="B105" s="53" t="s">
        <v>29</v>
      </c>
      <c r="C105" s="40">
        <f>+C100-C94</f>
        <v>89.505381772003602</v>
      </c>
      <c r="E105" s="141"/>
      <c r="F105" s="142"/>
      <c r="G105" s="142"/>
      <c r="H105" s="143"/>
    </row>
    <row r="107" spans="1:12" x14ac:dyDescent="0.6">
      <c r="C107" s="5" t="s">
        <v>175</v>
      </c>
    </row>
    <row r="108" spans="1:12" x14ac:dyDescent="0.6">
      <c r="C108" s="5" t="s">
        <v>176</v>
      </c>
    </row>
    <row r="111" spans="1:12" x14ac:dyDescent="0.6">
      <c r="A111" s="137" t="s">
        <v>190</v>
      </c>
      <c r="B111" s="52" t="s">
        <v>191</v>
      </c>
      <c r="C111" s="45"/>
      <c r="E111" s="45"/>
    </row>
    <row r="112" spans="1:12" x14ac:dyDescent="0.6">
      <c r="B112" s="4" t="s">
        <v>169</v>
      </c>
    </row>
    <row r="114" spans="2:10" x14ac:dyDescent="0.6">
      <c r="B114" s="4" t="s">
        <v>256</v>
      </c>
    </row>
    <row r="115" spans="2:10" x14ac:dyDescent="0.6">
      <c r="B115" s="3"/>
    </row>
    <row r="116" spans="2:10" x14ac:dyDescent="0.6">
      <c r="C116" s="27" t="s">
        <v>5</v>
      </c>
      <c r="D116" s="27" t="s">
        <v>119</v>
      </c>
      <c r="E116" s="27" t="s">
        <v>6</v>
      </c>
      <c r="F116" s="27" t="s">
        <v>7</v>
      </c>
      <c r="G116" s="27" t="s">
        <v>8</v>
      </c>
      <c r="H116" s="27" t="s">
        <v>9</v>
      </c>
      <c r="I116" s="27" t="s">
        <v>10</v>
      </c>
      <c r="J116" s="27" t="s">
        <v>11</v>
      </c>
    </row>
    <row r="117" spans="2:10" x14ac:dyDescent="0.6">
      <c r="C117" s="137"/>
      <c r="D117" s="137"/>
      <c r="E117" s="137"/>
      <c r="F117" s="138"/>
      <c r="G117" s="138"/>
      <c r="H117" s="138"/>
      <c r="I117" s="138"/>
      <c r="J117" s="138"/>
    </row>
    <row r="118" spans="2:10" x14ac:dyDescent="0.6">
      <c r="B118" s="33" t="s">
        <v>43</v>
      </c>
      <c r="C118" s="138"/>
      <c r="D118" s="138">
        <f t="shared" ref="D118:I118" si="6">ROUND(D72*$E$103,4)</f>
        <v>7.2390999999999996</v>
      </c>
      <c r="E118" s="138">
        <f t="shared" si="6"/>
        <v>6.9581</v>
      </c>
      <c r="F118" s="138">
        <f t="shared" si="6"/>
        <v>6.5766999999999998</v>
      </c>
      <c r="G118" s="138">
        <f t="shared" si="6"/>
        <v>6.7975000000000003</v>
      </c>
      <c r="H118" s="138">
        <f t="shared" si="6"/>
        <v>6.4964000000000004</v>
      </c>
      <c r="I118" s="138">
        <f t="shared" si="6"/>
        <v>5.9679000000000002</v>
      </c>
      <c r="J118" s="138">
        <f>ROUND(J72*$E$103,4)</f>
        <v>6.5834000000000001</v>
      </c>
    </row>
    <row r="119" spans="2:10" x14ac:dyDescent="0.6">
      <c r="B119" s="34" t="s">
        <v>114</v>
      </c>
      <c r="C119" s="137"/>
      <c r="D119" s="138">
        <f>ROUND(D73*$E$103,4)</f>
        <v>8.2695000000000007</v>
      </c>
      <c r="E119" s="138"/>
      <c r="F119" s="137"/>
      <c r="G119" s="137"/>
      <c r="H119" s="137"/>
      <c r="I119" s="137"/>
      <c r="J119" s="137"/>
    </row>
    <row r="120" spans="2:10" x14ac:dyDescent="0.6">
      <c r="B120" s="34" t="s">
        <v>37</v>
      </c>
      <c r="C120" s="137"/>
      <c r="D120" s="138">
        <f>ROUND(D74*$E$103,4)</f>
        <v>5.7470999999999997</v>
      </c>
      <c r="E120" s="138"/>
      <c r="F120" s="137"/>
      <c r="G120" s="137"/>
      <c r="H120" s="137"/>
      <c r="I120" s="137"/>
      <c r="J120" s="137"/>
    </row>
    <row r="121" spans="2:10" x14ac:dyDescent="0.6">
      <c r="B121" s="49"/>
      <c r="C121" s="137"/>
      <c r="D121" s="137"/>
      <c r="E121" s="137"/>
      <c r="F121" s="137"/>
      <c r="G121" s="137"/>
      <c r="H121" s="137"/>
      <c r="I121" s="137"/>
      <c r="J121" s="137"/>
    </row>
    <row r="122" spans="2:10" x14ac:dyDescent="0.6">
      <c r="B122" s="41" t="s">
        <v>84</v>
      </c>
      <c r="C122" s="138">
        <f>ROUND(C76*$E$103,4)</f>
        <v>6.6307999999999998</v>
      </c>
      <c r="D122" s="138"/>
      <c r="E122" s="137"/>
      <c r="F122" s="137"/>
      <c r="G122" s="137"/>
      <c r="H122" s="137"/>
      <c r="I122" s="137"/>
      <c r="J122" s="137"/>
    </row>
    <row r="123" spans="2:10" x14ac:dyDescent="0.6">
      <c r="B123" s="41" t="s">
        <v>85</v>
      </c>
      <c r="C123" s="138">
        <f>ROUND(C77*$E$103,4)</f>
        <v>7.5145</v>
      </c>
      <c r="D123" s="138"/>
      <c r="E123" s="137"/>
      <c r="F123" s="137"/>
      <c r="G123" s="137"/>
      <c r="H123" s="137"/>
      <c r="I123" s="137"/>
      <c r="J123" s="137"/>
    </row>
    <row r="124" spans="2:10" x14ac:dyDescent="0.6">
      <c r="C124" s="138"/>
      <c r="D124" s="138"/>
      <c r="E124" s="137"/>
      <c r="F124" s="137"/>
      <c r="G124" s="137"/>
      <c r="H124" s="137"/>
      <c r="I124" s="137"/>
      <c r="J124" s="137"/>
    </row>
    <row r="125" spans="2:10" x14ac:dyDescent="0.6">
      <c r="B125" s="33" t="s">
        <v>44</v>
      </c>
      <c r="C125" s="138">
        <f t="shared" ref="C125:I125" si="7">ROUND(C79*$E$104,4)</f>
        <v>7.0534999999999997</v>
      </c>
      <c r="D125" s="138">
        <f t="shared" si="7"/>
        <v>7.6672000000000002</v>
      </c>
      <c r="E125" s="138">
        <f t="shared" si="7"/>
        <v>6.7823000000000002</v>
      </c>
      <c r="F125" s="138">
        <f t="shared" si="7"/>
        <v>6.4206000000000003</v>
      </c>
      <c r="G125" s="138">
        <f t="shared" si="7"/>
        <v>6.6273</v>
      </c>
      <c r="H125" s="138">
        <f t="shared" si="7"/>
        <v>6.4206000000000003</v>
      </c>
      <c r="I125" s="138">
        <f t="shared" si="7"/>
        <v>6.1169000000000002</v>
      </c>
      <c r="J125" s="138">
        <f>ROUND(J79*$E$104,4)</f>
        <v>6.4398999999999997</v>
      </c>
    </row>
    <row r="126" spans="2:10" x14ac:dyDescent="0.6">
      <c r="B126" s="34" t="s">
        <v>114</v>
      </c>
      <c r="C126" s="137"/>
      <c r="D126" s="138">
        <f>ROUND(D80*$E$104,4)</f>
        <v>8.2678999999999991</v>
      </c>
      <c r="E126" s="138"/>
      <c r="F126" s="137"/>
      <c r="G126" s="137"/>
      <c r="H126" s="137"/>
      <c r="I126" s="137"/>
    </row>
    <row r="127" spans="2:10" x14ac:dyDescent="0.6">
      <c r="B127" s="34" t="s">
        <v>37</v>
      </c>
      <c r="C127" s="137"/>
      <c r="D127" s="138">
        <f>ROUND(D81*$E$104,4)</f>
        <v>6.0522999999999998</v>
      </c>
      <c r="E127" s="138"/>
      <c r="F127" s="137"/>
      <c r="G127" s="137"/>
      <c r="H127" s="137"/>
      <c r="I127" s="137"/>
      <c r="J127" s="137"/>
    </row>
    <row r="128" spans="2:10" x14ac:dyDescent="0.6">
      <c r="J128" s="137"/>
    </row>
    <row r="131" spans="1:10" x14ac:dyDescent="0.6">
      <c r="A131" s="137" t="s">
        <v>192</v>
      </c>
      <c r="B131" s="3" t="s">
        <v>193</v>
      </c>
      <c r="C131" s="45"/>
      <c r="E131" s="45"/>
    </row>
    <row r="133" spans="1:10" x14ac:dyDescent="0.6">
      <c r="C133" s="27" t="s">
        <v>5</v>
      </c>
      <c r="D133" s="27" t="s">
        <v>119</v>
      </c>
      <c r="E133" s="27" t="s">
        <v>6</v>
      </c>
      <c r="F133" s="27" t="s">
        <v>7</v>
      </c>
      <c r="G133" s="27" t="s">
        <v>8</v>
      </c>
      <c r="H133" s="27" t="s">
        <v>9</v>
      </c>
      <c r="I133" s="27" t="s">
        <v>10</v>
      </c>
      <c r="J133" s="27" t="s">
        <v>11</v>
      </c>
    </row>
    <row r="134" spans="1:10" x14ac:dyDescent="0.6">
      <c r="B134" s="5" t="s">
        <v>140</v>
      </c>
      <c r="C134" s="71"/>
    </row>
    <row r="135" spans="1:10" x14ac:dyDescent="0.6">
      <c r="B135" s="53" t="s">
        <v>58</v>
      </c>
      <c r="C135" s="71">
        <f>+C122/100*'Attachment 2'!O52+'Attachment 3'!C123/100*'Attachment 2'!O53</f>
        <v>115290.60057906744</v>
      </c>
      <c r="D135" s="38">
        <f>D119/100*'Attachment 2'!P49+D120/100*'Attachment 2'!P50</f>
        <v>67.318715188491765</v>
      </c>
      <c r="E135" s="71">
        <f>E118/100*'Attachment 2'!Q48</f>
        <v>24121.153703001721</v>
      </c>
      <c r="F135" s="71">
        <f>F118/100*'Attachment 2'!R48</f>
        <v>597.12726840783307</v>
      </c>
      <c r="G135" s="71">
        <f>G118/100*'Attachment 2'!S48</f>
        <v>20947.540450601053</v>
      </c>
      <c r="H135" s="71">
        <f>H118/100*'Attachment 2'!T48</f>
        <v>1294.3372184466534</v>
      </c>
      <c r="I135" s="71">
        <f>I118/100*'Attachment 2'!U48</f>
        <v>982.17954908234117</v>
      </c>
      <c r="J135" s="71">
        <f>J118/100*'Attachment 2'!V48</f>
        <v>260.85052041324889</v>
      </c>
    </row>
    <row r="136" spans="1:10" ht="15.25" x14ac:dyDescent="1.05">
      <c r="B136" s="53" t="s">
        <v>61</v>
      </c>
      <c r="C136" s="39">
        <f>+C125/100*'Attachment 2'!O45</f>
        <v>158392.14734042194</v>
      </c>
      <c r="D136" s="39">
        <f>D126/100*'Attachment 2'!P46+'Attachment 3'!D127/100*'Attachment 2'!P47</f>
        <v>90.976861339336835</v>
      </c>
      <c r="E136" s="39">
        <f>E125/100*'Attachment 2'!Q45</f>
        <v>38118.479497323598</v>
      </c>
      <c r="F136" s="39">
        <f>F125/100*'Attachment 2'!R45</f>
        <v>1038.848042734938</v>
      </c>
      <c r="G136" s="39">
        <f>G125/100*'Attachment 2'!S45</f>
        <v>34192.716803970179</v>
      </c>
      <c r="H136" s="39">
        <f>H125/100*'Attachment 2'!T45</f>
        <v>2542.4249897819723</v>
      </c>
      <c r="I136" s="39">
        <f>I125/100*'Attachment 2'!U45</f>
        <v>2163.293417441736</v>
      </c>
      <c r="J136" s="39">
        <f>J125/100*'Attachment 2'!V45</f>
        <v>428.61434569846904</v>
      </c>
    </row>
    <row r="137" spans="1:10" x14ac:dyDescent="0.6">
      <c r="B137" s="53" t="s">
        <v>29</v>
      </c>
      <c r="C137" s="40">
        <f t="shared" ref="C137:I137" si="8">+C136+C135</f>
        <v>273682.7479194894</v>
      </c>
      <c r="D137" s="40">
        <f t="shared" si="8"/>
        <v>158.29557652782859</v>
      </c>
      <c r="E137" s="40">
        <f t="shared" si="8"/>
        <v>62239.633200325319</v>
      </c>
      <c r="F137" s="40">
        <f t="shared" si="8"/>
        <v>1635.975311142771</v>
      </c>
      <c r="G137" s="40">
        <f t="shared" si="8"/>
        <v>55140.257254571232</v>
      </c>
      <c r="H137" s="40">
        <f t="shared" si="8"/>
        <v>3836.7622082286257</v>
      </c>
      <c r="I137" s="40">
        <f t="shared" si="8"/>
        <v>3145.472966524077</v>
      </c>
      <c r="J137" s="40">
        <f>+J136+J135</f>
        <v>689.46486611171792</v>
      </c>
    </row>
    <row r="138" spans="1:10" x14ac:dyDescent="0.6">
      <c r="B138" s="53"/>
      <c r="C138" s="40"/>
      <c r="D138" s="40"/>
      <c r="E138" s="40"/>
      <c r="F138" s="40"/>
      <c r="G138" s="40"/>
      <c r="H138" s="40"/>
      <c r="I138" s="40"/>
    </row>
    <row r="139" spans="1:10" x14ac:dyDescent="0.6">
      <c r="B139" s="53" t="s">
        <v>170</v>
      </c>
      <c r="C139" s="40">
        <f>SUM(C135:J135)</f>
        <v>163561.10800420877</v>
      </c>
      <c r="D139" s="40"/>
      <c r="E139" s="40"/>
      <c r="F139" s="40"/>
      <c r="G139" s="40"/>
      <c r="H139" s="40"/>
      <c r="I139" s="40"/>
      <c r="J139" s="40"/>
    </row>
    <row r="140" spans="1:10" ht="15.25" x14ac:dyDescent="1.05">
      <c r="B140" s="53" t="s">
        <v>171</v>
      </c>
      <c r="C140" s="56">
        <f>SUM(C136:J136)</f>
        <v>236967.50129871216</v>
      </c>
      <c r="E140" s="45"/>
      <c r="J140" s="40"/>
    </row>
    <row r="141" spans="1:10" x14ac:dyDescent="0.6">
      <c r="B141" s="53" t="s">
        <v>172</v>
      </c>
      <c r="C141" s="40">
        <f>+C140+C139</f>
        <v>400528.60930292093</v>
      </c>
      <c r="E141" s="45"/>
    </row>
    <row r="142" spans="1:10" x14ac:dyDescent="0.6">
      <c r="B142" s="53"/>
    </row>
    <row r="144" spans="1:10" x14ac:dyDescent="0.6">
      <c r="B144" s="5" t="s">
        <v>141</v>
      </c>
    </row>
    <row r="145" spans="2:3" x14ac:dyDescent="0.6">
      <c r="B145" s="53" t="s">
        <v>58</v>
      </c>
      <c r="C145" s="40">
        <f>C98</f>
        <v>163561.08054708282</v>
      </c>
    </row>
    <row r="146" spans="2:3" ht="15.25" x14ac:dyDescent="1.05">
      <c r="B146" s="53" t="s">
        <v>61</v>
      </c>
      <c r="C146" s="56">
        <f>C99</f>
        <v>236969.13829641161</v>
      </c>
    </row>
    <row r="147" spans="2:3" x14ac:dyDescent="0.6">
      <c r="B147" s="53" t="s">
        <v>29</v>
      </c>
      <c r="C147" s="40">
        <f>+C146+C145</f>
        <v>400530.21884349443</v>
      </c>
    </row>
    <row r="149" spans="2:3" x14ac:dyDescent="0.6">
      <c r="B149" s="26" t="s">
        <v>173</v>
      </c>
    </row>
    <row r="150" spans="2:3" x14ac:dyDescent="0.6">
      <c r="B150" s="53" t="s">
        <v>58</v>
      </c>
      <c r="C150" s="40">
        <f>+C139-C145</f>
        <v>2.7457125950604677E-2</v>
      </c>
    </row>
    <row r="151" spans="2:3" ht="15.25" x14ac:dyDescent="1.05">
      <c r="B151" s="53" t="s">
        <v>61</v>
      </c>
      <c r="C151" s="56">
        <f>+C140-C146</f>
        <v>-1.6369976994465105</v>
      </c>
    </row>
    <row r="152" spans="2:3" x14ac:dyDescent="0.6">
      <c r="B152" s="53" t="s">
        <v>29</v>
      </c>
      <c r="C152" s="40">
        <f>+C151+C150</f>
        <v>-1.6095405734959058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.25" bottom="1" header="0.5" footer="0.5"/>
  <pageSetup scale="70" fitToHeight="0" orientation="landscape" r:id="rId3"/>
  <headerFooter alignWithMargins="0">
    <oddHeader>&amp;L&amp;"Arial,Bold"Atlantic City Electric Company &amp;"Arial,Regular"
Development of BGS Rates
June 2023 - May 2024&amp;RAttachment 3
Page &amp;P of &amp;N</oddHeader>
  </headerFooter>
  <rowBreaks count="3" manualBreakCount="3">
    <brk id="40" max="10" man="1"/>
    <brk id="83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I28"/>
  <sheetViews>
    <sheetView zoomScaleNormal="100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4" width="22.54296875" style="274" customWidth="1"/>
    <col min="5" max="9" width="9.1328125" style="177"/>
    <col min="10" max="10" width="12.40625" style="177" customWidth="1"/>
    <col min="11" max="16384" width="9.1328125" style="177"/>
  </cols>
  <sheetData>
    <row r="1" spans="1:9" ht="15.5" x14ac:dyDescent="0.7">
      <c r="B1" s="178" t="s">
        <v>227</v>
      </c>
    </row>
    <row r="2" spans="1:9" ht="65" x14ac:dyDescent="0.6">
      <c r="B2" s="285" t="s">
        <v>298</v>
      </c>
      <c r="C2" s="273" t="s">
        <v>280</v>
      </c>
      <c r="D2" s="273" t="s">
        <v>281</v>
      </c>
    </row>
    <row r="3" spans="1:9" ht="26" x14ac:dyDescent="0.6">
      <c r="C3" s="275" t="s">
        <v>260</v>
      </c>
      <c r="D3" s="275" t="str">
        <f>C3</f>
        <v>2023/24
Delivery Year</v>
      </c>
      <c r="F3" s="179" t="s">
        <v>144</v>
      </c>
    </row>
    <row r="4" spans="1:9" x14ac:dyDescent="0.6">
      <c r="A4" s="177">
        <v>1</v>
      </c>
      <c r="B4" s="180" t="s">
        <v>278</v>
      </c>
      <c r="C4" s="295">
        <v>49.59</v>
      </c>
      <c r="D4" s="295">
        <v>49.59</v>
      </c>
      <c r="E4" s="181"/>
      <c r="F4" s="269" t="s">
        <v>277</v>
      </c>
    </row>
    <row r="5" spans="1:9" x14ac:dyDescent="0.6">
      <c r="A5" s="177">
        <v>2</v>
      </c>
      <c r="B5" s="180" t="s">
        <v>228</v>
      </c>
      <c r="C5" s="277">
        <v>146.51</v>
      </c>
      <c r="D5" s="277">
        <v>118.12</v>
      </c>
      <c r="F5" s="182" t="s">
        <v>289</v>
      </c>
      <c r="G5" s="182"/>
      <c r="H5" s="182"/>
      <c r="I5" s="182"/>
    </row>
    <row r="6" spans="1:9" x14ac:dyDescent="0.6">
      <c r="C6" s="275"/>
      <c r="D6" s="275"/>
      <c r="F6" s="179"/>
    </row>
    <row r="7" spans="1:9" x14ac:dyDescent="0.6">
      <c r="A7" s="177">
        <v>3</v>
      </c>
      <c r="B7" s="180" t="s">
        <v>229</v>
      </c>
      <c r="C7" s="278">
        <f>C4-C5</f>
        <v>-96.919999999999987</v>
      </c>
      <c r="D7" s="278">
        <f>D4-D5</f>
        <v>-68.53</v>
      </c>
      <c r="F7" s="182" t="s">
        <v>230</v>
      </c>
    </row>
    <row r="8" spans="1:9" x14ac:dyDescent="0.6">
      <c r="A8" s="177">
        <v>4</v>
      </c>
      <c r="B8" s="180" t="s">
        <v>231</v>
      </c>
      <c r="C8" s="279">
        <f>'Attachment 2'!K145</f>
        <v>2046.7209320386237</v>
      </c>
      <c r="D8" s="279">
        <f>C8</f>
        <v>2046.7209320386237</v>
      </c>
      <c r="F8" s="183"/>
    </row>
    <row r="9" spans="1:9" x14ac:dyDescent="0.6">
      <c r="A9" s="177">
        <v>5</v>
      </c>
      <c r="B9" s="180" t="s">
        <v>232</v>
      </c>
      <c r="C9" s="280">
        <v>366</v>
      </c>
      <c r="D9" s="280">
        <f>C9</f>
        <v>366</v>
      </c>
    </row>
    <row r="10" spans="1:9" x14ac:dyDescent="0.6">
      <c r="A10" s="177">
        <v>6</v>
      </c>
      <c r="B10" s="180" t="s">
        <v>242</v>
      </c>
      <c r="C10" s="281">
        <f>C7*C8*C9</f>
        <v>-72602758.540345117</v>
      </c>
      <c r="D10" s="281">
        <f>D7*D8*D9</f>
        <v>-51335813.482974119</v>
      </c>
      <c r="F10" s="182" t="s">
        <v>233</v>
      </c>
    </row>
    <row r="11" spans="1:9" x14ac:dyDescent="0.6">
      <c r="B11" s="180"/>
      <c r="C11" s="282"/>
      <c r="D11" s="282"/>
      <c r="F11" s="182"/>
    </row>
    <row r="12" spans="1:9" x14ac:dyDescent="0.6">
      <c r="A12" s="177">
        <v>7</v>
      </c>
      <c r="B12" s="253" t="s">
        <v>234</v>
      </c>
      <c r="C12" s="184">
        <f>'Attachment 3'!D12</f>
        <v>7</v>
      </c>
      <c r="D12" s="184">
        <f>C12</f>
        <v>7</v>
      </c>
      <c r="F12" s="182" t="s">
        <v>235</v>
      </c>
    </row>
    <row r="13" spans="1:9" x14ac:dyDescent="0.6">
      <c r="A13" s="177">
        <v>8</v>
      </c>
      <c r="B13" s="180" t="s">
        <v>236</v>
      </c>
      <c r="C13" s="185">
        <f>'Attachment 3'!E13</f>
        <v>22</v>
      </c>
      <c r="D13" s="185">
        <f>C13</f>
        <v>22</v>
      </c>
      <c r="F13" s="182" t="s">
        <v>235</v>
      </c>
    </row>
    <row r="14" spans="1:9" x14ac:dyDescent="0.6">
      <c r="A14" s="177">
        <v>9</v>
      </c>
      <c r="B14" s="272" t="s">
        <v>253</v>
      </c>
      <c r="C14" s="186">
        <f>+C12/C13</f>
        <v>0.31818181818181818</v>
      </c>
      <c r="D14" s="186">
        <f>+D12/D13</f>
        <v>0.31818181818181818</v>
      </c>
      <c r="F14" s="182" t="s">
        <v>237</v>
      </c>
    </row>
    <row r="15" spans="1:9" x14ac:dyDescent="0.6">
      <c r="B15" s="180"/>
      <c r="C15" s="282"/>
      <c r="D15" s="282"/>
      <c r="F15" s="182"/>
    </row>
    <row r="16" spans="1:9" x14ac:dyDescent="0.6">
      <c r="A16" s="177">
        <v>10</v>
      </c>
      <c r="B16" s="180" t="s">
        <v>243</v>
      </c>
      <c r="C16" s="282">
        <f>C10*C14</f>
        <v>-23100877.717382535</v>
      </c>
      <c r="D16" s="282">
        <f>D10*D14</f>
        <v>-16334122.471855402</v>
      </c>
      <c r="F16" s="182" t="s">
        <v>238</v>
      </c>
    </row>
    <row r="17" spans="1:6" x14ac:dyDescent="0.6">
      <c r="B17" s="180"/>
      <c r="C17" s="282"/>
      <c r="D17" s="282"/>
      <c r="F17" s="182"/>
    </row>
    <row r="18" spans="1:6" x14ac:dyDescent="0.6">
      <c r="A18" s="177">
        <v>11</v>
      </c>
      <c r="B18" s="3" t="s">
        <v>251</v>
      </c>
      <c r="C18" s="283">
        <f>'Attachment 3'!C20+'Attachment 3'!C21</f>
        <v>6114710.5703835208</v>
      </c>
      <c r="D18" s="283">
        <f>C18</f>
        <v>6114710.5703835208</v>
      </c>
      <c r="F18" s="187"/>
    </row>
    <row r="19" spans="1:6" x14ac:dyDescent="0.6">
      <c r="A19" s="177">
        <v>12</v>
      </c>
      <c r="B19" s="180" t="s">
        <v>252</v>
      </c>
      <c r="C19" s="280">
        <f>+C14*C18</f>
        <v>1945589.7269402111</v>
      </c>
      <c r="D19" s="280">
        <f>+D14*D18</f>
        <v>1945589.7269402111</v>
      </c>
      <c r="F19" s="182" t="s">
        <v>239</v>
      </c>
    </row>
    <row r="20" spans="1:6" x14ac:dyDescent="0.6">
      <c r="B20" s="180"/>
      <c r="C20" s="282"/>
      <c r="D20" s="282"/>
      <c r="F20" s="182"/>
    </row>
    <row r="21" spans="1:6" ht="13.75" thickBot="1" x14ac:dyDescent="0.75">
      <c r="A21" s="177">
        <v>13</v>
      </c>
      <c r="B21" s="180" t="s">
        <v>240</v>
      </c>
      <c r="C21" s="284">
        <f>ROUND(+C16/C19,2)</f>
        <v>-11.87</v>
      </c>
      <c r="D21" s="284">
        <f>ROUND(+D16/D19,2)</f>
        <v>-8.4</v>
      </c>
      <c r="F21" s="188" t="s">
        <v>241</v>
      </c>
    </row>
    <row r="22" spans="1:6" ht="13.75" thickTop="1" x14ac:dyDescent="0.6">
      <c r="B22" s="180"/>
      <c r="C22" s="282"/>
      <c r="D22" s="282"/>
      <c r="F22" s="182"/>
    </row>
    <row r="23" spans="1:6" x14ac:dyDescent="0.6">
      <c r="B23" s="180"/>
      <c r="C23" s="282"/>
      <c r="D23" s="282"/>
      <c r="F23" s="182"/>
    </row>
    <row r="24" spans="1:6" x14ac:dyDescent="0.6">
      <c r="B24" s="180"/>
      <c r="C24" s="282"/>
      <c r="D24" s="282"/>
      <c r="F24" s="182"/>
    </row>
    <row r="25" spans="1:6" x14ac:dyDescent="0.6">
      <c r="B25" s="183"/>
    </row>
    <row r="26" spans="1:6" x14ac:dyDescent="0.6">
      <c r="B26" s="183"/>
      <c r="C26" s="283"/>
      <c r="D26" s="283"/>
      <c r="F26" s="187"/>
    </row>
    <row r="27" spans="1:6" x14ac:dyDescent="0.6">
      <c r="B27" s="183"/>
    </row>
    <row r="28" spans="1:6" x14ac:dyDescent="0.6">
      <c r="B28" s="180"/>
      <c r="C28" s="276"/>
      <c r="D28" s="276"/>
      <c r="F28" s="182"/>
    </row>
  </sheetData>
  <pageMargins left="0.7" right="0.7" top="1" bottom="0.75" header="0.3" footer="0.3"/>
  <pageSetup scale="63" fitToHeight="0" orientation="landscape" r:id="rId1"/>
  <headerFooter>
    <oddHeader>&amp;L&amp;"Arial,Bold"Atlantic City Electric
&amp;"Arial,Regular"Development of BGS Rates
June 2023 - May 2024&amp;RAttachment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276-055F-4CE4-9884-3A5B0B2D0363}">
  <sheetPr>
    <pageSetUpPr fitToPage="1"/>
  </sheetPr>
  <dimension ref="A1:H28"/>
  <sheetViews>
    <sheetView zoomScaleNormal="100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3" width="22.54296875" style="274" customWidth="1"/>
    <col min="4" max="4" width="22.54296875" style="177" customWidth="1"/>
    <col min="5" max="8" width="9.1328125" style="177"/>
    <col min="9" max="9" width="12.40625" style="177" customWidth="1"/>
    <col min="10" max="16384" width="9.1328125" style="177"/>
  </cols>
  <sheetData>
    <row r="1" spans="1:8" ht="15.5" x14ac:dyDescent="0.7">
      <c r="B1" s="178" t="s">
        <v>227</v>
      </c>
    </row>
    <row r="2" spans="1:8" ht="71.25" customHeight="1" x14ac:dyDescent="0.6">
      <c r="B2" s="285" t="s">
        <v>299</v>
      </c>
      <c r="C2" s="273" t="s">
        <v>281</v>
      </c>
      <c r="D2" s="273" t="s">
        <v>302</v>
      </c>
    </row>
    <row r="3" spans="1:8" ht="26" x14ac:dyDescent="0.6">
      <c r="C3" s="275" t="s">
        <v>282</v>
      </c>
      <c r="D3" s="275" t="s">
        <v>282</v>
      </c>
      <c r="E3" s="179" t="s">
        <v>144</v>
      </c>
    </row>
    <row r="4" spans="1:8" x14ac:dyDescent="0.6">
      <c r="A4" s="177">
        <v>1</v>
      </c>
      <c r="B4" s="180" t="s">
        <v>278</v>
      </c>
      <c r="C4" s="295">
        <v>50</v>
      </c>
      <c r="D4" s="295">
        <v>50</v>
      </c>
      <c r="E4" s="269" t="s">
        <v>277</v>
      </c>
    </row>
    <row r="5" spans="1:8" x14ac:dyDescent="0.6">
      <c r="A5" s="177">
        <v>2</v>
      </c>
      <c r="B5" s="180" t="s">
        <v>228</v>
      </c>
      <c r="C5" s="277">
        <v>87.98</v>
      </c>
      <c r="D5" s="296">
        <v>66.38</v>
      </c>
      <c r="E5" s="182" t="s">
        <v>301</v>
      </c>
      <c r="F5" s="182"/>
      <c r="G5" s="182"/>
      <c r="H5" s="182"/>
    </row>
    <row r="6" spans="1:8" x14ac:dyDescent="0.6">
      <c r="C6" s="275"/>
      <c r="D6" s="275"/>
      <c r="E6" s="179"/>
    </row>
    <row r="7" spans="1:8" x14ac:dyDescent="0.6">
      <c r="A7" s="177">
        <v>3</v>
      </c>
      <c r="B7" s="180" t="s">
        <v>229</v>
      </c>
      <c r="C7" s="278">
        <f>C4-C5</f>
        <v>-37.980000000000004</v>
      </c>
      <c r="D7" s="278">
        <f>D4-D5</f>
        <v>-16.379999999999995</v>
      </c>
      <c r="E7" s="182" t="s">
        <v>230</v>
      </c>
    </row>
    <row r="8" spans="1:8" x14ac:dyDescent="0.6">
      <c r="A8" s="177">
        <v>4</v>
      </c>
      <c r="B8" s="180" t="s">
        <v>231</v>
      </c>
      <c r="C8" s="279">
        <f>'Attachment 2'!K145</f>
        <v>2046.7209320386237</v>
      </c>
      <c r="D8" s="279">
        <f>C8</f>
        <v>2046.7209320386237</v>
      </c>
      <c r="E8" s="183"/>
    </row>
    <row r="9" spans="1:8" x14ac:dyDescent="0.6">
      <c r="A9" s="177">
        <v>5</v>
      </c>
      <c r="B9" s="180" t="s">
        <v>232</v>
      </c>
      <c r="C9" s="280">
        <v>365</v>
      </c>
      <c r="D9" s="280">
        <v>365</v>
      </c>
    </row>
    <row r="10" spans="1:8" x14ac:dyDescent="0.6">
      <c r="A10" s="177">
        <v>6</v>
      </c>
      <c r="B10" s="180" t="s">
        <v>242</v>
      </c>
      <c r="C10" s="281">
        <f>C7*C8*C9</f>
        <v>-28373078.264571831</v>
      </c>
      <c r="D10" s="281">
        <f>D7*D8*D9</f>
        <v>-12236730.436379315</v>
      </c>
      <c r="E10" s="182" t="s">
        <v>233</v>
      </c>
    </row>
    <row r="11" spans="1:8" x14ac:dyDescent="0.6">
      <c r="B11" s="180"/>
      <c r="C11" s="282"/>
      <c r="D11" s="282"/>
      <c r="E11" s="182"/>
    </row>
    <row r="12" spans="1:8" x14ac:dyDescent="0.6">
      <c r="A12" s="177">
        <v>7</v>
      </c>
      <c r="B12" s="253" t="s">
        <v>234</v>
      </c>
      <c r="C12" s="184">
        <v>7</v>
      </c>
      <c r="D12" s="184">
        <v>8</v>
      </c>
      <c r="E12" s="182" t="s">
        <v>235</v>
      </c>
    </row>
    <row r="13" spans="1:8" x14ac:dyDescent="0.6">
      <c r="A13" s="177">
        <v>8</v>
      </c>
      <c r="B13" s="180" t="s">
        <v>236</v>
      </c>
      <c r="C13" s="185">
        <f>'Attachment 3'!E13</f>
        <v>22</v>
      </c>
      <c r="D13" s="185">
        <v>22</v>
      </c>
      <c r="E13" s="182" t="s">
        <v>235</v>
      </c>
    </row>
    <row r="14" spans="1:8" x14ac:dyDescent="0.6">
      <c r="A14" s="177">
        <v>9</v>
      </c>
      <c r="B14" s="272" t="s">
        <v>253</v>
      </c>
      <c r="C14" s="186">
        <f>+C12/C13</f>
        <v>0.31818181818181818</v>
      </c>
      <c r="D14" s="186">
        <f>+D12/D13</f>
        <v>0.36363636363636365</v>
      </c>
      <c r="E14" s="182" t="s">
        <v>237</v>
      </c>
    </row>
    <row r="15" spans="1:8" x14ac:dyDescent="0.6">
      <c r="B15" s="180"/>
      <c r="C15" s="282"/>
      <c r="D15" s="282"/>
      <c r="E15" s="182"/>
    </row>
    <row r="16" spans="1:8" x14ac:dyDescent="0.6">
      <c r="A16" s="177">
        <v>10</v>
      </c>
      <c r="B16" s="180" t="s">
        <v>243</v>
      </c>
      <c r="C16" s="282">
        <f>C10*C14</f>
        <v>-9027797.6296364907</v>
      </c>
      <c r="D16" s="282">
        <f>D10*D14</f>
        <v>-4449720.1586833876</v>
      </c>
      <c r="E16" s="182" t="s">
        <v>238</v>
      </c>
    </row>
    <row r="17" spans="1:5" x14ac:dyDescent="0.6">
      <c r="B17" s="180"/>
      <c r="C17" s="282"/>
      <c r="D17" s="282"/>
      <c r="E17" s="182"/>
    </row>
    <row r="18" spans="1:5" x14ac:dyDescent="0.6">
      <c r="A18" s="177">
        <v>11</v>
      </c>
      <c r="B18" s="3" t="s">
        <v>251</v>
      </c>
      <c r="C18" s="283">
        <f>'Attachment 3'!C20+'Attachment 3'!C21</f>
        <v>6114710.5703835208</v>
      </c>
      <c r="D18" s="283">
        <f>C18</f>
        <v>6114710.5703835208</v>
      </c>
      <c r="E18" s="187"/>
    </row>
    <row r="19" spans="1:5" x14ac:dyDescent="0.6">
      <c r="A19" s="177">
        <v>12</v>
      </c>
      <c r="B19" s="180" t="s">
        <v>252</v>
      </c>
      <c r="C19" s="280">
        <f>+C14*C18</f>
        <v>1945589.7269402111</v>
      </c>
      <c r="D19" s="280">
        <f>+D14*D18</f>
        <v>2223531.1165030985</v>
      </c>
      <c r="E19" s="182" t="s">
        <v>239</v>
      </c>
    </row>
    <row r="20" spans="1:5" x14ac:dyDescent="0.6">
      <c r="B20" s="180"/>
      <c r="C20" s="282"/>
      <c r="D20" s="282"/>
      <c r="E20" s="182"/>
    </row>
    <row r="21" spans="1:5" ht="13.75" thickBot="1" x14ac:dyDescent="0.75">
      <c r="A21" s="177">
        <v>13</v>
      </c>
      <c r="B21" s="180" t="s">
        <v>240</v>
      </c>
      <c r="C21" s="284">
        <f>ROUND(+C16/C19,2)</f>
        <v>-4.6399999999999997</v>
      </c>
      <c r="D21" s="284">
        <f>ROUND(+D16/D19,2)</f>
        <v>-2</v>
      </c>
      <c r="E21" s="188" t="s">
        <v>241</v>
      </c>
    </row>
    <row r="22" spans="1:5" ht="13.75" thickTop="1" x14ac:dyDescent="0.6">
      <c r="B22" s="180"/>
      <c r="C22" s="282"/>
      <c r="E22" s="182"/>
    </row>
    <row r="23" spans="1:5" x14ac:dyDescent="0.6">
      <c r="A23" s="293" t="s">
        <v>303</v>
      </c>
      <c r="B23" s="292" t="s">
        <v>304</v>
      </c>
      <c r="C23" s="282"/>
      <c r="E23" s="182"/>
    </row>
    <row r="24" spans="1:5" x14ac:dyDescent="0.6">
      <c r="B24" s="180"/>
      <c r="C24" s="282"/>
      <c r="E24" s="182"/>
    </row>
    <row r="25" spans="1:5" x14ac:dyDescent="0.6">
      <c r="B25" s="183"/>
    </row>
    <row r="26" spans="1:5" x14ac:dyDescent="0.6">
      <c r="B26" s="183"/>
      <c r="C26" s="283"/>
      <c r="E26" s="187"/>
    </row>
    <row r="27" spans="1:5" x14ac:dyDescent="0.6">
      <c r="B27" s="183"/>
    </row>
    <row r="28" spans="1:5" x14ac:dyDescent="0.6">
      <c r="B28" s="180"/>
      <c r="C28" s="276"/>
      <c r="E28" s="182"/>
    </row>
  </sheetData>
  <pageMargins left="0.7" right="0.7" top="1" bottom="0.75" header="0.3" footer="0.3"/>
  <pageSetup scale="66" fitToHeight="0" orientation="landscape" r:id="rId1"/>
  <headerFooter>
    <oddHeader>&amp;L&amp;"Arial,Bold"Atlantic City Electric
&amp;"Arial,Regular"Development of BGS Rates
June 2023 - May 2024&amp;RAttachment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AB3C-0921-4C31-8E52-FB97CCD69CCB}">
  <sheetPr>
    <pageSetUpPr fitToPage="1"/>
  </sheetPr>
  <dimension ref="A1:G28"/>
  <sheetViews>
    <sheetView zoomScaleNormal="100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3" width="22.54296875" style="274" customWidth="1"/>
    <col min="4" max="7" width="9.1328125" style="177"/>
    <col min="8" max="8" width="12.40625" style="177" customWidth="1"/>
    <col min="9" max="16384" width="9.1328125" style="177"/>
  </cols>
  <sheetData>
    <row r="1" spans="1:7" ht="15.5" x14ac:dyDescent="0.7">
      <c r="B1" s="178" t="s">
        <v>227</v>
      </c>
    </row>
    <row r="2" spans="1:7" ht="71.25" customHeight="1" x14ac:dyDescent="0.6">
      <c r="B2" s="285" t="s">
        <v>305</v>
      </c>
      <c r="C2" s="273" t="s">
        <v>300</v>
      </c>
    </row>
    <row r="3" spans="1:7" ht="26" x14ac:dyDescent="0.6">
      <c r="C3" s="275" t="s">
        <v>306</v>
      </c>
      <c r="D3" s="179" t="s">
        <v>144</v>
      </c>
    </row>
    <row r="4" spans="1:7" x14ac:dyDescent="0.6">
      <c r="A4" s="177">
        <v>1</v>
      </c>
      <c r="B4" s="180" t="s">
        <v>278</v>
      </c>
      <c r="C4" s="295">
        <v>50</v>
      </c>
      <c r="D4" s="269" t="s">
        <v>277</v>
      </c>
    </row>
    <row r="5" spans="1:7" x14ac:dyDescent="0.6">
      <c r="A5" s="177">
        <v>2</v>
      </c>
      <c r="B5" s="180" t="s">
        <v>228</v>
      </c>
      <c r="C5" s="296">
        <v>44.63</v>
      </c>
      <c r="D5" s="182" t="s">
        <v>307</v>
      </c>
      <c r="E5" s="182"/>
      <c r="F5" s="182"/>
      <c r="G5" s="182"/>
    </row>
    <row r="6" spans="1:7" x14ac:dyDescent="0.6">
      <c r="C6" s="275"/>
      <c r="D6" s="179"/>
    </row>
    <row r="7" spans="1:7" x14ac:dyDescent="0.6">
      <c r="A7" s="177">
        <v>3</v>
      </c>
      <c r="B7" s="180" t="s">
        <v>229</v>
      </c>
      <c r="C7" s="278">
        <f>C4-C5</f>
        <v>5.3699999999999974</v>
      </c>
      <c r="D7" s="182" t="s">
        <v>230</v>
      </c>
    </row>
    <row r="8" spans="1:7" x14ac:dyDescent="0.6">
      <c r="A8" s="177">
        <v>4</v>
      </c>
      <c r="B8" s="180" t="s">
        <v>231</v>
      </c>
      <c r="C8" s="279">
        <f>'Attachment 2'!K145</f>
        <v>2046.7209320386237</v>
      </c>
      <c r="D8" s="183"/>
    </row>
    <row r="9" spans="1:7" x14ac:dyDescent="0.6">
      <c r="A9" s="177">
        <v>5</v>
      </c>
      <c r="B9" s="180" t="s">
        <v>232</v>
      </c>
      <c r="C9" s="280">
        <v>365</v>
      </c>
    </row>
    <row r="10" spans="1:7" x14ac:dyDescent="0.6">
      <c r="A10" s="177">
        <v>6</v>
      </c>
      <c r="B10" s="180" t="s">
        <v>242</v>
      </c>
      <c r="C10" s="281">
        <f>C7*C8*C9</f>
        <v>4011675.3628423023</v>
      </c>
      <c r="D10" s="182" t="s">
        <v>233</v>
      </c>
    </row>
    <row r="11" spans="1:7" x14ac:dyDescent="0.6">
      <c r="B11" s="180"/>
      <c r="C11" s="282"/>
      <c r="D11" s="182"/>
    </row>
    <row r="12" spans="1:7" x14ac:dyDescent="0.6">
      <c r="A12" s="177">
        <v>7</v>
      </c>
      <c r="B12" s="253" t="s">
        <v>234</v>
      </c>
      <c r="C12" s="184">
        <v>8</v>
      </c>
      <c r="D12" s="182" t="s">
        <v>235</v>
      </c>
    </row>
    <row r="13" spans="1:7" x14ac:dyDescent="0.6">
      <c r="A13" s="177">
        <v>8</v>
      </c>
      <c r="B13" s="180" t="s">
        <v>236</v>
      </c>
      <c r="C13" s="185">
        <f>'Attachment 3'!E13</f>
        <v>22</v>
      </c>
      <c r="D13" s="182" t="s">
        <v>235</v>
      </c>
    </row>
    <row r="14" spans="1:7" x14ac:dyDescent="0.6">
      <c r="A14" s="177">
        <v>9</v>
      </c>
      <c r="B14" s="272" t="s">
        <v>253</v>
      </c>
      <c r="C14" s="186">
        <f>+C12/C13</f>
        <v>0.36363636363636365</v>
      </c>
      <c r="D14" s="182" t="s">
        <v>237</v>
      </c>
    </row>
    <row r="15" spans="1:7" x14ac:dyDescent="0.6">
      <c r="B15" s="180"/>
      <c r="C15" s="282"/>
      <c r="D15" s="182"/>
    </row>
    <row r="16" spans="1:7" x14ac:dyDescent="0.6">
      <c r="A16" s="177">
        <v>10</v>
      </c>
      <c r="B16" s="180" t="s">
        <v>243</v>
      </c>
      <c r="C16" s="282">
        <f>C10*C14</f>
        <v>1458791.0410335646</v>
      </c>
      <c r="D16" s="182" t="s">
        <v>238</v>
      </c>
    </row>
    <row r="17" spans="1:4" x14ac:dyDescent="0.6">
      <c r="B17" s="180"/>
      <c r="C17" s="282"/>
      <c r="D17" s="182"/>
    </row>
    <row r="18" spans="1:4" x14ac:dyDescent="0.6">
      <c r="A18" s="177">
        <v>11</v>
      </c>
      <c r="B18" s="3" t="s">
        <v>251</v>
      </c>
      <c r="C18" s="283">
        <f>'Attachment 3'!C20+'Attachment 3'!C21</f>
        <v>6114710.5703835208</v>
      </c>
      <c r="D18" s="187"/>
    </row>
    <row r="19" spans="1:4" x14ac:dyDescent="0.6">
      <c r="A19" s="177">
        <v>12</v>
      </c>
      <c r="B19" s="180" t="s">
        <v>252</v>
      </c>
      <c r="C19" s="280">
        <f>+C14*C18</f>
        <v>2223531.1165030985</v>
      </c>
      <c r="D19" s="182" t="s">
        <v>239</v>
      </c>
    </row>
    <row r="20" spans="1:4" x14ac:dyDescent="0.6">
      <c r="B20" s="180"/>
      <c r="C20" s="282"/>
      <c r="D20" s="182"/>
    </row>
    <row r="21" spans="1:4" ht="13.75" thickBot="1" x14ac:dyDescent="0.75">
      <c r="A21" s="177">
        <v>13</v>
      </c>
      <c r="B21" s="180" t="s">
        <v>240</v>
      </c>
      <c r="C21" s="284">
        <f>ROUND(+C16/C19,2)</f>
        <v>0.66</v>
      </c>
      <c r="D21" s="188" t="s">
        <v>241</v>
      </c>
    </row>
    <row r="22" spans="1:4" ht="13.75" thickTop="1" x14ac:dyDescent="0.6">
      <c r="B22" s="180"/>
      <c r="C22" s="282"/>
      <c r="D22" s="182"/>
    </row>
    <row r="23" spans="1:4" x14ac:dyDescent="0.6">
      <c r="A23" s="293"/>
      <c r="B23" s="292"/>
      <c r="C23" s="282"/>
      <c r="D23" s="182"/>
    </row>
    <row r="24" spans="1:4" x14ac:dyDescent="0.6">
      <c r="B24" s="180"/>
      <c r="C24" s="282"/>
      <c r="D24" s="182"/>
    </row>
    <row r="25" spans="1:4" x14ac:dyDescent="0.6">
      <c r="B25" s="183"/>
    </row>
    <row r="26" spans="1:4" x14ac:dyDescent="0.6">
      <c r="B26" s="183"/>
      <c r="C26" s="283"/>
      <c r="D26" s="187"/>
    </row>
    <row r="27" spans="1:4" x14ac:dyDescent="0.6">
      <c r="B27" s="183"/>
    </row>
    <row r="28" spans="1:4" x14ac:dyDescent="0.6">
      <c r="B28" s="180"/>
      <c r="C28" s="276"/>
      <c r="D28" s="182"/>
    </row>
  </sheetData>
  <pageMargins left="0.7" right="0.7" top="1" bottom="0.75" header="0.3" footer="0.3"/>
  <pageSetup scale="75" fitToHeight="0" orientation="landscape" r:id="rId1"/>
  <headerFooter>
    <oddHeader>&amp;L&amp;"Arial,Bold"Atlantic City Electric
&amp;"Arial,Regular"Development of BGS Rates
June 2023 - May 2024&amp;RAttachment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A3DC-38F5-4346-B00F-7CF357650B69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87" bestFit="1" customWidth="1"/>
    <col min="2" max="2" width="46" style="187" customWidth="1"/>
    <col min="3" max="3" width="17.86328125" style="187" customWidth="1"/>
    <col min="4" max="4" width="13.7265625" style="187" customWidth="1"/>
    <col min="5" max="5" width="13.1328125" style="187" customWidth="1"/>
    <col min="6" max="7" width="12.1328125" style="187" customWidth="1"/>
    <col min="8" max="8" width="11.86328125" style="187" customWidth="1"/>
    <col min="9" max="9" width="11" style="187" customWidth="1"/>
    <col min="10" max="10" width="13.1328125" style="187" customWidth="1"/>
    <col min="11" max="11" width="12.54296875" style="187" customWidth="1"/>
    <col min="12" max="12" width="21" style="187" customWidth="1"/>
    <col min="13" max="13" width="14.26953125" style="187" bestFit="1" customWidth="1"/>
    <col min="14" max="14" width="24.1328125" style="187" bestFit="1" customWidth="1"/>
    <col min="15" max="16" width="10.86328125" style="187" bestFit="1" customWidth="1"/>
    <col min="17" max="17" width="14.40625" style="187" bestFit="1" customWidth="1"/>
    <col min="18" max="16384" width="9.1328125" style="187"/>
  </cols>
  <sheetData>
    <row r="1" spans="1:11" ht="20.5" x14ac:dyDescent="0.9">
      <c r="A1" s="189" t="s">
        <v>244</v>
      </c>
    </row>
    <row r="2" spans="1:11" ht="15.5" x14ac:dyDescent="0.7">
      <c r="A2" s="190" t="s">
        <v>283</v>
      </c>
    </row>
    <row r="3" spans="1:11" x14ac:dyDescent="0.6">
      <c r="A3" s="191" t="s">
        <v>254</v>
      </c>
    </row>
    <row r="5" spans="1:11" x14ac:dyDescent="0.6">
      <c r="A5" s="193" t="s">
        <v>194</v>
      </c>
      <c r="B5" s="180" t="s">
        <v>195</v>
      </c>
    </row>
    <row r="6" spans="1:11" ht="51" customHeight="1" x14ac:dyDescent="0.6">
      <c r="A6" s="194" t="s">
        <v>142</v>
      </c>
      <c r="B6" s="180" t="s">
        <v>245</v>
      </c>
      <c r="C6" s="179" t="s">
        <v>269</v>
      </c>
      <c r="D6" s="179" t="s">
        <v>308</v>
      </c>
      <c r="E6" s="179" t="s">
        <v>285</v>
      </c>
      <c r="G6" s="179" t="s">
        <v>144</v>
      </c>
    </row>
    <row r="8" spans="1:11" x14ac:dyDescent="0.6">
      <c r="A8" s="194">
        <v>1</v>
      </c>
      <c r="B8" s="180" t="s">
        <v>145</v>
      </c>
      <c r="C8" s="6">
        <f>'Attachment 3'!D8</f>
        <v>75.569999999999993</v>
      </c>
      <c r="D8" s="6">
        <f>C8</f>
        <v>75.569999999999993</v>
      </c>
      <c r="E8" s="6">
        <f>D8</f>
        <v>75.569999999999993</v>
      </c>
      <c r="G8" s="5" t="s">
        <v>146</v>
      </c>
    </row>
    <row r="9" spans="1:11" x14ac:dyDescent="0.6">
      <c r="A9" s="195" t="s">
        <v>268</v>
      </c>
      <c r="B9" s="180" t="s">
        <v>286</v>
      </c>
      <c r="C9" s="176">
        <f>'Attachment 4 Pg2'!C21</f>
        <v>-4.6399999999999997</v>
      </c>
      <c r="D9" s="176">
        <f>'Attachment 4 Pg2'!D21</f>
        <v>-2</v>
      </c>
      <c r="E9" s="196"/>
      <c r="G9" s="129" t="s">
        <v>287</v>
      </c>
    </row>
    <row r="10" spans="1:11" x14ac:dyDescent="0.6">
      <c r="A10" s="194" t="s">
        <v>226</v>
      </c>
      <c r="B10" s="180" t="s">
        <v>246</v>
      </c>
      <c r="C10" s="197">
        <f>C8+C9</f>
        <v>70.929999999999993</v>
      </c>
      <c r="D10" s="197">
        <f t="shared" ref="D10:E10" si="0">D8+D9</f>
        <v>73.569999999999993</v>
      </c>
      <c r="E10" s="197">
        <f t="shared" si="0"/>
        <v>75.569999999999993</v>
      </c>
      <c r="G10" s="164" t="s">
        <v>270</v>
      </c>
    </row>
    <row r="11" spans="1:11" x14ac:dyDescent="0.6">
      <c r="A11" s="194"/>
      <c r="B11" s="180"/>
      <c r="C11" s="197"/>
      <c r="D11" s="197"/>
      <c r="E11" s="197"/>
      <c r="G11" s="198"/>
    </row>
    <row r="12" spans="1:11" x14ac:dyDescent="0.6">
      <c r="A12" s="194">
        <v>2</v>
      </c>
      <c r="B12" s="253" t="s">
        <v>247</v>
      </c>
      <c r="C12" s="199">
        <v>7</v>
      </c>
      <c r="D12" s="199">
        <v>8</v>
      </c>
      <c r="E12" s="199">
        <v>7</v>
      </c>
      <c r="G12" s="5" t="s">
        <v>147</v>
      </c>
    </row>
    <row r="13" spans="1:11" x14ac:dyDescent="0.6">
      <c r="A13" s="194">
        <v>3</v>
      </c>
      <c r="B13" s="180" t="s">
        <v>248</v>
      </c>
      <c r="C13" s="199">
        <v>22</v>
      </c>
      <c r="D13" s="199">
        <v>22</v>
      </c>
      <c r="E13" s="199">
        <v>22</v>
      </c>
      <c r="G13" s="5" t="s">
        <v>147</v>
      </c>
    </row>
    <row r="14" spans="1:11" x14ac:dyDescent="0.6">
      <c r="A14" s="194"/>
      <c r="B14" s="180"/>
      <c r="C14" s="199"/>
      <c r="D14" s="199"/>
      <c r="E14" s="199"/>
      <c r="G14" s="5"/>
    </row>
    <row r="15" spans="1:11" x14ac:dyDescent="0.6">
      <c r="A15" s="194"/>
      <c r="B15" s="180" t="s">
        <v>148</v>
      </c>
    </row>
    <row r="16" spans="1:11" x14ac:dyDescent="0.6">
      <c r="A16" s="194">
        <v>4</v>
      </c>
      <c r="B16" s="200" t="s">
        <v>149</v>
      </c>
      <c r="C16" s="78">
        <f>'Attachment 3'!C16</f>
        <v>1</v>
      </c>
      <c r="D16" s="78">
        <f>'Attachment 3'!D16</f>
        <v>1</v>
      </c>
      <c r="E16" s="133">
        <f>'Attachment 3'!E16</f>
        <v>1</v>
      </c>
      <c r="G16" s="5" t="s">
        <v>150</v>
      </c>
      <c r="K16" s="201"/>
    </row>
    <row r="17" spans="1:12" x14ac:dyDescent="0.6">
      <c r="A17" s="194">
        <v>5</v>
      </c>
      <c r="B17" s="200" t="s">
        <v>151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01"/>
    </row>
    <row r="18" spans="1:12" x14ac:dyDescent="0.6">
      <c r="A18" s="194"/>
    </row>
    <row r="19" spans="1:12" x14ac:dyDescent="0.6">
      <c r="A19" s="194"/>
      <c r="B19" s="3" t="s">
        <v>152</v>
      </c>
    </row>
    <row r="20" spans="1:12" x14ac:dyDescent="0.6">
      <c r="A20" s="194">
        <v>6</v>
      </c>
      <c r="B20" s="187" t="s">
        <v>153</v>
      </c>
      <c r="C20" s="202">
        <f>'Attachment 3'!C20</f>
        <v>2497011.763587791</v>
      </c>
      <c r="D20" s="203"/>
      <c r="E20" s="203"/>
      <c r="G20" s="5" t="s">
        <v>154</v>
      </c>
    </row>
    <row r="21" spans="1:12" x14ac:dyDescent="0.6">
      <c r="A21" s="194">
        <v>7</v>
      </c>
      <c r="B21" s="187" t="s">
        <v>155</v>
      </c>
      <c r="C21" s="202">
        <f>'Attachment 3'!C21</f>
        <v>3617698.8067957303</v>
      </c>
      <c r="D21" s="203"/>
      <c r="E21" s="203"/>
    </row>
    <row r="22" spans="1:12" x14ac:dyDescent="0.6">
      <c r="A22" s="194"/>
    </row>
    <row r="23" spans="1:12" x14ac:dyDescent="0.6">
      <c r="A23" s="194"/>
      <c r="B23" s="180" t="s">
        <v>249</v>
      </c>
    </row>
    <row r="24" spans="1:12" x14ac:dyDescent="0.6">
      <c r="A24" s="194">
        <v>8</v>
      </c>
      <c r="B24" s="200" t="s">
        <v>149</v>
      </c>
      <c r="C24" s="258">
        <f>((+C$8+C$9)*C$12/C$13*C16*$C20/1000)</f>
        <v>56354.150488135179</v>
      </c>
      <c r="D24" s="258">
        <f t="shared" ref="D24:E25" si="1">((+D$8+D$9)*D$12/D$13*D16*$C20/1000)</f>
        <v>66801.874708055911</v>
      </c>
      <c r="E24" s="258">
        <f t="shared" si="1"/>
        <v>60040.647855468436</v>
      </c>
      <c r="F24" s="204"/>
      <c r="G24" s="287" t="s">
        <v>296</v>
      </c>
      <c r="J24" s="205"/>
      <c r="L24" s="205"/>
    </row>
    <row r="25" spans="1:12" ht="15.25" x14ac:dyDescent="1.05">
      <c r="A25" s="194">
        <v>9</v>
      </c>
      <c r="B25" s="200" t="s">
        <v>151</v>
      </c>
      <c r="C25" s="206">
        <f>((+C$8+C$9)*C$12/C$13*C17*$C21/1000)</f>
        <v>81646.528843733991</v>
      </c>
      <c r="D25" s="206">
        <f t="shared" si="1"/>
        <v>96783.30953307703</v>
      </c>
      <c r="E25" s="206">
        <f t="shared" si="1"/>
        <v>86987.56780940335</v>
      </c>
      <c r="F25" s="204"/>
      <c r="G25" s="287" t="s">
        <v>297</v>
      </c>
    </row>
    <row r="26" spans="1:12" x14ac:dyDescent="0.6">
      <c r="A26" s="194">
        <v>10</v>
      </c>
      <c r="B26" s="187" t="s">
        <v>157</v>
      </c>
      <c r="C26" s="205">
        <f>+C25+C24</f>
        <v>138000.67933186918</v>
      </c>
      <c r="D26" s="205">
        <f>+D25+D24</f>
        <v>163585.18424113293</v>
      </c>
      <c r="E26" s="205">
        <f>+E25+E24</f>
        <v>147028.21566487179</v>
      </c>
      <c r="J26" s="205"/>
      <c r="L26" s="205"/>
    </row>
    <row r="27" spans="1:12" x14ac:dyDescent="0.6">
      <c r="A27" s="194"/>
    </row>
    <row r="28" spans="1:12" x14ac:dyDescent="0.6">
      <c r="A28" s="194"/>
      <c r="B28" s="180" t="s">
        <v>250</v>
      </c>
    </row>
    <row r="29" spans="1:12" x14ac:dyDescent="0.6">
      <c r="A29" s="194">
        <v>11</v>
      </c>
      <c r="B29" s="200" t="s">
        <v>149</v>
      </c>
      <c r="C29" s="249">
        <f>ROUND(+SUM(C24:E24)/C20*1000,3)</f>
        <v>73.366</v>
      </c>
      <c r="D29" s="207"/>
      <c r="G29" s="164" t="s">
        <v>219</v>
      </c>
    </row>
    <row r="30" spans="1:12" x14ac:dyDescent="0.6">
      <c r="A30" s="194">
        <v>12</v>
      </c>
      <c r="B30" s="200" t="s">
        <v>151</v>
      </c>
      <c r="C30" s="250">
        <f>ROUND(+SUM(C25:E25)/C21*1000,3)</f>
        <v>73.366</v>
      </c>
      <c r="G30" s="164" t="s">
        <v>220</v>
      </c>
    </row>
    <row r="31" spans="1:12" x14ac:dyDescent="0.6">
      <c r="A31" s="194"/>
      <c r="B31" s="200"/>
      <c r="C31" s="209"/>
      <c r="G31" s="208"/>
    </row>
    <row r="32" spans="1:12" x14ac:dyDescent="0.6">
      <c r="A32" s="194">
        <v>13</v>
      </c>
      <c r="B32" s="187" t="s">
        <v>159</v>
      </c>
      <c r="C32" s="251">
        <f>ROUND(+SUM(C26:E26)/(C20+C21)*1000,3)</f>
        <v>73.366</v>
      </c>
      <c r="D32" s="187" t="s">
        <v>160</v>
      </c>
      <c r="G32" s="164" t="s">
        <v>221</v>
      </c>
    </row>
    <row r="33" spans="1:13" x14ac:dyDescent="0.6">
      <c r="D33" s="187" t="s">
        <v>161</v>
      </c>
      <c r="G33" s="5" t="s">
        <v>162</v>
      </c>
    </row>
    <row r="34" spans="1:13" x14ac:dyDescent="0.6">
      <c r="C34" s="207"/>
    </row>
    <row r="35" spans="1:13" x14ac:dyDescent="0.6">
      <c r="A35" s="293" t="s">
        <v>303</v>
      </c>
      <c r="B35" s="292" t="s">
        <v>304</v>
      </c>
      <c r="C35" s="282"/>
      <c r="D35" s="177"/>
      <c r="E35" s="182"/>
      <c r="F35" s="177"/>
    </row>
    <row r="36" spans="1:13" x14ac:dyDescent="0.6">
      <c r="A36" s="194"/>
      <c r="B36" s="211"/>
      <c r="C36" s="205"/>
      <c r="D36" s="207"/>
      <c r="G36" s="208"/>
    </row>
    <row r="37" spans="1:13" ht="15.25" x14ac:dyDescent="1.05">
      <c r="A37" s="194"/>
      <c r="B37" s="211"/>
      <c r="C37" s="212"/>
      <c r="D37" s="207"/>
      <c r="G37" s="208"/>
    </row>
    <row r="38" spans="1:13" x14ac:dyDescent="0.6">
      <c r="A38" s="194"/>
      <c r="B38" s="211"/>
      <c r="C38" s="213"/>
      <c r="D38" s="207"/>
      <c r="G38" s="208"/>
    </row>
    <row r="39" spans="1:13" x14ac:dyDescent="0.6">
      <c r="B39" s="211"/>
      <c r="D39" s="207"/>
    </row>
    <row r="41" spans="1:13" x14ac:dyDescent="0.6">
      <c r="A41" s="214"/>
      <c r="B41" s="180"/>
      <c r="G41" s="192"/>
    </row>
    <row r="42" spans="1:13" x14ac:dyDescent="0.6">
      <c r="A42" s="214"/>
      <c r="B42" s="180"/>
      <c r="G42" s="192"/>
    </row>
    <row r="43" spans="1:13" x14ac:dyDescent="0.6">
      <c r="B43" s="180"/>
    </row>
    <row r="44" spans="1:13" x14ac:dyDescent="0.6">
      <c r="B44" s="192"/>
    </row>
    <row r="45" spans="1:13" x14ac:dyDescent="0.6">
      <c r="B45" s="180"/>
    </row>
    <row r="46" spans="1:13" x14ac:dyDescent="0.6">
      <c r="C46" s="215"/>
      <c r="D46" s="215"/>
      <c r="E46" s="215"/>
      <c r="F46" s="215"/>
      <c r="G46" s="215"/>
      <c r="H46" s="215"/>
      <c r="I46" s="215"/>
      <c r="J46" s="215"/>
    </row>
    <row r="47" spans="1:13" x14ac:dyDescent="0.6">
      <c r="C47" s="215"/>
      <c r="D47" s="215"/>
      <c r="E47" s="215"/>
      <c r="F47" s="215"/>
      <c r="G47" s="215"/>
    </row>
    <row r="48" spans="1:13" x14ac:dyDescent="0.6">
      <c r="B48" s="216"/>
      <c r="E48" s="217"/>
      <c r="F48" s="29"/>
      <c r="G48" s="29"/>
      <c r="H48" s="29"/>
      <c r="I48" s="217"/>
      <c r="J48" s="217"/>
      <c r="K48" s="218"/>
      <c r="L48" s="218"/>
      <c r="M48" s="218"/>
    </row>
    <row r="49" spans="2:13" x14ac:dyDescent="0.6">
      <c r="B49" s="219"/>
      <c r="C49" s="24"/>
      <c r="D49" s="220"/>
      <c r="E49" s="29"/>
      <c r="F49" s="217"/>
      <c r="G49" s="217"/>
      <c r="H49" s="217"/>
      <c r="I49" s="183"/>
      <c r="J49" s="221"/>
      <c r="K49" s="218"/>
      <c r="L49" s="218"/>
      <c r="M49" s="218"/>
    </row>
    <row r="50" spans="2:13" x14ac:dyDescent="0.6">
      <c r="B50" s="219"/>
      <c r="C50" s="24"/>
      <c r="D50" s="220"/>
      <c r="E50" s="29"/>
      <c r="F50" s="217"/>
      <c r="G50" s="217"/>
      <c r="H50" s="222"/>
      <c r="I50" s="183"/>
      <c r="J50" s="221"/>
      <c r="K50" s="223"/>
      <c r="L50" s="218"/>
      <c r="M50" s="218"/>
    </row>
    <row r="51" spans="2:13" x14ac:dyDescent="0.6">
      <c r="E51" s="24"/>
      <c r="F51" s="220"/>
      <c r="G51" s="220"/>
      <c r="L51" s="218"/>
      <c r="M51" s="218"/>
    </row>
    <row r="52" spans="2:13" x14ac:dyDescent="0.6">
      <c r="B52" s="224"/>
      <c r="C52" s="29"/>
      <c r="D52" s="29"/>
      <c r="E52" s="24"/>
      <c r="F52" s="220"/>
      <c r="G52" s="220"/>
      <c r="H52" s="220"/>
      <c r="I52" s="220"/>
      <c r="J52" s="220"/>
      <c r="K52" s="218"/>
      <c r="L52" s="218"/>
      <c r="M52" s="218"/>
    </row>
    <row r="53" spans="2:13" x14ac:dyDescent="0.6">
      <c r="B53" s="224"/>
      <c r="C53" s="225"/>
      <c r="D53" s="225"/>
      <c r="E53" s="226"/>
      <c r="F53" s="220"/>
      <c r="G53" s="220"/>
      <c r="H53" s="220"/>
      <c r="I53" s="220"/>
      <c r="J53" s="220"/>
      <c r="K53" s="218"/>
      <c r="L53" s="218"/>
      <c r="M53" s="218"/>
    </row>
    <row r="54" spans="2:13" x14ac:dyDescent="0.6">
      <c r="B54" s="224"/>
      <c r="C54" s="225"/>
      <c r="D54" s="225"/>
      <c r="E54" s="226"/>
      <c r="F54" s="220"/>
      <c r="G54" s="220"/>
      <c r="H54" s="220"/>
      <c r="I54" s="220"/>
      <c r="J54" s="220"/>
      <c r="K54" s="218"/>
      <c r="L54" s="218"/>
      <c r="M54" s="218"/>
    </row>
    <row r="55" spans="2:13" x14ac:dyDescent="0.6">
      <c r="G55" s="220"/>
      <c r="H55" s="220"/>
      <c r="I55" s="220"/>
      <c r="J55" s="220"/>
      <c r="K55" s="218"/>
      <c r="L55" s="218"/>
      <c r="M55" s="218"/>
    </row>
    <row r="56" spans="2:13" x14ac:dyDescent="0.6">
      <c r="H56" s="220"/>
      <c r="I56" s="220"/>
      <c r="J56" s="220"/>
      <c r="K56" s="218"/>
      <c r="L56" s="218"/>
      <c r="M56" s="218"/>
    </row>
    <row r="57" spans="2:13" x14ac:dyDescent="0.6">
      <c r="C57" s="220"/>
      <c r="D57" s="220"/>
      <c r="E57" s="220"/>
      <c r="F57" s="220"/>
      <c r="G57" s="220"/>
      <c r="H57" s="220"/>
      <c r="I57" s="220"/>
      <c r="J57" s="220"/>
      <c r="K57" s="218"/>
      <c r="L57" s="218"/>
      <c r="M57" s="218"/>
    </row>
    <row r="58" spans="2:13" x14ac:dyDescent="0.6">
      <c r="B58" s="216"/>
      <c r="C58" s="29"/>
      <c r="D58" s="29"/>
      <c r="E58" s="217"/>
      <c r="F58" s="29"/>
      <c r="G58" s="29"/>
      <c r="H58" s="29"/>
      <c r="I58" s="217"/>
      <c r="J58" s="217"/>
      <c r="K58" s="218"/>
      <c r="L58" s="218"/>
      <c r="M58" s="218"/>
    </row>
    <row r="59" spans="2:13" x14ac:dyDescent="0.6">
      <c r="B59" s="219"/>
      <c r="C59" s="220"/>
      <c r="D59" s="220"/>
      <c r="E59" s="29"/>
      <c r="F59" s="220"/>
      <c r="G59" s="220"/>
      <c r="H59" s="220"/>
      <c r="J59" s="221"/>
      <c r="K59" s="218"/>
      <c r="L59" s="218"/>
      <c r="M59" s="218"/>
    </row>
    <row r="60" spans="2:13" x14ac:dyDescent="0.6">
      <c r="B60" s="219"/>
      <c r="C60" s="220"/>
      <c r="D60" s="220"/>
      <c r="E60" s="29"/>
      <c r="F60" s="220"/>
      <c r="G60" s="220"/>
      <c r="J60" s="221"/>
      <c r="K60" s="223"/>
      <c r="L60" s="218"/>
      <c r="M60" s="218"/>
    </row>
    <row r="61" spans="2:13" x14ac:dyDescent="0.6">
      <c r="C61" s="227"/>
      <c r="D61" s="227"/>
      <c r="E61" s="227"/>
      <c r="F61" s="227"/>
      <c r="G61" s="227"/>
      <c r="K61" s="218"/>
      <c r="L61" s="218"/>
      <c r="M61" s="218"/>
    </row>
    <row r="62" spans="2:13" x14ac:dyDescent="0.6">
      <c r="C62" s="228"/>
      <c r="D62" s="228"/>
      <c r="E62" s="228"/>
      <c r="F62" s="228"/>
      <c r="G62" s="228"/>
      <c r="H62" s="228"/>
      <c r="I62" s="228"/>
      <c r="J62" s="228"/>
      <c r="K62" s="218"/>
      <c r="L62" s="218"/>
      <c r="M62" s="218"/>
    </row>
    <row r="65" spans="2:11" x14ac:dyDescent="0.6">
      <c r="B65" s="180"/>
    </row>
    <row r="66" spans="2:11" x14ac:dyDescent="0.6">
      <c r="B66" s="192"/>
    </row>
    <row r="67" spans="2:11" x14ac:dyDescent="0.6">
      <c r="B67" s="183"/>
    </row>
    <row r="68" spans="2:11" x14ac:dyDescent="0.6">
      <c r="C68" s="215"/>
      <c r="D68" s="215"/>
      <c r="E68" s="215"/>
      <c r="F68" s="215"/>
      <c r="H68" s="180"/>
      <c r="I68" s="215"/>
      <c r="J68" s="215"/>
    </row>
    <row r="69" spans="2:11" x14ac:dyDescent="0.6">
      <c r="C69" s="215"/>
      <c r="D69" s="229"/>
      <c r="E69" s="215"/>
      <c r="F69" s="229"/>
    </row>
    <row r="70" spans="2:11" x14ac:dyDescent="0.6">
      <c r="B70" s="216"/>
      <c r="C70" s="29"/>
      <c r="D70" s="223"/>
      <c r="E70" s="222"/>
      <c r="F70" s="222"/>
      <c r="H70" s="230"/>
    </row>
    <row r="71" spans="2:11" x14ac:dyDescent="0.6">
      <c r="B71" s="219"/>
      <c r="C71" s="217"/>
      <c r="D71" s="223"/>
      <c r="E71" s="29"/>
      <c r="F71" s="223"/>
      <c r="H71" s="211"/>
      <c r="I71" s="231"/>
      <c r="J71" s="231"/>
      <c r="K71" s="208"/>
    </row>
    <row r="72" spans="2:11" x14ac:dyDescent="0.6">
      <c r="B72" s="219"/>
      <c r="C72" s="217"/>
      <c r="D72" s="223"/>
      <c r="E72" s="29"/>
      <c r="F72" s="223"/>
      <c r="H72" s="211"/>
      <c r="I72" s="231"/>
      <c r="J72" s="231"/>
      <c r="K72" s="208"/>
    </row>
    <row r="73" spans="2:11" x14ac:dyDescent="0.6">
      <c r="C73" s="217"/>
      <c r="D73" s="223"/>
      <c r="E73" s="217"/>
      <c r="F73" s="223"/>
      <c r="H73" s="211"/>
      <c r="I73" s="231"/>
      <c r="J73" s="231"/>
      <c r="K73" s="208"/>
    </row>
    <row r="74" spans="2:11" x14ac:dyDescent="0.6">
      <c r="B74" s="216"/>
      <c r="C74" s="29"/>
      <c r="D74" s="223"/>
      <c r="E74" s="29"/>
      <c r="F74" s="223"/>
      <c r="H74" s="230"/>
      <c r="I74" s="207"/>
      <c r="J74" s="207"/>
    </row>
    <row r="75" spans="2:11" x14ac:dyDescent="0.6">
      <c r="B75" s="219"/>
      <c r="C75" s="217"/>
      <c r="D75" s="222"/>
      <c r="E75" s="29"/>
      <c r="F75" s="223"/>
      <c r="H75" s="211"/>
      <c r="I75" s="231"/>
      <c r="J75" s="231"/>
      <c r="K75" s="208"/>
    </row>
    <row r="76" spans="2:11" x14ac:dyDescent="0.6">
      <c r="B76" s="219"/>
      <c r="C76" s="217"/>
      <c r="D76" s="222"/>
      <c r="E76" s="29"/>
      <c r="F76" s="223"/>
    </row>
    <row r="77" spans="2:11" x14ac:dyDescent="0.6">
      <c r="C77" s="228"/>
      <c r="D77" s="222"/>
      <c r="E77" s="228"/>
      <c r="F77" s="222"/>
    </row>
    <row r="78" spans="2:11" x14ac:dyDescent="0.6">
      <c r="C78" s="228"/>
      <c r="D78" s="222"/>
      <c r="E78" s="228"/>
      <c r="F78" s="222"/>
    </row>
    <row r="79" spans="2:11" x14ac:dyDescent="0.6">
      <c r="C79" s="228"/>
      <c r="D79" s="222"/>
      <c r="E79" s="228"/>
      <c r="F79" s="222"/>
    </row>
    <row r="80" spans="2:11" x14ac:dyDescent="0.6">
      <c r="C80" s="218"/>
      <c r="E80" s="218"/>
    </row>
    <row r="81" spans="1:13" x14ac:dyDescent="0.6">
      <c r="A81" s="232"/>
      <c r="B81" s="210"/>
      <c r="C81" s="218"/>
      <c r="E81" s="218"/>
    </row>
    <row r="82" spans="1:13" x14ac:dyDescent="0.6">
      <c r="A82" s="232"/>
      <c r="B82" s="192"/>
    </row>
    <row r="84" spans="1:13" x14ac:dyDescent="0.6">
      <c r="B84" s="180"/>
    </row>
    <row r="85" spans="1:13" x14ac:dyDescent="0.6">
      <c r="B85" s="192"/>
    </row>
    <row r="86" spans="1:13" x14ac:dyDescent="0.6">
      <c r="B86" s="180"/>
    </row>
    <row r="87" spans="1:13" x14ac:dyDescent="0.6">
      <c r="C87" s="215"/>
      <c r="D87" s="215"/>
      <c r="E87" s="215"/>
      <c r="F87" s="215"/>
      <c r="G87" s="215"/>
      <c r="H87" s="215"/>
      <c r="I87" s="215"/>
      <c r="J87" s="215"/>
    </row>
    <row r="88" spans="1:13" x14ac:dyDescent="0.6">
      <c r="C88" s="232"/>
      <c r="D88" s="232"/>
      <c r="E88" s="232"/>
      <c r="F88" s="233"/>
      <c r="G88" s="233"/>
      <c r="H88" s="233"/>
      <c r="I88" s="233"/>
      <c r="J88" s="233"/>
    </row>
    <row r="89" spans="1:13" x14ac:dyDescent="0.6">
      <c r="B89" s="216"/>
      <c r="C89" s="232"/>
      <c r="D89" s="232"/>
      <c r="E89" s="232"/>
      <c r="F89" s="233"/>
      <c r="G89" s="233"/>
      <c r="H89" s="233"/>
      <c r="I89" s="233"/>
      <c r="J89" s="233"/>
      <c r="L89" s="218"/>
      <c r="M89" s="218"/>
    </row>
    <row r="90" spans="1:13" x14ac:dyDescent="0.6">
      <c r="B90" s="219"/>
      <c r="C90" s="232"/>
      <c r="D90" s="232"/>
      <c r="E90" s="233"/>
      <c r="F90" s="232"/>
      <c r="G90" s="233"/>
      <c r="H90" s="233"/>
      <c r="I90" s="233"/>
      <c r="J90" s="232"/>
      <c r="L90" s="218"/>
      <c r="M90" s="218"/>
    </row>
    <row r="91" spans="1:13" x14ac:dyDescent="0.6">
      <c r="B91" s="219"/>
      <c r="C91" s="232"/>
      <c r="D91" s="232"/>
      <c r="E91" s="233"/>
      <c r="F91" s="232"/>
      <c r="G91" s="232"/>
      <c r="H91" s="232"/>
      <c r="I91" s="232"/>
      <c r="J91" s="232"/>
      <c r="L91" s="218"/>
      <c r="M91" s="218"/>
    </row>
    <row r="92" spans="1:13" x14ac:dyDescent="0.6">
      <c r="B92" s="224"/>
      <c r="C92" s="232"/>
      <c r="D92" s="232"/>
      <c r="E92" s="232"/>
      <c r="F92" s="232"/>
      <c r="G92" s="232"/>
      <c r="H92" s="232"/>
      <c r="I92" s="232"/>
      <c r="J92" s="232"/>
      <c r="L92" s="218"/>
      <c r="M92" s="218"/>
    </row>
    <row r="93" spans="1:13" x14ac:dyDescent="0.6">
      <c r="B93" s="226"/>
      <c r="C93" s="233"/>
      <c r="D93" s="233"/>
      <c r="E93" s="232"/>
      <c r="F93" s="232"/>
      <c r="G93" s="232"/>
      <c r="H93" s="232"/>
      <c r="I93" s="232"/>
      <c r="J93" s="232"/>
      <c r="L93" s="218"/>
      <c r="M93" s="218"/>
    </row>
    <row r="94" spans="1:13" x14ac:dyDescent="0.6">
      <c r="B94" s="226"/>
      <c r="C94" s="233"/>
      <c r="D94" s="233"/>
      <c r="E94" s="232"/>
      <c r="F94" s="232"/>
      <c r="G94" s="232"/>
      <c r="H94" s="232"/>
      <c r="I94" s="232"/>
      <c r="J94" s="232"/>
      <c r="L94" s="218"/>
      <c r="M94" s="218"/>
    </row>
    <row r="95" spans="1:13" x14ac:dyDescent="0.6">
      <c r="C95" s="233"/>
      <c r="D95" s="233"/>
      <c r="E95" s="232"/>
      <c r="F95" s="232"/>
      <c r="G95" s="232"/>
      <c r="H95" s="232"/>
      <c r="I95" s="232"/>
      <c r="J95" s="232"/>
      <c r="L95" s="218"/>
      <c r="M95" s="218"/>
    </row>
    <row r="96" spans="1:13" x14ac:dyDescent="0.6">
      <c r="B96" s="216"/>
      <c r="C96" s="233"/>
      <c r="D96" s="233"/>
      <c r="E96" s="232"/>
      <c r="F96" s="233"/>
      <c r="G96" s="233"/>
      <c r="H96" s="233"/>
      <c r="I96" s="233"/>
      <c r="J96" s="233"/>
      <c r="L96" s="218"/>
      <c r="M96" s="218"/>
    </row>
    <row r="97" spans="2:13" x14ac:dyDescent="0.6">
      <c r="B97" s="219"/>
      <c r="C97" s="232"/>
      <c r="D97" s="232"/>
      <c r="E97" s="233"/>
      <c r="F97" s="232"/>
      <c r="G97" s="232"/>
      <c r="H97" s="232"/>
      <c r="I97" s="232"/>
      <c r="J97" s="232"/>
      <c r="L97" s="218"/>
      <c r="M97" s="218"/>
    </row>
    <row r="98" spans="2:13" x14ac:dyDescent="0.6">
      <c r="B98" s="219"/>
      <c r="C98" s="232"/>
      <c r="D98" s="232"/>
      <c r="E98" s="233"/>
      <c r="F98" s="232"/>
      <c r="G98" s="232"/>
      <c r="H98" s="232"/>
      <c r="I98" s="232"/>
      <c r="J98" s="232"/>
      <c r="L98" s="218"/>
      <c r="M98" s="218"/>
    </row>
    <row r="99" spans="2:13" x14ac:dyDescent="0.6">
      <c r="C99" s="232"/>
      <c r="D99" s="232"/>
      <c r="E99" s="233"/>
      <c r="F99" s="232"/>
      <c r="G99" s="232"/>
      <c r="H99" s="232"/>
      <c r="I99" s="232"/>
      <c r="J99" s="232"/>
      <c r="L99" s="218"/>
      <c r="M99" s="218"/>
    </row>
    <row r="102" spans="2:13" x14ac:dyDescent="0.6">
      <c r="B102" s="180"/>
    </row>
    <row r="103" spans="2:13" x14ac:dyDescent="0.6">
      <c r="B103" s="192"/>
    </row>
    <row r="104" spans="2:13" x14ac:dyDescent="0.6">
      <c r="B104" s="183"/>
    </row>
    <row r="105" spans="2:13" x14ac:dyDescent="0.6">
      <c r="C105" s="215"/>
      <c r="D105" s="215"/>
      <c r="E105" s="215"/>
      <c r="F105" s="215"/>
      <c r="H105" s="180"/>
      <c r="I105" s="215"/>
      <c r="J105" s="215"/>
    </row>
    <row r="106" spans="2:13" x14ac:dyDescent="0.6">
      <c r="F106" s="229"/>
    </row>
    <row r="107" spans="2:13" x14ac:dyDescent="0.6">
      <c r="B107" s="216"/>
      <c r="C107" s="233"/>
      <c r="D107" s="233"/>
      <c r="E107" s="233"/>
      <c r="F107" s="222"/>
      <c r="H107" s="230"/>
    </row>
    <row r="108" spans="2:13" x14ac:dyDescent="0.6">
      <c r="B108" s="219"/>
      <c r="C108" s="233"/>
      <c r="D108" s="233"/>
      <c r="E108" s="233"/>
      <c r="F108" s="223"/>
      <c r="H108" s="211"/>
      <c r="I108" s="234"/>
      <c r="J108" s="234"/>
      <c r="K108" s="208"/>
    </row>
    <row r="109" spans="2:13" x14ac:dyDescent="0.6">
      <c r="B109" s="219"/>
      <c r="C109" s="233"/>
      <c r="D109" s="233"/>
      <c r="E109" s="233"/>
      <c r="F109" s="223"/>
      <c r="H109" s="211"/>
      <c r="I109" s="234"/>
      <c r="J109" s="234"/>
      <c r="K109" s="208"/>
    </row>
    <row r="110" spans="2:13" x14ac:dyDescent="0.6">
      <c r="C110" s="233"/>
      <c r="D110" s="233"/>
      <c r="E110" s="233"/>
      <c r="F110" s="223"/>
      <c r="H110" s="211"/>
      <c r="I110" s="231"/>
      <c r="J110" s="231"/>
      <c r="K110" s="208"/>
    </row>
    <row r="111" spans="2:13" x14ac:dyDescent="0.6">
      <c r="B111" s="216"/>
      <c r="C111" s="233"/>
      <c r="D111" s="233"/>
      <c r="E111" s="233"/>
      <c r="F111" s="223"/>
      <c r="H111" s="230"/>
      <c r="I111" s="207"/>
      <c r="J111" s="207"/>
    </row>
    <row r="112" spans="2:13" x14ac:dyDescent="0.6">
      <c r="B112" s="219"/>
      <c r="C112" s="233"/>
      <c r="D112" s="233"/>
      <c r="E112" s="233"/>
      <c r="F112" s="223"/>
      <c r="H112" s="211"/>
      <c r="I112" s="234"/>
      <c r="J112" s="234"/>
      <c r="K112" s="208"/>
    </row>
    <row r="113" spans="1:12" x14ac:dyDescent="0.6">
      <c r="B113" s="219"/>
      <c r="C113" s="233"/>
      <c r="D113" s="233"/>
      <c r="E113" s="233"/>
      <c r="F113" s="223"/>
    </row>
    <row r="114" spans="1:12" x14ac:dyDescent="0.6">
      <c r="C114" s="228"/>
      <c r="D114" s="222"/>
      <c r="E114" s="228"/>
      <c r="F114" s="222"/>
    </row>
    <row r="115" spans="1:12" x14ac:dyDescent="0.6">
      <c r="C115" s="228"/>
      <c r="D115" s="222"/>
      <c r="E115" s="228"/>
      <c r="F115" s="222"/>
    </row>
    <row r="117" spans="1:12" x14ac:dyDescent="0.6">
      <c r="A117" s="232"/>
      <c r="B117" s="180"/>
      <c r="C117" s="218"/>
      <c r="E117" s="218"/>
    </row>
    <row r="118" spans="1:12" x14ac:dyDescent="0.6">
      <c r="C118" s="218"/>
      <c r="E118" s="218"/>
    </row>
    <row r="119" spans="1:12" x14ac:dyDescent="0.6">
      <c r="C119" s="215"/>
      <c r="D119" s="215"/>
      <c r="E119" s="215"/>
      <c r="F119" s="215"/>
      <c r="G119" s="215"/>
      <c r="H119" s="215"/>
      <c r="I119" s="215"/>
      <c r="J119" s="215"/>
    </row>
    <row r="121" spans="1:12" x14ac:dyDescent="0.6">
      <c r="B121" s="194"/>
      <c r="C121" s="213"/>
      <c r="D121" s="213"/>
      <c r="E121" s="235"/>
      <c r="F121" s="213"/>
      <c r="G121" s="213"/>
      <c r="H121" s="213"/>
      <c r="I121" s="213"/>
      <c r="J121" s="213"/>
    </row>
    <row r="122" spans="1:12" ht="15.25" x14ac:dyDescent="1.05">
      <c r="B122" s="194"/>
      <c r="C122" s="236"/>
      <c r="D122" s="236"/>
      <c r="E122" s="236"/>
      <c r="F122" s="236"/>
      <c r="G122" s="236"/>
      <c r="H122" s="236"/>
      <c r="I122" s="236"/>
      <c r="J122" s="236"/>
    </row>
    <row r="123" spans="1:12" x14ac:dyDescent="0.6">
      <c r="B123" s="194"/>
      <c r="C123" s="205"/>
      <c r="D123" s="205"/>
      <c r="E123" s="205"/>
      <c r="F123" s="205"/>
      <c r="G123" s="205"/>
      <c r="H123" s="205"/>
      <c r="I123" s="205"/>
      <c r="J123" s="205"/>
    </row>
    <row r="124" spans="1:12" x14ac:dyDescent="0.6">
      <c r="B124" s="194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</row>
    <row r="125" spans="1:12" x14ac:dyDescent="0.6">
      <c r="B125" s="194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</row>
    <row r="126" spans="1:12" x14ac:dyDescent="0.6">
      <c r="B126" s="194"/>
      <c r="C126" s="215"/>
      <c r="D126" s="215"/>
      <c r="F126" s="215"/>
      <c r="G126" s="215"/>
      <c r="H126" s="205"/>
      <c r="I126" s="205"/>
      <c r="J126" s="205"/>
      <c r="K126" s="205"/>
      <c r="L126" s="205"/>
    </row>
    <row r="127" spans="1:12" x14ac:dyDescent="0.6">
      <c r="B127" s="194"/>
      <c r="C127" s="215"/>
      <c r="D127" s="215"/>
      <c r="F127" s="215"/>
      <c r="G127" s="215"/>
      <c r="H127" s="205"/>
      <c r="I127" s="205"/>
      <c r="J127" s="205"/>
      <c r="K127" s="205"/>
      <c r="L127" s="205"/>
    </row>
    <row r="128" spans="1:12" x14ac:dyDescent="0.6">
      <c r="B128" s="194"/>
      <c r="G128" s="205"/>
      <c r="H128" s="205"/>
      <c r="I128" s="205"/>
      <c r="J128" s="205"/>
      <c r="K128" s="205"/>
      <c r="L128" s="205"/>
    </row>
    <row r="129" spans="2:12" x14ac:dyDescent="0.6">
      <c r="B129" s="194"/>
      <c r="C129" s="235"/>
      <c r="D129" s="235"/>
      <c r="F129" s="235"/>
      <c r="G129" s="235"/>
      <c r="H129" s="205"/>
      <c r="I129" s="205"/>
      <c r="J129" s="205"/>
      <c r="K129" s="205"/>
      <c r="L129" s="205"/>
    </row>
    <row r="130" spans="2:12" ht="15.25" x14ac:dyDescent="1.05">
      <c r="B130" s="194"/>
      <c r="C130" s="237"/>
      <c r="D130" s="237"/>
      <c r="F130" s="237"/>
      <c r="G130" s="237"/>
      <c r="H130" s="205"/>
      <c r="I130" s="205"/>
      <c r="J130" s="205"/>
      <c r="K130" s="205"/>
      <c r="L130" s="205"/>
    </row>
    <row r="131" spans="2:12" x14ac:dyDescent="0.6">
      <c r="B131" s="194"/>
      <c r="C131" s="205"/>
      <c r="D131" s="205"/>
      <c r="F131" s="205"/>
      <c r="G131" s="205"/>
      <c r="H131" s="205"/>
      <c r="I131" s="205"/>
      <c r="J131" s="205"/>
      <c r="K131" s="205"/>
      <c r="L131" s="205"/>
    </row>
    <row r="132" spans="2:12" x14ac:dyDescent="0.6">
      <c r="B132" s="194"/>
      <c r="C132" s="205"/>
      <c r="F132" s="205"/>
      <c r="G132" s="205"/>
      <c r="H132" s="205"/>
      <c r="I132" s="205"/>
      <c r="J132" s="205"/>
      <c r="K132" s="205"/>
      <c r="L132" s="205"/>
    </row>
    <row r="133" spans="2:12" x14ac:dyDescent="0.6">
      <c r="B133" s="194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</row>
    <row r="134" spans="2:12" x14ac:dyDescent="0.6">
      <c r="B134" s="194"/>
      <c r="C134" s="215"/>
      <c r="D134" s="215"/>
      <c r="E134" s="215"/>
      <c r="F134" s="205"/>
      <c r="G134" s="205"/>
      <c r="H134" s="205"/>
      <c r="I134" s="205"/>
      <c r="J134" s="205"/>
      <c r="K134" s="205"/>
      <c r="L134" s="205"/>
    </row>
    <row r="135" spans="2:12" x14ac:dyDescent="0.6">
      <c r="B135" s="194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</row>
    <row r="136" spans="2:12" ht="15.25" x14ac:dyDescent="1.05">
      <c r="B136" s="194"/>
      <c r="C136" s="212"/>
      <c r="D136" s="212"/>
      <c r="E136" s="212"/>
    </row>
    <row r="137" spans="2:12" x14ac:dyDescent="0.6">
      <c r="B137" s="194"/>
      <c r="C137" s="205"/>
      <c r="D137" s="205"/>
      <c r="E137" s="238"/>
    </row>
    <row r="138" spans="2:12" x14ac:dyDescent="0.6">
      <c r="B138" s="194"/>
      <c r="C138" s="218"/>
      <c r="E138" s="218"/>
    </row>
    <row r="139" spans="2:12" x14ac:dyDescent="0.6"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</row>
    <row r="141" spans="2:12" x14ac:dyDescent="0.6">
      <c r="B141" s="194"/>
      <c r="C141" s="205"/>
    </row>
    <row r="142" spans="2:12" ht="15.25" x14ac:dyDescent="1.05">
      <c r="B142" s="194"/>
      <c r="C142" s="212"/>
    </row>
    <row r="143" spans="2:12" x14ac:dyDescent="0.6">
      <c r="B143" s="194"/>
      <c r="C143" s="205"/>
    </row>
    <row r="144" spans="2:12" x14ac:dyDescent="0.6">
      <c r="C144" s="218"/>
    </row>
    <row r="145" spans="1:10" x14ac:dyDescent="0.6">
      <c r="B145" s="239"/>
      <c r="C145" s="195"/>
    </row>
    <row r="146" spans="1:10" x14ac:dyDescent="0.6">
      <c r="B146" s="194"/>
      <c r="C146" s="205"/>
    </row>
    <row r="147" spans="1:10" ht="15.25" x14ac:dyDescent="1.05">
      <c r="B147" s="194"/>
      <c r="C147" s="212"/>
    </row>
    <row r="148" spans="1:10" x14ac:dyDescent="0.6">
      <c r="B148" s="194"/>
      <c r="C148" s="205"/>
    </row>
    <row r="151" spans="1:10" x14ac:dyDescent="0.6">
      <c r="D151" s="240"/>
      <c r="E151" s="240"/>
      <c r="F151" s="240"/>
      <c r="G151" s="240"/>
      <c r="H151" s="240"/>
      <c r="I151" s="240"/>
    </row>
    <row r="152" spans="1:10" x14ac:dyDescent="0.6">
      <c r="D152" s="240"/>
      <c r="E152" s="240"/>
      <c r="F152" s="240"/>
      <c r="G152" s="240"/>
      <c r="H152" s="240"/>
      <c r="I152" s="240"/>
    </row>
    <row r="153" spans="1:10" x14ac:dyDescent="0.6">
      <c r="A153" s="232"/>
      <c r="B153" s="210"/>
      <c r="C153" s="218"/>
      <c r="E153" s="218"/>
    </row>
    <row r="154" spans="1:10" x14ac:dyDescent="0.6">
      <c r="B154" s="192"/>
    </row>
    <row r="156" spans="1:10" x14ac:dyDescent="0.6">
      <c r="B156" s="180"/>
    </row>
    <row r="157" spans="1:10" x14ac:dyDescent="0.6">
      <c r="B157" s="192"/>
    </row>
    <row r="158" spans="1:10" x14ac:dyDescent="0.6">
      <c r="B158" s="180"/>
    </row>
    <row r="159" spans="1:10" x14ac:dyDescent="0.6">
      <c r="C159" s="215"/>
      <c r="D159" s="215"/>
      <c r="E159" s="215"/>
      <c r="F159" s="215"/>
      <c r="G159" s="215"/>
      <c r="H159" s="215"/>
      <c r="I159" s="215"/>
      <c r="J159" s="215"/>
    </row>
    <row r="160" spans="1:10" x14ac:dyDescent="0.6">
      <c r="C160" s="232"/>
      <c r="D160" s="232"/>
      <c r="E160" s="232"/>
      <c r="F160" s="233"/>
      <c r="G160" s="233"/>
      <c r="H160" s="233"/>
      <c r="I160" s="233"/>
      <c r="J160" s="233"/>
    </row>
    <row r="161" spans="2:10" x14ac:dyDescent="0.6">
      <c r="B161" s="216"/>
      <c r="C161" s="232"/>
      <c r="D161" s="232"/>
      <c r="E161" s="232"/>
      <c r="F161" s="233"/>
      <c r="G161" s="233"/>
      <c r="H161" s="233"/>
      <c r="I161" s="233"/>
      <c r="J161" s="233"/>
    </row>
    <row r="162" spans="2:10" x14ac:dyDescent="0.6">
      <c r="B162" s="219"/>
      <c r="C162" s="232"/>
      <c r="D162" s="232"/>
      <c r="E162" s="233"/>
      <c r="G162" s="233"/>
      <c r="H162" s="233"/>
      <c r="I162" s="233"/>
      <c r="J162" s="232"/>
    </row>
    <row r="163" spans="2:10" x14ac:dyDescent="0.6">
      <c r="B163" s="219"/>
      <c r="C163" s="232"/>
      <c r="D163" s="232"/>
      <c r="E163" s="233"/>
      <c r="F163" s="232"/>
      <c r="G163" s="232"/>
      <c r="H163" s="232"/>
      <c r="I163" s="232"/>
      <c r="J163" s="232"/>
    </row>
    <row r="164" spans="2:10" x14ac:dyDescent="0.6">
      <c r="B164" s="224"/>
      <c r="C164" s="232"/>
      <c r="D164" s="232"/>
      <c r="E164" s="232"/>
      <c r="F164" s="232"/>
      <c r="G164" s="232"/>
      <c r="H164" s="232"/>
      <c r="I164" s="232"/>
      <c r="J164" s="232"/>
    </row>
    <row r="165" spans="2:10" x14ac:dyDescent="0.6">
      <c r="B165" s="226"/>
      <c r="C165" s="233"/>
      <c r="D165" s="233"/>
      <c r="E165" s="232"/>
      <c r="F165" s="232"/>
      <c r="G165" s="232"/>
      <c r="H165" s="232"/>
      <c r="I165" s="232"/>
      <c r="J165" s="232"/>
    </row>
    <row r="166" spans="2:10" x14ac:dyDescent="0.6">
      <c r="B166" s="226"/>
      <c r="C166" s="233"/>
      <c r="D166" s="233"/>
      <c r="E166" s="232"/>
      <c r="F166" s="232"/>
      <c r="G166" s="232"/>
      <c r="H166" s="232"/>
      <c r="I166" s="232"/>
      <c r="J166" s="232"/>
    </row>
    <row r="167" spans="2:10" x14ac:dyDescent="0.6">
      <c r="C167" s="233"/>
      <c r="D167" s="233"/>
      <c r="E167" s="232"/>
      <c r="F167" s="232"/>
      <c r="G167" s="232"/>
      <c r="H167" s="232"/>
      <c r="I167" s="232"/>
      <c r="J167" s="232"/>
    </row>
    <row r="168" spans="2:10" x14ac:dyDescent="0.6">
      <c r="B168" s="216"/>
      <c r="C168" s="233"/>
      <c r="D168" s="233"/>
      <c r="E168" s="232"/>
      <c r="F168" s="233"/>
      <c r="G168" s="233"/>
      <c r="H168" s="233"/>
      <c r="I168" s="233"/>
      <c r="J168" s="233"/>
    </row>
    <row r="169" spans="2:10" x14ac:dyDescent="0.6">
      <c r="B169" s="219"/>
      <c r="C169" s="232"/>
      <c r="D169" s="232"/>
      <c r="E169" s="233"/>
      <c r="F169" s="232"/>
      <c r="G169" s="232"/>
      <c r="H169" s="232"/>
      <c r="I169" s="232"/>
      <c r="J169" s="232"/>
    </row>
    <row r="170" spans="2:10" x14ac:dyDescent="0.6">
      <c r="B170" s="219"/>
      <c r="C170" s="232"/>
      <c r="D170" s="232"/>
      <c r="E170" s="233"/>
      <c r="F170" s="232"/>
      <c r="G170" s="232"/>
      <c r="H170" s="232"/>
      <c r="I170" s="232"/>
      <c r="J170" s="232"/>
    </row>
    <row r="171" spans="2:10" x14ac:dyDescent="0.6">
      <c r="C171" s="232"/>
      <c r="D171" s="232"/>
      <c r="E171" s="233"/>
      <c r="F171" s="232"/>
      <c r="G171" s="232"/>
      <c r="H171" s="232"/>
      <c r="I171" s="232"/>
      <c r="J171" s="232"/>
    </row>
    <row r="174" spans="2:10" x14ac:dyDescent="0.6">
      <c r="B174" s="180"/>
    </row>
    <row r="175" spans="2:10" x14ac:dyDescent="0.6">
      <c r="B175" s="192"/>
    </row>
    <row r="176" spans="2:10" x14ac:dyDescent="0.6">
      <c r="B176" s="183"/>
    </row>
    <row r="177" spans="1:12" x14ac:dyDescent="0.6">
      <c r="C177" s="215"/>
      <c r="D177" s="215"/>
      <c r="E177" s="215"/>
      <c r="F177" s="215"/>
      <c r="H177" s="180"/>
      <c r="I177" s="215"/>
      <c r="J177" s="215"/>
    </row>
    <row r="178" spans="1:12" x14ac:dyDescent="0.6">
      <c r="F178" s="229"/>
    </row>
    <row r="179" spans="1:12" x14ac:dyDescent="0.6">
      <c r="B179" s="216"/>
      <c r="C179" s="233"/>
      <c r="D179" s="233"/>
      <c r="E179" s="233"/>
      <c r="F179" s="222"/>
      <c r="H179" s="230"/>
    </row>
    <row r="180" spans="1:12" x14ac:dyDescent="0.6">
      <c r="B180" s="219"/>
      <c r="C180" s="233"/>
      <c r="D180" s="233"/>
      <c r="E180" s="233"/>
      <c r="F180" s="223"/>
      <c r="H180" s="211"/>
      <c r="I180" s="241"/>
      <c r="J180" s="241"/>
    </row>
    <row r="181" spans="1:12" x14ac:dyDescent="0.6">
      <c r="B181" s="219"/>
      <c r="C181" s="233"/>
      <c r="D181" s="233"/>
      <c r="E181" s="233"/>
      <c r="F181" s="223"/>
      <c r="H181" s="211"/>
      <c r="I181" s="241"/>
      <c r="J181" s="241"/>
    </row>
    <row r="182" spans="1:12" x14ac:dyDescent="0.6">
      <c r="C182" s="233"/>
      <c r="D182" s="233"/>
      <c r="E182" s="233"/>
      <c r="F182" s="223"/>
      <c r="H182" s="211"/>
      <c r="I182" s="231"/>
      <c r="J182" s="231"/>
    </row>
    <row r="183" spans="1:12" x14ac:dyDescent="0.6">
      <c r="B183" s="216"/>
      <c r="C183" s="233"/>
      <c r="D183" s="233"/>
      <c r="E183" s="233"/>
      <c r="F183" s="223"/>
      <c r="H183" s="230"/>
      <c r="I183" s="207"/>
      <c r="J183" s="207"/>
    </row>
    <row r="184" spans="1:12" x14ac:dyDescent="0.6">
      <c r="B184" s="219"/>
      <c r="C184" s="233"/>
      <c r="D184" s="233"/>
      <c r="E184" s="233"/>
      <c r="F184" s="223"/>
      <c r="H184" s="211"/>
      <c r="I184" s="241"/>
      <c r="J184" s="241"/>
    </row>
    <row r="185" spans="1:12" x14ac:dyDescent="0.6">
      <c r="B185" s="219"/>
      <c r="C185" s="233"/>
      <c r="D185" s="233"/>
      <c r="E185" s="233"/>
      <c r="F185" s="223"/>
    </row>
    <row r="189" spans="1:12" x14ac:dyDescent="0.6">
      <c r="A189" s="232"/>
      <c r="B189" s="180"/>
      <c r="C189" s="218"/>
      <c r="E189" s="218"/>
    </row>
    <row r="190" spans="1:12" x14ac:dyDescent="0.6">
      <c r="C190" s="218"/>
      <c r="E190" s="218"/>
    </row>
    <row r="191" spans="1:12" x14ac:dyDescent="0.6"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</row>
    <row r="193" spans="2:12" x14ac:dyDescent="0.6">
      <c r="B193" s="194"/>
      <c r="C193" s="213"/>
      <c r="D193" s="213"/>
      <c r="E193" s="235"/>
      <c r="F193" s="213"/>
      <c r="G193" s="213"/>
      <c r="H193" s="213"/>
      <c r="I193" s="213"/>
      <c r="J193" s="213"/>
      <c r="K193" s="235"/>
      <c r="L193" s="235"/>
    </row>
    <row r="194" spans="2:12" ht="15.25" x14ac:dyDescent="1.05">
      <c r="B194" s="194"/>
      <c r="C194" s="236"/>
      <c r="D194" s="236"/>
      <c r="E194" s="236"/>
      <c r="F194" s="236"/>
      <c r="G194" s="236"/>
      <c r="H194" s="236"/>
      <c r="I194" s="236"/>
      <c r="J194" s="236"/>
      <c r="K194" s="237"/>
      <c r="L194" s="237"/>
    </row>
    <row r="195" spans="2:12" x14ac:dyDescent="0.6">
      <c r="B195" s="194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</row>
    <row r="196" spans="2:12" x14ac:dyDescent="0.6">
      <c r="B196" s="194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</row>
    <row r="197" spans="2:12" x14ac:dyDescent="0.6">
      <c r="B197" s="19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</row>
    <row r="198" spans="2:12" ht="15.25" x14ac:dyDescent="1.05">
      <c r="B198" s="194"/>
      <c r="C198" s="212"/>
      <c r="E198" s="218"/>
    </row>
    <row r="199" spans="2:12" x14ac:dyDescent="0.6">
      <c r="B199" s="194"/>
      <c r="C199" s="205"/>
      <c r="E199" s="218"/>
    </row>
    <row r="200" spans="2:12" x14ac:dyDescent="0.6">
      <c r="B200" s="194"/>
      <c r="C200" s="218"/>
      <c r="E200" s="218"/>
    </row>
    <row r="201" spans="2:12" x14ac:dyDescent="0.6"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3" spans="2:12" x14ac:dyDescent="0.6">
      <c r="B203" s="194"/>
      <c r="C203" s="205"/>
    </row>
    <row r="204" spans="2:12" ht="15.25" x14ac:dyDescent="1.05">
      <c r="B204" s="194"/>
      <c r="C204" s="212"/>
    </row>
    <row r="205" spans="2:12" x14ac:dyDescent="0.6">
      <c r="B205" s="194"/>
      <c r="C205" s="205"/>
      <c r="D205" s="205"/>
      <c r="G205" s="194"/>
    </row>
    <row r="206" spans="2:12" x14ac:dyDescent="0.6">
      <c r="C206" s="218"/>
      <c r="E206" s="218"/>
      <c r="G206" s="194"/>
    </row>
    <row r="207" spans="2:12" x14ac:dyDescent="0.6">
      <c r="B207" s="239"/>
      <c r="C207" s="205"/>
      <c r="E207" s="242"/>
      <c r="G207" s="242"/>
    </row>
    <row r="208" spans="2:12" x14ac:dyDescent="0.6">
      <c r="B208" s="194"/>
      <c r="C208" s="205"/>
      <c r="E208" s="154"/>
    </row>
    <row r="209" spans="1:10" ht="15.25" x14ac:dyDescent="1.05">
      <c r="B209" s="194"/>
      <c r="C209" s="212"/>
      <c r="E209" s="243"/>
    </row>
    <row r="210" spans="1:10" x14ac:dyDescent="0.6">
      <c r="B210" s="194"/>
      <c r="C210" s="205"/>
      <c r="E210" s="154"/>
    </row>
    <row r="212" spans="1:10" x14ac:dyDescent="0.6">
      <c r="C212" s="244"/>
    </row>
    <row r="213" spans="1:10" outlineLevel="1" x14ac:dyDescent="0.6">
      <c r="A213" s="180"/>
    </row>
    <row r="214" spans="1:10" outlineLevel="1" x14ac:dyDescent="0.6">
      <c r="A214" s="232"/>
      <c r="B214" s="210"/>
      <c r="C214" s="218"/>
      <c r="E214" s="218"/>
    </row>
    <row r="215" spans="1:10" outlineLevel="1" x14ac:dyDescent="0.6">
      <c r="B215" s="192"/>
    </row>
    <row r="216" spans="1:10" outlineLevel="1" x14ac:dyDescent="0.6">
      <c r="A216" s="232"/>
    </row>
    <row r="217" spans="1:10" outlineLevel="1" x14ac:dyDescent="0.6">
      <c r="B217" s="180"/>
    </row>
    <row r="218" spans="1:10" outlineLevel="1" x14ac:dyDescent="0.6">
      <c r="B218" s="192"/>
    </row>
    <row r="219" spans="1:10" outlineLevel="1" x14ac:dyDescent="0.6">
      <c r="B219" s="180"/>
    </row>
    <row r="220" spans="1:10" outlineLevel="1" x14ac:dyDescent="0.6">
      <c r="C220" s="215"/>
      <c r="D220" s="215"/>
      <c r="E220" s="215"/>
      <c r="F220" s="215"/>
      <c r="G220" s="215"/>
      <c r="H220" s="215"/>
      <c r="I220" s="215"/>
      <c r="J220" s="215"/>
    </row>
    <row r="221" spans="1:10" outlineLevel="1" x14ac:dyDescent="0.6">
      <c r="C221" s="232"/>
      <c r="D221" s="232"/>
      <c r="E221" s="232"/>
      <c r="F221" s="233"/>
      <c r="G221" s="233"/>
      <c r="H221" s="233"/>
      <c r="I221" s="233"/>
      <c r="J221" s="233"/>
    </row>
    <row r="222" spans="1:10" outlineLevel="1" x14ac:dyDescent="0.6">
      <c r="B222" s="216"/>
      <c r="C222" s="232"/>
      <c r="D222" s="232"/>
      <c r="E222" s="232"/>
      <c r="F222" s="233"/>
      <c r="G222" s="233"/>
      <c r="H222" s="233"/>
      <c r="I222" s="233"/>
      <c r="J222" s="233"/>
    </row>
    <row r="223" spans="1:10" outlineLevel="1" x14ac:dyDescent="0.6">
      <c r="B223" s="219"/>
      <c r="C223" s="232"/>
      <c r="D223" s="232"/>
      <c r="E223" s="233"/>
    </row>
    <row r="224" spans="1:10" outlineLevel="1" x14ac:dyDescent="0.6">
      <c r="B224" s="219"/>
      <c r="C224" s="232"/>
      <c r="D224" s="232"/>
      <c r="E224" s="233"/>
      <c r="F224" s="232"/>
      <c r="G224" s="232"/>
      <c r="H224" s="232"/>
      <c r="I224" s="232"/>
      <c r="J224" s="232"/>
    </row>
    <row r="225" spans="2:10" outlineLevel="1" x14ac:dyDescent="0.6">
      <c r="B225" s="224"/>
      <c r="C225" s="232"/>
      <c r="D225" s="232"/>
      <c r="E225" s="232"/>
      <c r="F225" s="232"/>
      <c r="G225" s="232"/>
      <c r="H225" s="232"/>
      <c r="I225" s="232"/>
      <c r="J225" s="232"/>
    </row>
    <row r="226" spans="2:10" outlineLevel="1" x14ac:dyDescent="0.6">
      <c r="B226" s="226"/>
      <c r="C226" s="233"/>
      <c r="D226" s="233"/>
      <c r="E226" s="232"/>
      <c r="F226" s="232"/>
      <c r="G226" s="232"/>
      <c r="H226" s="232"/>
      <c r="I226" s="232"/>
      <c r="J226" s="232"/>
    </row>
    <row r="227" spans="2:10" outlineLevel="1" x14ac:dyDescent="0.6">
      <c r="B227" s="226"/>
      <c r="C227" s="233"/>
      <c r="D227" s="233"/>
      <c r="E227" s="232"/>
      <c r="F227" s="232"/>
      <c r="G227" s="232"/>
      <c r="H227" s="232"/>
      <c r="I227" s="232"/>
      <c r="J227" s="232"/>
    </row>
    <row r="228" spans="2:10" outlineLevel="1" x14ac:dyDescent="0.6">
      <c r="C228" s="233"/>
      <c r="D228" s="233"/>
      <c r="E228" s="232"/>
      <c r="F228" s="232"/>
      <c r="G228" s="232"/>
      <c r="H228" s="232"/>
      <c r="I228" s="232"/>
      <c r="J228" s="232"/>
    </row>
    <row r="229" spans="2:10" outlineLevel="1" x14ac:dyDescent="0.6">
      <c r="B229" s="216"/>
      <c r="C229" s="233"/>
      <c r="D229" s="233"/>
      <c r="E229" s="232"/>
      <c r="F229" s="233"/>
      <c r="G229" s="233"/>
      <c r="H229" s="233"/>
      <c r="I229" s="233"/>
      <c r="J229" s="233"/>
    </row>
    <row r="230" spans="2:10" outlineLevel="1" x14ac:dyDescent="0.6">
      <c r="B230" s="219"/>
      <c r="C230" s="232"/>
      <c r="D230" s="232"/>
      <c r="E230" s="233"/>
      <c r="F230" s="232"/>
      <c r="G230" s="232"/>
      <c r="H230" s="232"/>
      <c r="I230" s="232"/>
      <c r="J230" s="232"/>
    </row>
    <row r="231" spans="2:10" outlineLevel="1" x14ac:dyDescent="0.6">
      <c r="B231" s="219"/>
      <c r="C231" s="232"/>
      <c r="D231" s="232"/>
      <c r="E231" s="233"/>
      <c r="F231" s="232"/>
      <c r="G231" s="232"/>
      <c r="H231" s="232"/>
      <c r="I231" s="232"/>
      <c r="J231" s="232"/>
    </row>
    <row r="232" spans="2:10" outlineLevel="1" x14ac:dyDescent="0.6">
      <c r="C232" s="232"/>
      <c r="D232" s="232"/>
      <c r="E232" s="233"/>
      <c r="F232" s="232"/>
      <c r="G232" s="232"/>
      <c r="H232" s="232"/>
      <c r="I232" s="232"/>
      <c r="J232" s="232"/>
    </row>
    <row r="233" spans="2:10" outlineLevel="1" x14ac:dyDescent="0.6"/>
    <row r="234" spans="2:10" outlineLevel="1" x14ac:dyDescent="0.6"/>
    <row r="235" spans="2:10" outlineLevel="1" x14ac:dyDescent="0.6">
      <c r="B235" s="180"/>
    </row>
    <row r="236" spans="2:10" outlineLevel="1" x14ac:dyDescent="0.6">
      <c r="B236" s="192"/>
    </row>
    <row r="237" spans="2:10" outlineLevel="1" x14ac:dyDescent="0.6">
      <c r="B237" s="183"/>
    </row>
    <row r="238" spans="2:10" outlineLevel="1" x14ac:dyDescent="0.6">
      <c r="C238" s="215"/>
      <c r="D238" s="215"/>
      <c r="E238" s="215"/>
      <c r="F238" s="215"/>
      <c r="H238" s="180"/>
      <c r="I238" s="215"/>
      <c r="J238" s="215"/>
    </row>
    <row r="239" spans="2:10" outlineLevel="1" x14ac:dyDescent="0.6">
      <c r="F239" s="229"/>
    </row>
    <row r="240" spans="2:10" outlineLevel="1" x14ac:dyDescent="0.6">
      <c r="B240" s="216"/>
      <c r="C240" s="233"/>
      <c r="D240" s="233"/>
      <c r="E240" s="233"/>
      <c r="F240" s="222"/>
      <c r="H240" s="230"/>
    </row>
    <row r="241" spans="1:12" outlineLevel="1" x14ac:dyDescent="0.6">
      <c r="B241" s="219"/>
      <c r="C241" s="233"/>
      <c r="D241" s="233"/>
      <c r="E241" s="233"/>
      <c r="F241" s="223"/>
      <c r="H241" s="211"/>
      <c r="I241" s="241"/>
      <c r="J241" s="241"/>
    </row>
    <row r="242" spans="1:12" outlineLevel="1" x14ac:dyDescent="0.6">
      <c r="B242" s="219"/>
      <c r="C242" s="233"/>
      <c r="D242" s="233"/>
      <c r="E242" s="233"/>
      <c r="F242" s="223"/>
      <c r="H242" s="211"/>
      <c r="I242" s="241"/>
      <c r="J242" s="241"/>
    </row>
    <row r="243" spans="1:12" outlineLevel="1" x14ac:dyDescent="0.6">
      <c r="C243" s="233"/>
      <c r="D243" s="233"/>
      <c r="E243" s="233"/>
      <c r="F243" s="223"/>
      <c r="H243" s="211"/>
      <c r="I243" s="231"/>
      <c r="J243" s="231"/>
    </row>
    <row r="244" spans="1:12" outlineLevel="1" x14ac:dyDescent="0.6">
      <c r="B244" s="216"/>
      <c r="C244" s="233"/>
      <c r="D244" s="233"/>
      <c r="E244" s="233"/>
      <c r="F244" s="223"/>
      <c r="H244" s="230"/>
      <c r="I244" s="207"/>
      <c r="J244" s="207"/>
    </row>
    <row r="245" spans="1:12" outlineLevel="1" x14ac:dyDescent="0.6">
      <c r="B245" s="219"/>
      <c r="C245" s="233"/>
      <c r="D245" s="233"/>
      <c r="E245" s="233"/>
      <c r="F245" s="223"/>
      <c r="H245" s="211"/>
      <c r="I245" s="241"/>
      <c r="J245" s="241"/>
    </row>
    <row r="246" spans="1:12" outlineLevel="1" x14ac:dyDescent="0.6">
      <c r="B246" s="219"/>
      <c r="C246" s="233"/>
      <c r="D246" s="233"/>
      <c r="E246" s="233"/>
      <c r="F246" s="223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32"/>
      <c r="B251" s="180"/>
      <c r="C251" s="218"/>
      <c r="E251" s="218"/>
    </row>
    <row r="252" spans="1:12" outlineLevel="1" x14ac:dyDescent="0.6">
      <c r="C252" s="218"/>
      <c r="E252" s="218"/>
    </row>
    <row r="253" spans="1:12" outlineLevel="1" x14ac:dyDescent="0.6"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</row>
    <row r="254" spans="1:12" outlineLevel="1" x14ac:dyDescent="0.6"/>
    <row r="255" spans="1:12" outlineLevel="1" x14ac:dyDescent="0.6">
      <c r="B255" s="194"/>
      <c r="C255" s="213"/>
      <c r="D255" s="213"/>
      <c r="E255" s="235"/>
      <c r="F255" s="213"/>
      <c r="G255" s="213"/>
      <c r="H255" s="213"/>
      <c r="I255" s="213"/>
      <c r="J255" s="213"/>
      <c r="K255" s="235"/>
      <c r="L255" s="235"/>
    </row>
    <row r="256" spans="1:12" ht="15.25" outlineLevel="1" x14ac:dyDescent="1.05">
      <c r="B256" s="194"/>
      <c r="C256" s="236"/>
      <c r="D256" s="236"/>
      <c r="E256" s="236"/>
      <c r="F256" s="245"/>
      <c r="G256" s="245"/>
      <c r="H256" s="245"/>
      <c r="I256" s="245"/>
      <c r="J256" s="245"/>
      <c r="K256" s="237"/>
      <c r="L256" s="237"/>
    </row>
    <row r="257" spans="2:12" outlineLevel="1" x14ac:dyDescent="0.6">
      <c r="B257" s="19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</row>
    <row r="258" spans="2:12" outlineLevel="1" x14ac:dyDescent="0.6">
      <c r="B258" s="19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</row>
    <row r="259" spans="2:12" outlineLevel="1" x14ac:dyDescent="0.6">
      <c r="B259" s="19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</row>
    <row r="260" spans="2:12" ht="15.25" outlineLevel="1" x14ac:dyDescent="1.05">
      <c r="B260" s="194"/>
      <c r="C260" s="212"/>
      <c r="E260" s="218"/>
    </row>
    <row r="261" spans="2:12" outlineLevel="1" x14ac:dyDescent="0.6">
      <c r="B261" s="194"/>
      <c r="C261" s="205"/>
      <c r="E261" s="218"/>
    </row>
    <row r="262" spans="2:12" outlineLevel="1" x14ac:dyDescent="0.6">
      <c r="B262" s="194"/>
      <c r="C262" s="218"/>
      <c r="E262" s="218"/>
    </row>
    <row r="263" spans="2:12" outlineLevel="1" x14ac:dyDescent="0.6"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</row>
    <row r="264" spans="2:12" outlineLevel="1" x14ac:dyDescent="0.6"/>
    <row r="265" spans="2:12" outlineLevel="1" x14ac:dyDescent="0.6">
      <c r="C265" s="246"/>
      <c r="D265" s="246"/>
      <c r="E265" s="246"/>
    </row>
    <row r="266" spans="2:12" outlineLevel="1" x14ac:dyDescent="0.6">
      <c r="B266" s="194"/>
      <c r="C266" s="205"/>
      <c r="D266" s="244"/>
      <c r="E266" s="205"/>
    </row>
    <row r="267" spans="2:12" outlineLevel="1" x14ac:dyDescent="0.6">
      <c r="B267" s="194"/>
      <c r="C267" s="247"/>
      <c r="D267" s="248"/>
      <c r="E267" s="247"/>
    </row>
    <row r="268" spans="2:12" outlineLevel="1" x14ac:dyDescent="0.6">
      <c r="B268" s="194"/>
      <c r="C268" s="205"/>
      <c r="D268" s="205"/>
      <c r="E268" s="205"/>
      <c r="G268" s="194"/>
    </row>
    <row r="269" spans="2:12" outlineLevel="1" x14ac:dyDescent="0.6">
      <c r="C269" s="218"/>
      <c r="E269" s="218"/>
      <c r="G269" s="194"/>
    </row>
    <row r="270" spans="2:12" outlineLevel="1" x14ac:dyDescent="0.6">
      <c r="B270" s="239"/>
      <c r="C270" s="205"/>
      <c r="E270" s="242"/>
      <c r="G270" s="242"/>
    </row>
    <row r="271" spans="2:12" outlineLevel="1" x14ac:dyDescent="0.6">
      <c r="B271" s="194"/>
      <c r="C271" s="205"/>
      <c r="E271" s="154"/>
    </row>
    <row r="272" spans="2:12" outlineLevel="1" x14ac:dyDescent="0.6">
      <c r="B272" s="194"/>
      <c r="C272" s="247"/>
      <c r="E272" s="243"/>
    </row>
    <row r="273" spans="2:5" outlineLevel="1" x14ac:dyDescent="0.6">
      <c r="B273" s="194"/>
      <c r="C273" s="205"/>
      <c r="E273" s="154"/>
    </row>
    <row r="274" spans="2:5" outlineLevel="1" x14ac:dyDescent="0.6"/>
  </sheetData>
  <pageMargins left="0.75" right="0.75" top="1" bottom="1" header="0.5" footer="0.5"/>
  <pageSetup scale="58" orientation="landscape" r:id="rId1"/>
  <headerFooter alignWithMargins="0">
    <oddHeader>&amp;L&amp;"Arial,Bold"Atlantic City Electric
&amp;"Arial,Regular"Development of BGS Rates
June 2023 - May 2024
&amp;"Arial,Bold"
&amp;RAttachment 4
Page 4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020A-6274-4521-9CCD-44997912498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87" bestFit="1" customWidth="1"/>
    <col min="2" max="2" width="46" style="187" customWidth="1"/>
    <col min="3" max="3" width="17.86328125" style="187" customWidth="1"/>
    <col min="4" max="4" width="13.7265625" style="187" customWidth="1"/>
    <col min="5" max="5" width="13.1328125" style="187" customWidth="1"/>
    <col min="6" max="7" width="12.1328125" style="187" customWidth="1"/>
    <col min="8" max="8" width="11.86328125" style="187" customWidth="1"/>
    <col min="9" max="9" width="11" style="187" customWidth="1"/>
    <col min="10" max="10" width="13.1328125" style="187" customWidth="1"/>
    <col min="11" max="11" width="12.54296875" style="187" customWidth="1"/>
    <col min="12" max="12" width="21" style="187" customWidth="1"/>
    <col min="13" max="13" width="14.26953125" style="187" bestFit="1" customWidth="1"/>
    <col min="14" max="14" width="24.1328125" style="187" bestFit="1" customWidth="1"/>
    <col min="15" max="16" width="10.86328125" style="187" bestFit="1" customWidth="1"/>
    <col min="17" max="17" width="14.40625" style="187" bestFit="1" customWidth="1"/>
    <col min="18" max="16384" width="9.1328125" style="187"/>
  </cols>
  <sheetData>
    <row r="1" spans="1:11" ht="20.5" x14ac:dyDescent="0.9">
      <c r="A1" s="189" t="s">
        <v>244</v>
      </c>
    </row>
    <row r="2" spans="1:11" ht="15.5" x14ac:dyDescent="0.7">
      <c r="A2" s="190" t="s">
        <v>309</v>
      </c>
    </row>
    <row r="3" spans="1:11" x14ac:dyDescent="0.6">
      <c r="A3" s="191" t="s">
        <v>254</v>
      </c>
    </row>
    <row r="5" spans="1:11" x14ac:dyDescent="0.6">
      <c r="A5" s="193" t="s">
        <v>194</v>
      </c>
      <c r="B5" s="180" t="s">
        <v>195</v>
      </c>
    </row>
    <row r="6" spans="1:11" ht="51" customHeight="1" x14ac:dyDescent="0.6">
      <c r="A6" s="194" t="s">
        <v>142</v>
      </c>
      <c r="B6" s="180" t="s">
        <v>245</v>
      </c>
      <c r="C6" s="179" t="s">
        <v>284</v>
      </c>
      <c r="D6" s="179" t="s">
        <v>310</v>
      </c>
      <c r="E6" s="179" t="s">
        <v>311</v>
      </c>
      <c r="G6" s="179" t="s">
        <v>144</v>
      </c>
    </row>
    <row r="8" spans="1:11" x14ac:dyDescent="0.6">
      <c r="A8" s="194">
        <v>1</v>
      </c>
      <c r="B8" s="180" t="s">
        <v>145</v>
      </c>
      <c r="C8" s="6">
        <f>'Attachment 3'!D8</f>
        <v>75.569999999999993</v>
      </c>
      <c r="D8" s="6">
        <f>C8</f>
        <v>75.569999999999993</v>
      </c>
      <c r="E8" s="6">
        <f>D8</f>
        <v>75.569999999999993</v>
      </c>
      <c r="G8" s="5" t="s">
        <v>146</v>
      </c>
    </row>
    <row r="9" spans="1:11" x14ac:dyDescent="0.6">
      <c r="A9" s="195" t="s">
        <v>268</v>
      </c>
      <c r="B9" s="180" t="s">
        <v>312</v>
      </c>
      <c r="C9" s="176">
        <f>'Attachment 4 Pg3'!C21</f>
        <v>0.66</v>
      </c>
      <c r="D9" s="196"/>
      <c r="E9" s="196"/>
      <c r="G9" s="129" t="s">
        <v>313</v>
      </c>
    </row>
    <row r="10" spans="1:11" x14ac:dyDescent="0.6">
      <c r="A10" s="194" t="s">
        <v>226</v>
      </c>
      <c r="B10" s="180" t="s">
        <v>246</v>
      </c>
      <c r="C10" s="197">
        <f>C8+C9</f>
        <v>76.22999999999999</v>
      </c>
      <c r="D10" s="197">
        <f t="shared" ref="D10:E10" si="0">D8+D9</f>
        <v>75.569999999999993</v>
      </c>
      <c r="E10" s="197">
        <f t="shared" si="0"/>
        <v>75.569999999999993</v>
      </c>
      <c r="G10" s="164" t="s">
        <v>270</v>
      </c>
    </row>
    <row r="11" spans="1:11" x14ac:dyDescent="0.6">
      <c r="A11" s="194"/>
      <c r="B11" s="180"/>
      <c r="C11" s="197"/>
      <c r="D11" s="197"/>
      <c r="E11" s="197"/>
      <c r="G11" s="198"/>
    </row>
    <row r="12" spans="1:11" x14ac:dyDescent="0.6">
      <c r="A12" s="194">
        <v>2</v>
      </c>
      <c r="B12" s="253" t="s">
        <v>247</v>
      </c>
      <c r="C12" s="199">
        <v>8</v>
      </c>
      <c r="D12" s="199">
        <v>7</v>
      </c>
      <c r="E12" s="199">
        <v>7</v>
      </c>
      <c r="G12" s="5" t="s">
        <v>147</v>
      </c>
    </row>
    <row r="13" spans="1:11" x14ac:dyDescent="0.6">
      <c r="A13" s="194">
        <v>3</v>
      </c>
      <c r="B13" s="180" t="s">
        <v>248</v>
      </c>
      <c r="C13" s="199">
        <v>22</v>
      </c>
      <c r="D13" s="199">
        <v>22</v>
      </c>
      <c r="E13" s="199">
        <v>22</v>
      </c>
      <c r="G13" s="5" t="s">
        <v>147</v>
      </c>
    </row>
    <row r="14" spans="1:11" x14ac:dyDescent="0.6">
      <c r="A14" s="194"/>
      <c r="B14" s="180"/>
      <c r="C14" s="199"/>
      <c r="D14" s="199"/>
      <c r="E14" s="199"/>
      <c r="G14" s="5"/>
    </row>
    <row r="15" spans="1:11" x14ac:dyDescent="0.6">
      <c r="A15" s="194"/>
      <c r="B15" s="180" t="s">
        <v>148</v>
      </c>
    </row>
    <row r="16" spans="1:11" x14ac:dyDescent="0.6">
      <c r="A16" s="194">
        <v>4</v>
      </c>
      <c r="B16" s="200" t="s">
        <v>149</v>
      </c>
      <c r="C16" s="78">
        <f>'Attachment 3'!C16</f>
        <v>1</v>
      </c>
      <c r="D16" s="78">
        <f>'Attachment 3'!D16</f>
        <v>1</v>
      </c>
      <c r="E16" s="133">
        <f>'Attachment 3'!E16</f>
        <v>1</v>
      </c>
      <c r="G16" s="5" t="s">
        <v>150</v>
      </c>
      <c r="K16" s="201"/>
    </row>
    <row r="17" spans="1:12" x14ac:dyDescent="0.6">
      <c r="A17" s="194">
        <v>5</v>
      </c>
      <c r="B17" s="200" t="s">
        <v>151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01"/>
    </row>
    <row r="18" spans="1:12" x14ac:dyDescent="0.6">
      <c r="A18" s="194"/>
    </row>
    <row r="19" spans="1:12" x14ac:dyDescent="0.6">
      <c r="A19" s="194"/>
      <c r="B19" s="3" t="s">
        <v>152</v>
      </c>
    </row>
    <row r="20" spans="1:12" x14ac:dyDescent="0.6">
      <c r="A20" s="194">
        <v>6</v>
      </c>
      <c r="B20" s="187" t="s">
        <v>153</v>
      </c>
      <c r="C20" s="202">
        <f>'Attachment 3'!C20</f>
        <v>2497011.763587791</v>
      </c>
      <c r="D20" s="203"/>
      <c r="E20" s="203"/>
      <c r="G20" s="5" t="s">
        <v>154</v>
      </c>
    </row>
    <row r="21" spans="1:12" x14ac:dyDescent="0.6">
      <c r="A21" s="194">
        <v>7</v>
      </c>
      <c r="B21" s="187" t="s">
        <v>155</v>
      </c>
      <c r="C21" s="202">
        <f>'Attachment 3'!C21</f>
        <v>3617698.8067957303</v>
      </c>
      <c r="D21" s="203"/>
      <c r="E21" s="203"/>
    </row>
    <row r="22" spans="1:12" x14ac:dyDescent="0.6">
      <c r="A22" s="194"/>
    </row>
    <row r="23" spans="1:12" x14ac:dyDescent="0.6">
      <c r="A23" s="194"/>
      <c r="B23" s="180" t="s">
        <v>249</v>
      </c>
    </row>
    <row r="24" spans="1:12" x14ac:dyDescent="0.6">
      <c r="A24" s="194">
        <v>8</v>
      </c>
      <c r="B24" s="200" t="s">
        <v>149</v>
      </c>
      <c r="C24" s="258">
        <f>((+C$8+C$9)*C$12/C$13*C16*$C20/1000)</f>
        <v>69217.166086653568</v>
      </c>
      <c r="D24" s="258">
        <f t="shared" ref="D24:E25" si="1">((+D$8+D$9)*D$12/D$13*D16*$C20/1000)</f>
        <v>60040.647855468436</v>
      </c>
      <c r="E24" s="258">
        <f t="shared" si="1"/>
        <v>60040.647855468436</v>
      </c>
      <c r="F24" s="204"/>
      <c r="G24" s="287" t="s">
        <v>296</v>
      </c>
      <c r="J24" s="205"/>
      <c r="L24" s="205"/>
    </row>
    <row r="25" spans="1:12" ht="15.25" x14ac:dyDescent="1.05">
      <c r="A25" s="194">
        <v>9</v>
      </c>
      <c r="B25" s="200" t="s">
        <v>151</v>
      </c>
      <c r="C25" s="206">
        <f>((+C$8+C$9)*C$12/C$13*C17*$C21/1000)</f>
        <v>100282.61092437762</v>
      </c>
      <c r="D25" s="206">
        <f t="shared" si="1"/>
        <v>86987.56780940335</v>
      </c>
      <c r="E25" s="206">
        <f t="shared" si="1"/>
        <v>86987.56780940335</v>
      </c>
      <c r="F25" s="204"/>
      <c r="G25" s="287" t="s">
        <v>297</v>
      </c>
    </row>
    <row r="26" spans="1:12" x14ac:dyDescent="0.6">
      <c r="A26" s="194">
        <v>10</v>
      </c>
      <c r="B26" s="187" t="s">
        <v>157</v>
      </c>
      <c r="C26" s="205">
        <f>+C25+C24</f>
        <v>169499.77701103117</v>
      </c>
      <c r="D26" s="205">
        <f>+D25+D24</f>
        <v>147028.21566487179</v>
      </c>
      <c r="E26" s="205">
        <f>+E25+E24</f>
        <v>147028.21566487179</v>
      </c>
      <c r="J26" s="205"/>
      <c r="L26" s="205"/>
    </row>
    <row r="27" spans="1:12" x14ac:dyDescent="0.6">
      <c r="A27" s="194"/>
    </row>
    <row r="28" spans="1:12" x14ac:dyDescent="0.6">
      <c r="A28" s="194"/>
      <c r="B28" s="180" t="s">
        <v>250</v>
      </c>
    </row>
    <row r="29" spans="1:12" x14ac:dyDescent="0.6">
      <c r="A29" s="194">
        <v>11</v>
      </c>
      <c r="B29" s="200" t="s">
        <v>149</v>
      </c>
      <c r="C29" s="249">
        <f>ROUND(+SUM(C24:E24)/C20*1000,3)</f>
        <v>75.81</v>
      </c>
      <c r="D29" s="207"/>
      <c r="G29" s="164" t="s">
        <v>219</v>
      </c>
    </row>
    <row r="30" spans="1:12" x14ac:dyDescent="0.6">
      <c r="A30" s="194">
        <v>12</v>
      </c>
      <c r="B30" s="200" t="s">
        <v>151</v>
      </c>
      <c r="C30" s="250">
        <f>ROUND(+SUM(C25:E25)/C21*1000,3)</f>
        <v>75.81</v>
      </c>
      <c r="G30" s="164" t="s">
        <v>220</v>
      </c>
    </row>
    <row r="31" spans="1:12" x14ac:dyDescent="0.6">
      <c r="A31" s="194"/>
      <c r="B31" s="200"/>
      <c r="C31" s="209"/>
      <c r="G31" s="208"/>
    </row>
    <row r="32" spans="1:12" x14ac:dyDescent="0.6">
      <c r="A32" s="194">
        <v>13</v>
      </c>
      <c r="B32" s="187" t="s">
        <v>159</v>
      </c>
      <c r="C32" s="251">
        <f>ROUND(+SUM(C26:E26)/(C20+C21)*1000,3)</f>
        <v>75.81</v>
      </c>
      <c r="D32" s="187" t="s">
        <v>160</v>
      </c>
      <c r="G32" s="164" t="s">
        <v>221</v>
      </c>
    </row>
    <row r="33" spans="1:13" x14ac:dyDescent="0.6">
      <c r="D33" s="187" t="s">
        <v>161</v>
      </c>
      <c r="G33" s="5" t="s">
        <v>162</v>
      </c>
    </row>
    <row r="34" spans="1:13" x14ac:dyDescent="0.6">
      <c r="C34" s="207"/>
    </row>
    <row r="35" spans="1:13" x14ac:dyDescent="0.6">
      <c r="A35" s="293"/>
      <c r="B35" s="292"/>
      <c r="C35" s="282"/>
      <c r="D35" s="177"/>
      <c r="E35" s="182"/>
      <c r="F35" s="177"/>
    </row>
    <row r="36" spans="1:13" x14ac:dyDescent="0.6">
      <c r="A36" s="194"/>
      <c r="B36" s="211"/>
      <c r="C36" s="205"/>
      <c r="D36" s="207"/>
      <c r="G36" s="208"/>
    </row>
    <row r="37" spans="1:13" ht="15.25" x14ac:dyDescent="1.05">
      <c r="A37" s="194"/>
      <c r="B37" s="211"/>
      <c r="C37" s="212"/>
      <c r="D37" s="207"/>
      <c r="G37" s="208"/>
    </row>
    <row r="38" spans="1:13" x14ac:dyDescent="0.6">
      <c r="A38" s="194"/>
      <c r="B38" s="211"/>
      <c r="C38" s="213"/>
      <c r="D38" s="207"/>
      <c r="G38" s="208"/>
    </row>
    <row r="39" spans="1:13" x14ac:dyDescent="0.6">
      <c r="B39" s="211"/>
      <c r="D39" s="207"/>
    </row>
    <row r="41" spans="1:13" x14ac:dyDescent="0.6">
      <c r="A41" s="214"/>
      <c r="B41" s="180"/>
      <c r="G41" s="192"/>
    </row>
    <row r="42" spans="1:13" x14ac:dyDescent="0.6">
      <c r="A42" s="214"/>
      <c r="B42" s="180"/>
      <c r="G42" s="192"/>
    </row>
    <row r="43" spans="1:13" x14ac:dyDescent="0.6">
      <c r="B43" s="180"/>
    </row>
    <row r="44" spans="1:13" x14ac:dyDescent="0.6">
      <c r="B44" s="192"/>
    </row>
    <row r="45" spans="1:13" x14ac:dyDescent="0.6">
      <c r="B45" s="180"/>
    </row>
    <row r="46" spans="1:13" x14ac:dyDescent="0.6">
      <c r="C46" s="215"/>
      <c r="D46" s="215"/>
      <c r="E46" s="215"/>
      <c r="F46" s="215"/>
      <c r="G46" s="215"/>
      <c r="H46" s="215"/>
      <c r="I46" s="215"/>
      <c r="J46" s="215"/>
    </row>
    <row r="47" spans="1:13" x14ac:dyDescent="0.6">
      <c r="C47" s="215"/>
      <c r="D47" s="215"/>
      <c r="E47" s="215"/>
      <c r="F47" s="215"/>
      <c r="G47" s="215"/>
    </row>
    <row r="48" spans="1:13" x14ac:dyDescent="0.6">
      <c r="B48" s="216"/>
      <c r="E48" s="217"/>
      <c r="F48" s="29"/>
      <c r="G48" s="29"/>
      <c r="H48" s="29"/>
      <c r="I48" s="217"/>
      <c r="J48" s="217"/>
      <c r="K48" s="218"/>
      <c r="L48" s="218"/>
      <c r="M48" s="218"/>
    </row>
    <row r="49" spans="2:13" x14ac:dyDescent="0.6">
      <c r="B49" s="219"/>
      <c r="C49" s="24"/>
      <c r="D49" s="220"/>
      <c r="E49" s="29"/>
      <c r="F49" s="217"/>
      <c r="G49" s="217"/>
      <c r="H49" s="217"/>
      <c r="I49" s="183"/>
      <c r="J49" s="221"/>
      <c r="K49" s="218"/>
      <c r="L49" s="218"/>
      <c r="M49" s="218"/>
    </row>
    <row r="50" spans="2:13" x14ac:dyDescent="0.6">
      <c r="B50" s="219"/>
      <c r="C50" s="24"/>
      <c r="D50" s="220"/>
      <c r="E50" s="29"/>
      <c r="F50" s="217"/>
      <c r="G50" s="217"/>
      <c r="H50" s="222"/>
      <c r="I50" s="183"/>
      <c r="J50" s="221"/>
      <c r="K50" s="223"/>
      <c r="L50" s="218"/>
      <c r="M50" s="218"/>
    </row>
    <row r="51" spans="2:13" x14ac:dyDescent="0.6">
      <c r="E51" s="24"/>
      <c r="F51" s="220"/>
      <c r="G51" s="220"/>
      <c r="L51" s="218"/>
      <c r="M51" s="218"/>
    </row>
    <row r="52" spans="2:13" x14ac:dyDescent="0.6">
      <c r="B52" s="224"/>
      <c r="C52" s="29"/>
      <c r="D52" s="29"/>
      <c r="E52" s="24"/>
      <c r="F52" s="220"/>
      <c r="G52" s="220"/>
      <c r="H52" s="220"/>
      <c r="I52" s="220"/>
      <c r="J52" s="220"/>
      <c r="K52" s="218"/>
      <c r="L52" s="218"/>
      <c r="M52" s="218"/>
    </row>
    <row r="53" spans="2:13" x14ac:dyDescent="0.6">
      <c r="B53" s="224"/>
      <c r="C53" s="225"/>
      <c r="D53" s="225"/>
      <c r="E53" s="226"/>
      <c r="F53" s="220"/>
      <c r="G53" s="220"/>
      <c r="H53" s="220"/>
      <c r="I53" s="220"/>
      <c r="J53" s="220"/>
      <c r="K53" s="218"/>
      <c r="L53" s="218"/>
      <c r="M53" s="218"/>
    </row>
    <row r="54" spans="2:13" x14ac:dyDescent="0.6">
      <c r="B54" s="224"/>
      <c r="C54" s="225"/>
      <c r="D54" s="225"/>
      <c r="E54" s="226"/>
      <c r="F54" s="220"/>
      <c r="G54" s="220"/>
      <c r="H54" s="220"/>
      <c r="I54" s="220"/>
      <c r="J54" s="220"/>
      <c r="K54" s="218"/>
      <c r="L54" s="218"/>
      <c r="M54" s="218"/>
    </row>
    <row r="55" spans="2:13" x14ac:dyDescent="0.6">
      <c r="G55" s="220"/>
      <c r="H55" s="220"/>
      <c r="I55" s="220"/>
      <c r="J55" s="220"/>
      <c r="K55" s="218"/>
      <c r="L55" s="218"/>
      <c r="M55" s="218"/>
    </row>
    <row r="56" spans="2:13" x14ac:dyDescent="0.6">
      <c r="H56" s="220"/>
      <c r="I56" s="220"/>
      <c r="J56" s="220"/>
      <c r="K56" s="218"/>
      <c r="L56" s="218"/>
      <c r="M56" s="218"/>
    </row>
    <row r="57" spans="2:13" x14ac:dyDescent="0.6">
      <c r="C57" s="220"/>
      <c r="D57" s="220"/>
      <c r="E57" s="220"/>
      <c r="F57" s="220"/>
      <c r="G57" s="220"/>
      <c r="H57" s="220"/>
      <c r="I57" s="220"/>
      <c r="J57" s="220"/>
      <c r="K57" s="218"/>
      <c r="L57" s="218"/>
      <c r="M57" s="218"/>
    </row>
    <row r="58" spans="2:13" x14ac:dyDescent="0.6">
      <c r="B58" s="216"/>
      <c r="C58" s="29"/>
      <c r="D58" s="29"/>
      <c r="E58" s="217"/>
      <c r="F58" s="29"/>
      <c r="G58" s="29"/>
      <c r="H58" s="29"/>
      <c r="I58" s="217"/>
      <c r="J58" s="217"/>
      <c r="K58" s="218"/>
      <c r="L58" s="218"/>
      <c r="M58" s="218"/>
    </row>
    <row r="59" spans="2:13" x14ac:dyDescent="0.6">
      <c r="B59" s="219"/>
      <c r="C59" s="220"/>
      <c r="D59" s="220"/>
      <c r="E59" s="29"/>
      <c r="F59" s="220"/>
      <c r="G59" s="220"/>
      <c r="H59" s="220"/>
      <c r="J59" s="221"/>
      <c r="K59" s="218"/>
      <c r="L59" s="218"/>
      <c r="M59" s="218"/>
    </row>
    <row r="60" spans="2:13" x14ac:dyDescent="0.6">
      <c r="B60" s="219"/>
      <c r="C60" s="220"/>
      <c r="D60" s="220"/>
      <c r="E60" s="29"/>
      <c r="F60" s="220"/>
      <c r="G60" s="220"/>
      <c r="J60" s="221"/>
      <c r="K60" s="223"/>
      <c r="L60" s="218"/>
      <c r="M60" s="218"/>
    </row>
    <row r="61" spans="2:13" x14ac:dyDescent="0.6">
      <c r="C61" s="227"/>
      <c r="D61" s="227"/>
      <c r="E61" s="227"/>
      <c r="F61" s="227"/>
      <c r="G61" s="227"/>
      <c r="K61" s="218"/>
      <c r="L61" s="218"/>
      <c r="M61" s="218"/>
    </row>
    <row r="62" spans="2:13" x14ac:dyDescent="0.6">
      <c r="C62" s="228"/>
      <c r="D62" s="228"/>
      <c r="E62" s="228"/>
      <c r="F62" s="228"/>
      <c r="G62" s="228"/>
      <c r="H62" s="228"/>
      <c r="I62" s="228"/>
      <c r="J62" s="228"/>
      <c r="K62" s="218"/>
      <c r="L62" s="218"/>
      <c r="M62" s="218"/>
    </row>
    <row r="65" spans="2:11" x14ac:dyDescent="0.6">
      <c r="B65" s="180"/>
    </row>
    <row r="66" spans="2:11" x14ac:dyDescent="0.6">
      <c r="B66" s="192"/>
    </row>
    <row r="67" spans="2:11" x14ac:dyDescent="0.6">
      <c r="B67" s="183"/>
    </row>
    <row r="68" spans="2:11" x14ac:dyDescent="0.6">
      <c r="C68" s="215"/>
      <c r="D68" s="215"/>
      <c r="E68" s="215"/>
      <c r="F68" s="215"/>
      <c r="H68" s="180"/>
      <c r="I68" s="215"/>
      <c r="J68" s="215"/>
    </row>
    <row r="69" spans="2:11" x14ac:dyDescent="0.6">
      <c r="C69" s="215"/>
      <c r="D69" s="229"/>
      <c r="E69" s="215"/>
      <c r="F69" s="229"/>
    </row>
    <row r="70" spans="2:11" x14ac:dyDescent="0.6">
      <c r="B70" s="216"/>
      <c r="C70" s="29"/>
      <c r="D70" s="223"/>
      <c r="E70" s="222"/>
      <c r="F70" s="222"/>
      <c r="H70" s="230"/>
    </row>
    <row r="71" spans="2:11" x14ac:dyDescent="0.6">
      <c r="B71" s="219"/>
      <c r="C71" s="217"/>
      <c r="D71" s="223"/>
      <c r="E71" s="29"/>
      <c r="F71" s="223"/>
      <c r="H71" s="211"/>
      <c r="I71" s="231"/>
      <c r="J71" s="231"/>
      <c r="K71" s="208"/>
    </row>
    <row r="72" spans="2:11" x14ac:dyDescent="0.6">
      <c r="B72" s="219"/>
      <c r="C72" s="217"/>
      <c r="D72" s="223"/>
      <c r="E72" s="29"/>
      <c r="F72" s="223"/>
      <c r="H72" s="211"/>
      <c r="I72" s="231"/>
      <c r="J72" s="231"/>
      <c r="K72" s="208"/>
    </row>
    <row r="73" spans="2:11" x14ac:dyDescent="0.6">
      <c r="C73" s="217"/>
      <c r="D73" s="223"/>
      <c r="E73" s="217"/>
      <c r="F73" s="223"/>
      <c r="H73" s="211"/>
      <c r="I73" s="231"/>
      <c r="J73" s="231"/>
      <c r="K73" s="208"/>
    </row>
    <row r="74" spans="2:11" x14ac:dyDescent="0.6">
      <c r="B74" s="216"/>
      <c r="C74" s="29"/>
      <c r="D74" s="223"/>
      <c r="E74" s="29"/>
      <c r="F74" s="223"/>
      <c r="H74" s="230"/>
      <c r="I74" s="207"/>
      <c r="J74" s="207"/>
    </row>
    <row r="75" spans="2:11" x14ac:dyDescent="0.6">
      <c r="B75" s="219"/>
      <c r="C75" s="217"/>
      <c r="D75" s="222"/>
      <c r="E75" s="29"/>
      <c r="F75" s="223"/>
      <c r="H75" s="211"/>
      <c r="I75" s="231"/>
      <c r="J75" s="231"/>
      <c r="K75" s="208"/>
    </row>
    <row r="76" spans="2:11" x14ac:dyDescent="0.6">
      <c r="B76" s="219"/>
      <c r="C76" s="217"/>
      <c r="D76" s="222"/>
      <c r="E76" s="29"/>
      <c r="F76" s="223"/>
    </row>
    <row r="77" spans="2:11" x14ac:dyDescent="0.6">
      <c r="C77" s="228"/>
      <c r="D77" s="222"/>
      <c r="E77" s="228"/>
      <c r="F77" s="222"/>
    </row>
    <row r="78" spans="2:11" x14ac:dyDescent="0.6">
      <c r="C78" s="228"/>
      <c r="D78" s="222"/>
      <c r="E78" s="228"/>
      <c r="F78" s="222"/>
    </row>
    <row r="79" spans="2:11" x14ac:dyDescent="0.6">
      <c r="C79" s="228"/>
      <c r="D79" s="222"/>
      <c r="E79" s="228"/>
      <c r="F79" s="222"/>
    </row>
    <row r="80" spans="2:11" x14ac:dyDescent="0.6">
      <c r="C80" s="218"/>
      <c r="E80" s="218"/>
    </row>
    <row r="81" spans="1:13" x14ac:dyDescent="0.6">
      <c r="A81" s="232"/>
      <c r="B81" s="210"/>
      <c r="C81" s="218"/>
      <c r="E81" s="218"/>
    </row>
    <row r="82" spans="1:13" x14ac:dyDescent="0.6">
      <c r="A82" s="232"/>
      <c r="B82" s="192"/>
    </row>
    <row r="84" spans="1:13" x14ac:dyDescent="0.6">
      <c r="B84" s="180"/>
    </row>
    <row r="85" spans="1:13" x14ac:dyDescent="0.6">
      <c r="B85" s="192"/>
    </row>
    <row r="86" spans="1:13" x14ac:dyDescent="0.6">
      <c r="B86" s="180"/>
    </row>
    <row r="87" spans="1:13" x14ac:dyDescent="0.6">
      <c r="C87" s="215"/>
      <c r="D87" s="215"/>
      <c r="E87" s="215"/>
      <c r="F87" s="215"/>
      <c r="G87" s="215"/>
      <c r="H87" s="215"/>
      <c r="I87" s="215"/>
      <c r="J87" s="215"/>
    </row>
    <row r="88" spans="1:13" x14ac:dyDescent="0.6">
      <c r="C88" s="232"/>
      <c r="D88" s="232"/>
      <c r="E88" s="232"/>
      <c r="F88" s="233"/>
      <c r="G88" s="233"/>
      <c r="H88" s="233"/>
      <c r="I88" s="233"/>
      <c r="J88" s="233"/>
    </row>
    <row r="89" spans="1:13" x14ac:dyDescent="0.6">
      <c r="B89" s="216"/>
      <c r="C89" s="232"/>
      <c r="D89" s="232"/>
      <c r="E89" s="232"/>
      <c r="F89" s="233"/>
      <c r="G89" s="233"/>
      <c r="H89" s="233"/>
      <c r="I89" s="233"/>
      <c r="J89" s="233"/>
      <c r="L89" s="218"/>
      <c r="M89" s="218"/>
    </row>
    <row r="90" spans="1:13" x14ac:dyDescent="0.6">
      <c r="B90" s="219"/>
      <c r="C90" s="232"/>
      <c r="D90" s="232"/>
      <c r="E90" s="233"/>
      <c r="F90" s="232"/>
      <c r="G90" s="233"/>
      <c r="H90" s="233"/>
      <c r="I90" s="233"/>
      <c r="J90" s="232"/>
      <c r="L90" s="218"/>
      <c r="M90" s="218"/>
    </row>
    <row r="91" spans="1:13" x14ac:dyDescent="0.6">
      <c r="B91" s="219"/>
      <c r="C91" s="232"/>
      <c r="D91" s="232"/>
      <c r="E91" s="233"/>
      <c r="F91" s="232"/>
      <c r="G91" s="232"/>
      <c r="H91" s="232"/>
      <c r="I91" s="232"/>
      <c r="J91" s="232"/>
      <c r="L91" s="218"/>
      <c r="M91" s="218"/>
    </row>
    <row r="92" spans="1:13" x14ac:dyDescent="0.6">
      <c r="B92" s="224"/>
      <c r="C92" s="232"/>
      <c r="D92" s="232"/>
      <c r="E92" s="232"/>
      <c r="F92" s="232"/>
      <c r="G92" s="232"/>
      <c r="H92" s="232"/>
      <c r="I92" s="232"/>
      <c r="J92" s="232"/>
      <c r="L92" s="218"/>
      <c r="M92" s="218"/>
    </row>
    <row r="93" spans="1:13" x14ac:dyDescent="0.6">
      <c r="B93" s="226"/>
      <c r="C93" s="233"/>
      <c r="D93" s="233"/>
      <c r="E93" s="232"/>
      <c r="F93" s="232"/>
      <c r="G93" s="232"/>
      <c r="H93" s="232"/>
      <c r="I93" s="232"/>
      <c r="J93" s="232"/>
      <c r="L93" s="218"/>
      <c r="M93" s="218"/>
    </row>
    <row r="94" spans="1:13" x14ac:dyDescent="0.6">
      <c r="B94" s="226"/>
      <c r="C94" s="233"/>
      <c r="D94" s="233"/>
      <c r="E94" s="232"/>
      <c r="F94" s="232"/>
      <c r="G94" s="232"/>
      <c r="H94" s="232"/>
      <c r="I94" s="232"/>
      <c r="J94" s="232"/>
      <c r="L94" s="218"/>
      <c r="M94" s="218"/>
    </row>
    <row r="95" spans="1:13" x14ac:dyDescent="0.6">
      <c r="C95" s="233"/>
      <c r="D95" s="233"/>
      <c r="E95" s="232"/>
      <c r="F95" s="232"/>
      <c r="G95" s="232"/>
      <c r="H95" s="232"/>
      <c r="I95" s="232"/>
      <c r="J95" s="232"/>
      <c r="L95" s="218"/>
      <c r="M95" s="218"/>
    </row>
    <row r="96" spans="1:13" x14ac:dyDescent="0.6">
      <c r="B96" s="216"/>
      <c r="C96" s="233"/>
      <c r="D96" s="233"/>
      <c r="E96" s="232"/>
      <c r="F96" s="233"/>
      <c r="G96" s="233"/>
      <c r="H96" s="233"/>
      <c r="I96" s="233"/>
      <c r="J96" s="233"/>
      <c r="L96" s="218"/>
      <c r="M96" s="218"/>
    </row>
    <row r="97" spans="2:13" x14ac:dyDescent="0.6">
      <c r="B97" s="219"/>
      <c r="C97" s="232"/>
      <c r="D97" s="232"/>
      <c r="E97" s="233"/>
      <c r="F97" s="232"/>
      <c r="G97" s="232"/>
      <c r="H97" s="232"/>
      <c r="I97" s="232"/>
      <c r="J97" s="232"/>
      <c r="L97" s="218"/>
      <c r="M97" s="218"/>
    </row>
    <row r="98" spans="2:13" x14ac:dyDescent="0.6">
      <c r="B98" s="219"/>
      <c r="C98" s="232"/>
      <c r="D98" s="232"/>
      <c r="E98" s="233"/>
      <c r="F98" s="232"/>
      <c r="G98" s="232"/>
      <c r="H98" s="232"/>
      <c r="I98" s="232"/>
      <c r="J98" s="232"/>
      <c r="L98" s="218"/>
      <c r="M98" s="218"/>
    </row>
    <row r="99" spans="2:13" x14ac:dyDescent="0.6">
      <c r="C99" s="232"/>
      <c r="D99" s="232"/>
      <c r="E99" s="233"/>
      <c r="F99" s="232"/>
      <c r="G99" s="232"/>
      <c r="H99" s="232"/>
      <c r="I99" s="232"/>
      <c r="J99" s="232"/>
      <c r="L99" s="218"/>
      <c r="M99" s="218"/>
    </row>
    <row r="102" spans="2:13" x14ac:dyDescent="0.6">
      <c r="B102" s="180"/>
    </row>
    <row r="103" spans="2:13" x14ac:dyDescent="0.6">
      <c r="B103" s="192"/>
    </row>
    <row r="104" spans="2:13" x14ac:dyDescent="0.6">
      <c r="B104" s="183"/>
    </row>
    <row r="105" spans="2:13" x14ac:dyDescent="0.6">
      <c r="C105" s="215"/>
      <c r="D105" s="215"/>
      <c r="E105" s="215"/>
      <c r="F105" s="215"/>
      <c r="H105" s="180"/>
      <c r="I105" s="215"/>
      <c r="J105" s="215"/>
    </row>
    <row r="106" spans="2:13" x14ac:dyDescent="0.6">
      <c r="F106" s="229"/>
    </row>
    <row r="107" spans="2:13" x14ac:dyDescent="0.6">
      <c r="B107" s="216"/>
      <c r="C107" s="233"/>
      <c r="D107" s="233"/>
      <c r="E107" s="233"/>
      <c r="F107" s="222"/>
      <c r="H107" s="230"/>
    </row>
    <row r="108" spans="2:13" x14ac:dyDescent="0.6">
      <c r="B108" s="219"/>
      <c r="C108" s="233"/>
      <c r="D108" s="233"/>
      <c r="E108" s="233"/>
      <c r="F108" s="223"/>
      <c r="H108" s="211"/>
      <c r="I108" s="234"/>
      <c r="J108" s="234"/>
      <c r="K108" s="208"/>
    </row>
    <row r="109" spans="2:13" x14ac:dyDescent="0.6">
      <c r="B109" s="219"/>
      <c r="C109" s="233"/>
      <c r="D109" s="233"/>
      <c r="E109" s="233"/>
      <c r="F109" s="223"/>
      <c r="H109" s="211"/>
      <c r="I109" s="234"/>
      <c r="J109" s="234"/>
      <c r="K109" s="208"/>
    </row>
    <row r="110" spans="2:13" x14ac:dyDescent="0.6">
      <c r="C110" s="233"/>
      <c r="D110" s="233"/>
      <c r="E110" s="233"/>
      <c r="F110" s="223"/>
      <c r="H110" s="211"/>
      <c r="I110" s="231"/>
      <c r="J110" s="231"/>
      <c r="K110" s="208"/>
    </row>
    <row r="111" spans="2:13" x14ac:dyDescent="0.6">
      <c r="B111" s="216"/>
      <c r="C111" s="233"/>
      <c r="D111" s="233"/>
      <c r="E111" s="233"/>
      <c r="F111" s="223"/>
      <c r="H111" s="230"/>
      <c r="I111" s="207"/>
      <c r="J111" s="207"/>
    </row>
    <row r="112" spans="2:13" x14ac:dyDescent="0.6">
      <c r="B112" s="219"/>
      <c r="C112" s="233"/>
      <c r="D112" s="233"/>
      <c r="E112" s="233"/>
      <c r="F112" s="223"/>
      <c r="H112" s="211"/>
      <c r="I112" s="234"/>
      <c r="J112" s="234"/>
      <c r="K112" s="208"/>
    </row>
    <row r="113" spans="1:12" x14ac:dyDescent="0.6">
      <c r="B113" s="219"/>
      <c r="C113" s="233"/>
      <c r="D113" s="233"/>
      <c r="E113" s="233"/>
      <c r="F113" s="223"/>
    </row>
    <row r="114" spans="1:12" x14ac:dyDescent="0.6">
      <c r="C114" s="228"/>
      <c r="D114" s="222"/>
      <c r="E114" s="228"/>
      <c r="F114" s="222"/>
    </row>
    <row r="115" spans="1:12" x14ac:dyDescent="0.6">
      <c r="C115" s="228"/>
      <c r="D115" s="222"/>
      <c r="E115" s="228"/>
      <c r="F115" s="222"/>
    </row>
    <row r="117" spans="1:12" x14ac:dyDescent="0.6">
      <c r="A117" s="232"/>
      <c r="B117" s="180"/>
      <c r="C117" s="218"/>
      <c r="E117" s="218"/>
    </row>
    <row r="118" spans="1:12" x14ac:dyDescent="0.6">
      <c r="C118" s="218"/>
      <c r="E118" s="218"/>
    </row>
    <row r="119" spans="1:12" x14ac:dyDescent="0.6">
      <c r="C119" s="215"/>
      <c r="D119" s="215"/>
      <c r="E119" s="215"/>
      <c r="F119" s="215"/>
      <c r="G119" s="215"/>
      <c r="H119" s="215"/>
      <c r="I119" s="215"/>
      <c r="J119" s="215"/>
    </row>
    <row r="121" spans="1:12" x14ac:dyDescent="0.6">
      <c r="B121" s="194"/>
      <c r="C121" s="213"/>
      <c r="D121" s="213"/>
      <c r="E121" s="235"/>
      <c r="F121" s="213"/>
      <c r="G121" s="213"/>
      <c r="H121" s="213"/>
      <c r="I121" s="213"/>
      <c r="J121" s="213"/>
    </row>
    <row r="122" spans="1:12" ht="15.25" x14ac:dyDescent="1.05">
      <c r="B122" s="194"/>
      <c r="C122" s="236"/>
      <c r="D122" s="236"/>
      <c r="E122" s="236"/>
      <c r="F122" s="236"/>
      <c r="G122" s="236"/>
      <c r="H122" s="236"/>
      <c r="I122" s="236"/>
      <c r="J122" s="236"/>
    </row>
    <row r="123" spans="1:12" x14ac:dyDescent="0.6">
      <c r="B123" s="194"/>
      <c r="C123" s="205"/>
      <c r="D123" s="205"/>
      <c r="E123" s="205"/>
      <c r="F123" s="205"/>
      <c r="G123" s="205"/>
      <c r="H123" s="205"/>
      <c r="I123" s="205"/>
      <c r="J123" s="205"/>
    </row>
    <row r="124" spans="1:12" x14ac:dyDescent="0.6">
      <c r="B124" s="194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</row>
    <row r="125" spans="1:12" x14ac:dyDescent="0.6">
      <c r="B125" s="194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</row>
    <row r="126" spans="1:12" x14ac:dyDescent="0.6">
      <c r="B126" s="194"/>
      <c r="C126" s="215"/>
      <c r="D126" s="215"/>
      <c r="F126" s="215"/>
      <c r="G126" s="215"/>
      <c r="H126" s="205"/>
      <c r="I126" s="205"/>
      <c r="J126" s="205"/>
      <c r="K126" s="205"/>
      <c r="L126" s="205"/>
    </row>
    <row r="127" spans="1:12" x14ac:dyDescent="0.6">
      <c r="B127" s="194"/>
      <c r="C127" s="215"/>
      <c r="D127" s="215"/>
      <c r="F127" s="215"/>
      <c r="G127" s="215"/>
      <c r="H127" s="205"/>
      <c r="I127" s="205"/>
      <c r="J127" s="205"/>
      <c r="K127" s="205"/>
      <c r="L127" s="205"/>
    </row>
    <row r="128" spans="1:12" x14ac:dyDescent="0.6">
      <c r="B128" s="194"/>
      <c r="G128" s="205"/>
      <c r="H128" s="205"/>
      <c r="I128" s="205"/>
      <c r="J128" s="205"/>
      <c r="K128" s="205"/>
      <c r="L128" s="205"/>
    </row>
    <row r="129" spans="2:12" x14ac:dyDescent="0.6">
      <c r="B129" s="194"/>
      <c r="C129" s="235"/>
      <c r="D129" s="235"/>
      <c r="F129" s="235"/>
      <c r="G129" s="235"/>
      <c r="H129" s="205"/>
      <c r="I129" s="205"/>
      <c r="J129" s="205"/>
      <c r="K129" s="205"/>
      <c r="L129" s="205"/>
    </row>
    <row r="130" spans="2:12" ht="15.25" x14ac:dyDescent="1.05">
      <c r="B130" s="194"/>
      <c r="C130" s="237"/>
      <c r="D130" s="237"/>
      <c r="F130" s="237"/>
      <c r="G130" s="237"/>
      <c r="H130" s="205"/>
      <c r="I130" s="205"/>
      <c r="J130" s="205"/>
      <c r="K130" s="205"/>
      <c r="L130" s="205"/>
    </row>
    <row r="131" spans="2:12" x14ac:dyDescent="0.6">
      <c r="B131" s="194"/>
      <c r="C131" s="205"/>
      <c r="D131" s="205"/>
      <c r="F131" s="205"/>
      <c r="G131" s="205"/>
      <c r="H131" s="205"/>
      <c r="I131" s="205"/>
      <c r="J131" s="205"/>
      <c r="K131" s="205"/>
      <c r="L131" s="205"/>
    </row>
    <row r="132" spans="2:12" x14ac:dyDescent="0.6">
      <c r="B132" s="194"/>
      <c r="C132" s="205"/>
      <c r="F132" s="205"/>
      <c r="G132" s="205"/>
      <c r="H132" s="205"/>
      <c r="I132" s="205"/>
      <c r="J132" s="205"/>
      <c r="K132" s="205"/>
      <c r="L132" s="205"/>
    </row>
    <row r="133" spans="2:12" x14ac:dyDescent="0.6">
      <c r="B133" s="194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</row>
    <row r="134" spans="2:12" x14ac:dyDescent="0.6">
      <c r="B134" s="194"/>
      <c r="C134" s="215"/>
      <c r="D134" s="215"/>
      <c r="E134" s="215"/>
      <c r="F134" s="205"/>
      <c r="G134" s="205"/>
      <c r="H134" s="205"/>
      <c r="I134" s="205"/>
      <c r="J134" s="205"/>
      <c r="K134" s="205"/>
      <c r="L134" s="205"/>
    </row>
    <row r="135" spans="2:12" x14ac:dyDescent="0.6">
      <c r="B135" s="194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</row>
    <row r="136" spans="2:12" ht="15.25" x14ac:dyDescent="1.05">
      <c r="B136" s="194"/>
      <c r="C136" s="212"/>
      <c r="D136" s="212"/>
      <c r="E136" s="212"/>
    </row>
    <row r="137" spans="2:12" x14ac:dyDescent="0.6">
      <c r="B137" s="194"/>
      <c r="C137" s="205"/>
      <c r="D137" s="205"/>
      <c r="E137" s="238"/>
    </row>
    <row r="138" spans="2:12" x14ac:dyDescent="0.6">
      <c r="B138" s="194"/>
      <c r="C138" s="218"/>
      <c r="E138" s="218"/>
    </row>
    <row r="139" spans="2:12" x14ac:dyDescent="0.6"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</row>
    <row r="141" spans="2:12" x14ac:dyDescent="0.6">
      <c r="B141" s="194"/>
      <c r="C141" s="205"/>
    </row>
    <row r="142" spans="2:12" ht="15.25" x14ac:dyDescent="1.05">
      <c r="B142" s="194"/>
      <c r="C142" s="212"/>
    </row>
    <row r="143" spans="2:12" x14ac:dyDescent="0.6">
      <c r="B143" s="194"/>
      <c r="C143" s="205"/>
    </row>
    <row r="144" spans="2:12" x14ac:dyDescent="0.6">
      <c r="C144" s="218"/>
    </row>
    <row r="145" spans="1:10" x14ac:dyDescent="0.6">
      <c r="B145" s="239"/>
      <c r="C145" s="195"/>
    </row>
    <row r="146" spans="1:10" x14ac:dyDescent="0.6">
      <c r="B146" s="194"/>
      <c r="C146" s="205"/>
    </row>
    <row r="147" spans="1:10" ht="15.25" x14ac:dyDescent="1.05">
      <c r="B147" s="194"/>
      <c r="C147" s="212"/>
    </row>
    <row r="148" spans="1:10" x14ac:dyDescent="0.6">
      <c r="B148" s="194"/>
      <c r="C148" s="205"/>
    </row>
    <row r="151" spans="1:10" x14ac:dyDescent="0.6">
      <c r="D151" s="240"/>
      <c r="E151" s="240"/>
      <c r="F151" s="240"/>
      <c r="G151" s="240"/>
      <c r="H151" s="240"/>
      <c r="I151" s="240"/>
    </row>
    <row r="152" spans="1:10" x14ac:dyDescent="0.6">
      <c r="D152" s="240"/>
      <c r="E152" s="240"/>
      <c r="F152" s="240"/>
      <c r="G152" s="240"/>
      <c r="H152" s="240"/>
      <c r="I152" s="240"/>
    </row>
    <row r="153" spans="1:10" x14ac:dyDescent="0.6">
      <c r="A153" s="232"/>
      <c r="B153" s="210"/>
      <c r="C153" s="218"/>
      <c r="E153" s="218"/>
    </row>
    <row r="154" spans="1:10" x14ac:dyDescent="0.6">
      <c r="B154" s="192"/>
    </row>
    <row r="156" spans="1:10" x14ac:dyDescent="0.6">
      <c r="B156" s="180"/>
    </row>
    <row r="157" spans="1:10" x14ac:dyDescent="0.6">
      <c r="B157" s="192"/>
    </row>
    <row r="158" spans="1:10" x14ac:dyDescent="0.6">
      <c r="B158" s="180"/>
    </row>
    <row r="159" spans="1:10" x14ac:dyDescent="0.6">
      <c r="C159" s="215"/>
      <c r="D159" s="215"/>
      <c r="E159" s="215"/>
      <c r="F159" s="215"/>
      <c r="G159" s="215"/>
      <c r="H159" s="215"/>
      <c r="I159" s="215"/>
      <c r="J159" s="215"/>
    </row>
    <row r="160" spans="1:10" x14ac:dyDescent="0.6">
      <c r="C160" s="232"/>
      <c r="D160" s="232"/>
      <c r="E160" s="232"/>
      <c r="F160" s="233"/>
      <c r="G160" s="233"/>
      <c r="H160" s="233"/>
      <c r="I160" s="233"/>
      <c r="J160" s="233"/>
    </row>
    <row r="161" spans="2:10" x14ac:dyDescent="0.6">
      <c r="B161" s="216"/>
      <c r="C161" s="232"/>
      <c r="D161" s="232"/>
      <c r="E161" s="232"/>
      <c r="F161" s="233"/>
      <c r="G161" s="233"/>
      <c r="H161" s="233"/>
      <c r="I161" s="233"/>
      <c r="J161" s="233"/>
    </row>
    <row r="162" spans="2:10" x14ac:dyDescent="0.6">
      <c r="B162" s="219"/>
      <c r="C162" s="232"/>
      <c r="D162" s="232"/>
      <c r="E162" s="233"/>
      <c r="G162" s="233"/>
      <c r="H162" s="233"/>
      <c r="I162" s="233"/>
      <c r="J162" s="232"/>
    </row>
    <row r="163" spans="2:10" x14ac:dyDescent="0.6">
      <c r="B163" s="219"/>
      <c r="C163" s="232"/>
      <c r="D163" s="232"/>
      <c r="E163" s="233"/>
      <c r="F163" s="232"/>
      <c r="G163" s="232"/>
      <c r="H163" s="232"/>
      <c r="I163" s="232"/>
      <c r="J163" s="232"/>
    </row>
    <row r="164" spans="2:10" x14ac:dyDescent="0.6">
      <c r="B164" s="224"/>
      <c r="C164" s="232"/>
      <c r="D164" s="232"/>
      <c r="E164" s="232"/>
      <c r="F164" s="232"/>
      <c r="G164" s="232"/>
      <c r="H164" s="232"/>
      <c r="I164" s="232"/>
      <c r="J164" s="232"/>
    </row>
    <row r="165" spans="2:10" x14ac:dyDescent="0.6">
      <c r="B165" s="226"/>
      <c r="C165" s="233"/>
      <c r="D165" s="233"/>
      <c r="E165" s="232"/>
      <c r="F165" s="232"/>
      <c r="G165" s="232"/>
      <c r="H165" s="232"/>
      <c r="I165" s="232"/>
      <c r="J165" s="232"/>
    </row>
    <row r="166" spans="2:10" x14ac:dyDescent="0.6">
      <c r="B166" s="226"/>
      <c r="C166" s="233"/>
      <c r="D166" s="233"/>
      <c r="E166" s="232"/>
      <c r="F166" s="232"/>
      <c r="G166" s="232"/>
      <c r="H166" s="232"/>
      <c r="I166" s="232"/>
      <c r="J166" s="232"/>
    </row>
    <row r="167" spans="2:10" x14ac:dyDescent="0.6">
      <c r="C167" s="233"/>
      <c r="D167" s="233"/>
      <c r="E167" s="232"/>
      <c r="F167" s="232"/>
      <c r="G167" s="232"/>
      <c r="H167" s="232"/>
      <c r="I167" s="232"/>
      <c r="J167" s="232"/>
    </row>
    <row r="168" spans="2:10" x14ac:dyDescent="0.6">
      <c r="B168" s="216"/>
      <c r="C168" s="233"/>
      <c r="D168" s="233"/>
      <c r="E168" s="232"/>
      <c r="F168" s="233"/>
      <c r="G168" s="233"/>
      <c r="H168" s="233"/>
      <c r="I168" s="233"/>
      <c r="J168" s="233"/>
    </row>
    <row r="169" spans="2:10" x14ac:dyDescent="0.6">
      <c r="B169" s="219"/>
      <c r="C169" s="232"/>
      <c r="D169" s="232"/>
      <c r="E169" s="233"/>
      <c r="F169" s="232"/>
      <c r="G169" s="232"/>
      <c r="H169" s="232"/>
      <c r="I169" s="232"/>
      <c r="J169" s="232"/>
    </row>
    <row r="170" spans="2:10" x14ac:dyDescent="0.6">
      <c r="B170" s="219"/>
      <c r="C170" s="232"/>
      <c r="D170" s="232"/>
      <c r="E170" s="233"/>
      <c r="F170" s="232"/>
      <c r="G170" s="232"/>
      <c r="H170" s="232"/>
      <c r="I170" s="232"/>
      <c r="J170" s="232"/>
    </row>
    <row r="171" spans="2:10" x14ac:dyDescent="0.6">
      <c r="C171" s="232"/>
      <c r="D171" s="232"/>
      <c r="E171" s="233"/>
      <c r="F171" s="232"/>
      <c r="G171" s="232"/>
      <c r="H171" s="232"/>
      <c r="I171" s="232"/>
      <c r="J171" s="232"/>
    </row>
    <row r="174" spans="2:10" x14ac:dyDescent="0.6">
      <c r="B174" s="180"/>
    </row>
    <row r="175" spans="2:10" x14ac:dyDescent="0.6">
      <c r="B175" s="192"/>
    </row>
    <row r="176" spans="2:10" x14ac:dyDescent="0.6">
      <c r="B176" s="183"/>
    </row>
    <row r="177" spans="1:12" x14ac:dyDescent="0.6">
      <c r="C177" s="215"/>
      <c r="D177" s="215"/>
      <c r="E177" s="215"/>
      <c r="F177" s="215"/>
      <c r="H177" s="180"/>
      <c r="I177" s="215"/>
      <c r="J177" s="215"/>
    </row>
    <row r="178" spans="1:12" x14ac:dyDescent="0.6">
      <c r="F178" s="229"/>
    </row>
    <row r="179" spans="1:12" x14ac:dyDescent="0.6">
      <c r="B179" s="216"/>
      <c r="C179" s="233"/>
      <c r="D179" s="233"/>
      <c r="E179" s="233"/>
      <c r="F179" s="222"/>
      <c r="H179" s="230"/>
    </row>
    <row r="180" spans="1:12" x14ac:dyDescent="0.6">
      <c r="B180" s="219"/>
      <c r="C180" s="233"/>
      <c r="D180" s="233"/>
      <c r="E180" s="233"/>
      <c r="F180" s="223"/>
      <c r="H180" s="211"/>
      <c r="I180" s="241"/>
      <c r="J180" s="241"/>
    </row>
    <row r="181" spans="1:12" x14ac:dyDescent="0.6">
      <c r="B181" s="219"/>
      <c r="C181" s="233"/>
      <c r="D181" s="233"/>
      <c r="E181" s="233"/>
      <c r="F181" s="223"/>
      <c r="H181" s="211"/>
      <c r="I181" s="241"/>
      <c r="J181" s="241"/>
    </row>
    <row r="182" spans="1:12" x14ac:dyDescent="0.6">
      <c r="C182" s="233"/>
      <c r="D182" s="233"/>
      <c r="E182" s="233"/>
      <c r="F182" s="223"/>
      <c r="H182" s="211"/>
      <c r="I182" s="231"/>
      <c r="J182" s="231"/>
    </row>
    <row r="183" spans="1:12" x14ac:dyDescent="0.6">
      <c r="B183" s="216"/>
      <c r="C183" s="233"/>
      <c r="D183" s="233"/>
      <c r="E183" s="233"/>
      <c r="F183" s="223"/>
      <c r="H183" s="230"/>
      <c r="I183" s="207"/>
      <c r="J183" s="207"/>
    </row>
    <row r="184" spans="1:12" x14ac:dyDescent="0.6">
      <c r="B184" s="219"/>
      <c r="C184" s="233"/>
      <c r="D184" s="233"/>
      <c r="E184" s="233"/>
      <c r="F184" s="223"/>
      <c r="H184" s="211"/>
      <c r="I184" s="241"/>
      <c r="J184" s="241"/>
    </row>
    <row r="185" spans="1:12" x14ac:dyDescent="0.6">
      <c r="B185" s="219"/>
      <c r="C185" s="233"/>
      <c r="D185" s="233"/>
      <c r="E185" s="233"/>
      <c r="F185" s="223"/>
    </row>
    <row r="189" spans="1:12" x14ac:dyDescent="0.6">
      <c r="A189" s="232"/>
      <c r="B189" s="180"/>
      <c r="C189" s="218"/>
      <c r="E189" s="218"/>
    </row>
    <row r="190" spans="1:12" x14ac:dyDescent="0.6">
      <c r="C190" s="218"/>
      <c r="E190" s="218"/>
    </row>
    <row r="191" spans="1:12" x14ac:dyDescent="0.6"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</row>
    <row r="193" spans="2:12" x14ac:dyDescent="0.6">
      <c r="B193" s="194"/>
      <c r="C193" s="213"/>
      <c r="D193" s="213"/>
      <c r="E193" s="235"/>
      <c r="F193" s="213"/>
      <c r="G193" s="213"/>
      <c r="H193" s="213"/>
      <c r="I193" s="213"/>
      <c r="J193" s="213"/>
      <c r="K193" s="235"/>
      <c r="L193" s="235"/>
    </row>
    <row r="194" spans="2:12" ht="15.25" x14ac:dyDescent="1.05">
      <c r="B194" s="194"/>
      <c r="C194" s="236"/>
      <c r="D194" s="236"/>
      <c r="E194" s="236"/>
      <c r="F194" s="236"/>
      <c r="G194" s="236"/>
      <c r="H194" s="236"/>
      <c r="I194" s="236"/>
      <c r="J194" s="236"/>
      <c r="K194" s="237"/>
      <c r="L194" s="237"/>
    </row>
    <row r="195" spans="2:12" x14ac:dyDescent="0.6">
      <c r="B195" s="194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</row>
    <row r="196" spans="2:12" x14ac:dyDescent="0.6">
      <c r="B196" s="194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</row>
    <row r="197" spans="2:12" x14ac:dyDescent="0.6">
      <c r="B197" s="19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</row>
    <row r="198" spans="2:12" ht="15.25" x14ac:dyDescent="1.05">
      <c r="B198" s="194"/>
      <c r="C198" s="212"/>
      <c r="E198" s="218"/>
    </row>
    <row r="199" spans="2:12" x14ac:dyDescent="0.6">
      <c r="B199" s="194"/>
      <c r="C199" s="205"/>
      <c r="E199" s="218"/>
    </row>
    <row r="200" spans="2:12" x14ac:dyDescent="0.6">
      <c r="B200" s="194"/>
      <c r="C200" s="218"/>
      <c r="E200" s="218"/>
    </row>
    <row r="201" spans="2:12" x14ac:dyDescent="0.6"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3" spans="2:12" x14ac:dyDescent="0.6">
      <c r="B203" s="194"/>
      <c r="C203" s="205"/>
    </row>
    <row r="204" spans="2:12" ht="15.25" x14ac:dyDescent="1.05">
      <c r="B204" s="194"/>
      <c r="C204" s="212"/>
    </row>
    <row r="205" spans="2:12" x14ac:dyDescent="0.6">
      <c r="B205" s="194"/>
      <c r="C205" s="205"/>
      <c r="D205" s="205"/>
      <c r="G205" s="194"/>
    </row>
    <row r="206" spans="2:12" x14ac:dyDescent="0.6">
      <c r="C206" s="218"/>
      <c r="E206" s="218"/>
      <c r="G206" s="194"/>
    </row>
    <row r="207" spans="2:12" x14ac:dyDescent="0.6">
      <c r="B207" s="239"/>
      <c r="C207" s="205"/>
      <c r="E207" s="242"/>
      <c r="G207" s="242"/>
    </row>
    <row r="208" spans="2:12" x14ac:dyDescent="0.6">
      <c r="B208" s="194"/>
      <c r="C208" s="205"/>
      <c r="E208" s="154"/>
    </row>
    <row r="209" spans="1:10" ht="15.25" x14ac:dyDescent="1.05">
      <c r="B209" s="194"/>
      <c r="C209" s="212"/>
      <c r="E209" s="243"/>
    </row>
    <row r="210" spans="1:10" x14ac:dyDescent="0.6">
      <c r="B210" s="194"/>
      <c r="C210" s="205"/>
      <c r="E210" s="154"/>
    </row>
    <row r="212" spans="1:10" x14ac:dyDescent="0.6">
      <c r="C212" s="244"/>
    </row>
    <row r="213" spans="1:10" outlineLevel="1" x14ac:dyDescent="0.6">
      <c r="A213" s="180"/>
    </row>
    <row r="214" spans="1:10" outlineLevel="1" x14ac:dyDescent="0.6">
      <c r="A214" s="232"/>
      <c r="B214" s="210"/>
      <c r="C214" s="218"/>
      <c r="E214" s="218"/>
    </row>
    <row r="215" spans="1:10" outlineLevel="1" x14ac:dyDescent="0.6">
      <c r="B215" s="192"/>
    </row>
    <row r="216" spans="1:10" outlineLevel="1" x14ac:dyDescent="0.6">
      <c r="A216" s="232"/>
    </row>
    <row r="217" spans="1:10" outlineLevel="1" x14ac:dyDescent="0.6">
      <c r="B217" s="180"/>
    </row>
    <row r="218" spans="1:10" outlineLevel="1" x14ac:dyDescent="0.6">
      <c r="B218" s="192"/>
    </row>
    <row r="219" spans="1:10" outlineLevel="1" x14ac:dyDescent="0.6">
      <c r="B219" s="180"/>
    </row>
    <row r="220" spans="1:10" outlineLevel="1" x14ac:dyDescent="0.6">
      <c r="C220" s="215"/>
      <c r="D220" s="215"/>
      <c r="E220" s="215"/>
      <c r="F220" s="215"/>
      <c r="G220" s="215"/>
      <c r="H220" s="215"/>
      <c r="I220" s="215"/>
      <c r="J220" s="215"/>
    </row>
    <row r="221" spans="1:10" outlineLevel="1" x14ac:dyDescent="0.6">
      <c r="C221" s="232"/>
      <c r="D221" s="232"/>
      <c r="E221" s="232"/>
      <c r="F221" s="233"/>
      <c r="G221" s="233"/>
      <c r="H221" s="233"/>
      <c r="I221" s="233"/>
      <c r="J221" s="233"/>
    </row>
    <row r="222" spans="1:10" outlineLevel="1" x14ac:dyDescent="0.6">
      <c r="B222" s="216"/>
      <c r="C222" s="232"/>
      <c r="D222" s="232"/>
      <c r="E222" s="232"/>
      <c r="F222" s="233"/>
      <c r="G222" s="233"/>
      <c r="H222" s="233"/>
      <c r="I222" s="233"/>
      <c r="J222" s="233"/>
    </row>
    <row r="223" spans="1:10" outlineLevel="1" x14ac:dyDescent="0.6">
      <c r="B223" s="219"/>
      <c r="C223" s="232"/>
      <c r="D223" s="232"/>
      <c r="E223" s="233"/>
    </row>
    <row r="224" spans="1:10" outlineLevel="1" x14ac:dyDescent="0.6">
      <c r="B224" s="219"/>
      <c r="C224" s="232"/>
      <c r="D224" s="232"/>
      <c r="E224" s="233"/>
      <c r="F224" s="232"/>
      <c r="G224" s="232"/>
      <c r="H224" s="232"/>
      <c r="I224" s="232"/>
      <c r="J224" s="232"/>
    </row>
    <row r="225" spans="2:10" outlineLevel="1" x14ac:dyDescent="0.6">
      <c r="B225" s="224"/>
      <c r="C225" s="232"/>
      <c r="D225" s="232"/>
      <c r="E225" s="232"/>
      <c r="F225" s="232"/>
      <c r="G225" s="232"/>
      <c r="H225" s="232"/>
      <c r="I225" s="232"/>
      <c r="J225" s="232"/>
    </row>
    <row r="226" spans="2:10" outlineLevel="1" x14ac:dyDescent="0.6">
      <c r="B226" s="226"/>
      <c r="C226" s="233"/>
      <c r="D226" s="233"/>
      <c r="E226" s="232"/>
      <c r="F226" s="232"/>
      <c r="G226" s="232"/>
      <c r="H226" s="232"/>
      <c r="I226" s="232"/>
      <c r="J226" s="232"/>
    </row>
    <row r="227" spans="2:10" outlineLevel="1" x14ac:dyDescent="0.6">
      <c r="B227" s="226"/>
      <c r="C227" s="233"/>
      <c r="D227" s="233"/>
      <c r="E227" s="232"/>
      <c r="F227" s="232"/>
      <c r="G227" s="232"/>
      <c r="H227" s="232"/>
      <c r="I227" s="232"/>
      <c r="J227" s="232"/>
    </row>
    <row r="228" spans="2:10" outlineLevel="1" x14ac:dyDescent="0.6">
      <c r="C228" s="233"/>
      <c r="D228" s="233"/>
      <c r="E228" s="232"/>
      <c r="F228" s="232"/>
      <c r="G228" s="232"/>
      <c r="H228" s="232"/>
      <c r="I228" s="232"/>
      <c r="J228" s="232"/>
    </row>
    <row r="229" spans="2:10" outlineLevel="1" x14ac:dyDescent="0.6">
      <c r="B229" s="216"/>
      <c r="C229" s="233"/>
      <c r="D229" s="233"/>
      <c r="E229" s="232"/>
      <c r="F229" s="233"/>
      <c r="G229" s="233"/>
      <c r="H229" s="233"/>
      <c r="I229" s="233"/>
      <c r="J229" s="233"/>
    </row>
    <row r="230" spans="2:10" outlineLevel="1" x14ac:dyDescent="0.6">
      <c r="B230" s="219"/>
      <c r="C230" s="232"/>
      <c r="D230" s="232"/>
      <c r="E230" s="233"/>
      <c r="F230" s="232"/>
      <c r="G230" s="232"/>
      <c r="H230" s="232"/>
      <c r="I230" s="232"/>
      <c r="J230" s="232"/>
    </row>
    <row r="231" spans="2:10" outlineLevel="1" x14ac:dyDescent="0.6">
      <c r="B231" s="219"/>
      <c r="C231" s="232"/>
      <c r="D231" s="232"/>
      <c r="E231" s="233"/>
      <c r="F231" s="232"/>
      <c r="G231" s="232"/>
      <c r="H231" s="232"/>
      <c r="I231" s="232"/>
      <c r="J231" s="232"/>
    </row>
    <row r="232" spans="2:10" outlineLevel="1" x14ac:dyDescent="0.6">
      <c r="C232" s="232"/>
      <c r="D232" s="232"/>
      <c r="E232" s="233"/>
      <c r="F232" s="232"/>
      <c r="G232" s="232"/>
      <c r="H232" s="232"/>
      <c r="I232" s="232"/>
      <c r="J232" s="232"/>
    </row>
    <row r="233" spans="2:10" outlineLevel="1" x14ac:dyDescent="0.6"/>
    <row r="234" spans="2:10" outlineLevel="1" x14ac:dyDescent="0.6"/>
    <row r="235" spans="2:10" outlineLevel="1" x14ac:dyDescent="0.6">
      <c r="B235" s="180"/>
    </row>
    <row r="236" spans="2:10" outlineLevel="1" x14ac:dyDescent="0.6">
      <c r="B236" s="192"/>
    </row>
    <row r="237" spans="2:10" outlineLevel="1" x14ac:dyDescent="0.6">
      <c r="B237" s="183"/>
    </row>
    <row r="238" spans="2:10" outlineLevel="1" x14ac:dyDescent="0.6">
      <c r="C238" s="215"/>
      <c r="D238" s="215"/>
      <c r="E238" s="215"/>
      <c r="F238" s="215"/>
      <c r="H238" s="180"/>
      <c r="I238" s="215"/>
      <c r="J238" s="215"/>
    </row>
    <row r="239" spans="2:10" outlineLevel="1" x14ac:dyDescent="0.6">
      <c r="F239" s="229"/>
    </row>
    <row r="240" spans="2:10" outlineLevel="1" x14ac:dyDescent="0.6">
      <c r="B240" s="216"/>
      <c r="C240" s="233"/>
      <c r="D240" s="233"/>
      <c r="E240" s="233"/>
      <c r="F240" s="222"/>
      <c r="H240" s="230"/>
    </row>
    <row r="241" spans="1:12" outlineLevel="1" x14ac:dyDescent="0.6">
      <c r="B241" s="219"/>
      <c r="C241" s="233"/>
      <c r="D241" s="233"/>
      <c r="E241" s="233"/>
      <c r="F241" s="223"/>
      <c r="H241" s="211"/>
      <c r="I241" s="241"/>
      <c r="J241" s="241"/>
    </row>
    <row r="242" spans="1:12" outlineLevel="1" x14ac:dyDescent="0.6">
      <c r="B242" s="219"/>
      <c r="C242" s="233"/>
      <c r="D242" s="233"/>
      <c r="E242" s="233"/>
      <c r="F242" s="223"/>
      <c r="H242" s="211"/>
      <c r="I242" s="241"/>
      <c r="J242" s="241"/>
    </row>
    <row r="243" spans="1:12" outlineLevel="1" x14ac:dyDescent="0.6">
      <c r="C243" s="233"/>
      <c r="D243" s="233"/>
      <c r="E243" s="233"/>
      <c r="F243" s="223"/>
      <c r="H243" s="211"/>
      <c r="I243" s="231"/>
      <c r="J243" s="231"/>
    </row>
    <row r="244" spans="1:12" outlineLevel="1" x14ac:dyDescent="0.6">
      <c r="B244" s="216"/>
      <c r="C244" s="233"/>
      <c r="D244" s="233"/>
      <c r="E244" s="233"/>
      <c r="F244" s="223"/>
      <c r="H244" s="230"/>
      <c r="I244" s="207"/>
      <c r="J244" s="207"/>
    </row>
    <row r="245" spans="1:12" outlineLevel="1" x14ac:dyDescent="0.6">
      <c r="B245" s="219"/>
      <c r="C245" s="233"/>
      <c r="D245" s="233"/>
      <c r="E245" s="233"/>
      <c r="F245" s="223"/>
      <c r="H245" s="211"/>
      <c r="I245" s="241"/>
      <c r="J245" s="241"/>
    </row>
    <row r="246" spans="1:12" outlineLevel="1" x14ac:dyDescent="0.6">
      <c r="B246" s="219"/>
      <c r="C246" s="233"/>
      <c r="D246" s="233"/>
      <c r="E246" s="233"/>
      <c r="F246" s="223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32"/>
      <c r="B251" s="180"/>
      <c r="C251" s="218"/>
      <c r="E251" s="218"/>
    </row>
    <row r="252" spans="1:12" outlineLevel="1" x14ac:dyDescent="0.6">
      <c r="C252" s="218"/>
      <c r="E252" s="218"/>
    </row>
    <row r="253" spans="1:12" outlineLevel="1" x14ac:dyDescent="0.6"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</row>
    <row r="254" spans="1:12" outlineLevel="1" x14ac:dyDescent="0.6"/>
    <row r="255" spans="1:12" outlineLevel="1" x14ac:dyDescent="0.6">
      <c r="B255" s="194"/>
      <c r="C255" s="213"/>
      <c r="D255" s="213"/>
      <c r="E255" s="235"/>
      <c r="F255" s="213"/>
      <c r="G255" s="213"/>
      <c r="H255" s="213"/>
      <c r="I255" s="213"/>
      <c r="J255" s="213"/>
      <c r="K255" s="235"/>
      <c r="L255" s="235"/>
    </row>
    <row r="256" spans="1:12" ht="15.25" outlineLevel="1" x14ac:dyDescent="1.05">
      <c r="B256" s="194"/>
      <c r="C256" s="236"/>
      <c r="D256" s="236"/>
      <c r="E256" s="236"/>
      <c r="F256" s="245"/>
      <c r="G256" s="245"/>
      <c r="H256" s="245"/>
      <c r="I256" s="245"/>
      <c r="J256" s="245"/>
      <c r="K256" s="237"/>
      <c r="L256" s="237"/>
    </row>
    <row r="257" spans="2:12" outlineLevel="1" x14ac:dyDescent="0.6">
      <c r="B257" s="19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</row>
    <row r="258" spans="2:12" outlineLevel="1" x14ac:dyDescent="0.6">
      <c r="B258" s="19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</row>
    <row r="259" spans="2:12" outlineLevel="1" x14ac:dyDescent="0.6">
      <c r="B259" s="19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</row>
    <row r="260" spans="2:12" ht="15.25" outlineLevel="1" x14ac:dyDescent="1.05">
      <c r="B260" s="194"/>
      <c r="C260" s="212"/>
      <c r="E260" s="218"/>
    </row>
    <row r="261" spans="2:12" outlineLevel="1" x14ac:dyDescent="0.6">
      <c r="B261" s="194"/>
      <c r="C261" s="205"/>
      <c r="E261" s="218"/>
    </row>
    <row r="262" spans="2:12" outlineLevel="1" x14ac:dyDescent="0.6">
      <c r="B262" s="194"/>
      <c r="C262" s="218"/>
      <c r="E262" s="218"/>
    </row>
    <row r="263" spans="2:12" outlineLevel="1" x14ac:dyDescent="0.6"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</row>
    <row r="264" spans="2:12" outlineLevel="1" x14ac:dyDescent="0.6"/>
    <row r="265" spans="2:12" outlineLevel="1" x14ac:dyDescent="0.6">
      <c r="C265" s="246"/>
      <c r="D265" s="246"/>
      <c r="E265" s="246"/>
    </row>
    <row r="266" spans="2:12" outlineLevel="1" x14ac:dyDescent="0.6">
      <c r="B266" s="194"/>
      <c r="C266" s="205"/>
      <c r="D266" s="244"/>
      <c r="E266" s="205"/>
    </row>
    <row r="267" spans="2:12" outlineLevel="1" x14ac:dyDescent="0.6">
      <c r="B267" s="194"/>
      <c r="C267" s="247"/>
      <c r="D267" s="248"/>
      <c r="E267" s="247"/>
    </row>
    <row r="268" spans="2:12" outlineLevel="1" x14ac:dyDescent="0.6">
      <c r="B268" s="194"/>
      <c r="C268" s="205"/>
      <c r="D268" s="205"/>
      <c r="E268" s="205"/>
      <c r="G268" s="194"/>
    </row>
    <row r="269" spans="2:12" outlineLevel="1" x14ac:dyDescent="0.6">
      <c r="C269" s="218"/>
      <c r="E269" s="218"/>
      <c r="G269" s="194"/>
    </row>
    <row r="270" spans="2:12" outlineLevel="1" x14ac:dyDescent="0.6">
      <c r="B270" s="239"/>
      <c r="C270" s="205"/>
      <c r="E270" s="242"/>
      <c r="G270" s="242"/>
    </row>
    <row r="271" spans="2:12" outlineLevel="1" x14ac:dyDescent="0.6">
      <c r="B271" s="194"/>
      <c r="C271" s="205"/>
      <c r="E271" s="154"/>
    </row>
    <row r="272" spans="2:12" outlineLevel="1" x14ac:dyDescent="0.6">
      <c r="B272" s="194"/>
      <c r="C272" s="247"/>
      <c r="E272" s="243"/>
    </row>
    <row r="273" spans="2:5" outlineLevel="1" x14ac:dyDescent="0.6">
      <c r="B273" s="194"/>
      <c r="C273" s="205"/>
      <c r="E273" s="154"/>
    </row>
    <row r="274" spans="2:5" outlineLevel="1" x14ac:dyDescent="0.6"/>
  </sheetData>
  <pageMargins left="0.75" right="0.75" top="1" bottom="1" header="0.5" footer="0.5"/>
  <pageSetup scale="58" orientation="landscape" r:id="rId1"/>
  <headerFooter alignWithMargins="0">
    <oddHeader>&amp;L&amp;"Arial,Bold"Atlantic City Electric
&amp;"Arial,Regular"Development of BGS Rates
June 2023 - May 2024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Morrison, Kate</cp:lastModifiedBy>
  <cp:lastPrinted>2022-06-23T20:01:41Z</cp:lastPrinted>
  <dcterms:created xsi:type="dcterms:W3CDTF">2003-06-13T18:49:24Z</dcterms:created>
  <dcterms:modified xsi:type="dcterms:W3CDTF">2022-06-30T14:14:28Z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c968b3d1-e05f-4796-9c23-acaf26d588cb_Enabled">
    <vt:lpwstr>true</vt:lpwstr>
  </property>
  <property fmtid="{D5CDD505-2E9C-101B-9397-08002B2CF9AE}" pid="4" name="MSIP_Label_c968b3d1-e05f-4796-9c23-acaf26d588cb_SetDate">
    <vt:lpwstr>2022-02-01T20:15:16Z</vt:lpwstr>
  </property>
  <property fmtid="{D5CDD505-2E9C-101B-9397-08002B2CF9AE}" pid="5" name="MSIP_Label_c968b3d1-e05f-4796-9c23-acaf26d588cb_Method">
    <vt:lpwstr>Standard</vt:lpwstr>
  </property>
  <property fmtid="{D5CDD505-2E9C-101B-9397-08002B2CF9AE}" pid="6" name="MSIP_Label_c968b3d1-e05f-4796-9c23-acaf26d588cb_Name">
    <vt:lpwstr>Company Confidential Information</vt:lpwstr>
  </property>
  <property fmtid="{D5CDD505-2E9C-101B-9397-08002B2CF9AE}" pid="7" name="MSIP_Label_c968b3d1-e05f-4796-9c23-acaf26d588cb_SiteId">
    <vt:lpwstr>600d01fc-055f-49c6-868f-3ecfcc791773</vt:lpwstr>
  </property>
  <property fmtid="{D5CDD505-2E9C-101B-9397-08002B2CF9AE}" pid="8" name="MSIP_Label_c968b3d1-e05f-4796-9c23-acaf26d588cb_ActionId">
    <vt:lpwstr>97ca61ff-67c1-4d5b-bb5a-2178d7ba5392</vt:lpwstr>
  </property>
  <property fmtid="{D5CDD505-2E9C-101B-9397-08002B2CF9AE}" pid="9" name="MSIP_Label_c968b3d1-e05f-4796-9c23-acaf26d588cb_ContentBits">
    <vt:lpwstr>0</vt:lpwstr>
  </property>
  <property fmtid="{D5CDD505-2E9C-101B-9397-08002B2CF9AE}" pid="10" name="{A44787D4-0540-4523-9961-78E4036D8C6D}">
    <vt:lpwstr>{176B17EF-813F-4152-9925-CC40755E87EF}</vt:lpwstr>
  </property>
</Properties>
</file>