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ra-nycfs\Work\Projects\Energy\20-21 BGS (114324)\2021 Auction\3 Rates\3 January 2021\2 Rcvd from EDCs\0 Posted\"/>
    </mc:Choice>
  </mc:AlternateContent>
  <xr:revisionPtr revIDLastSave="0" documentId="8_{189EDA72-4B91-4ECE-B916-040D10FA1C83}" xr6:coauthVersionLast="45" xr6:coauthVersionMax="45" xr10:uidLastSave="{00000000-0000-0000-0000-000000000000}"/>
  <bookViews>
    <workbookView xWindow="-93" yWindow="-93" windowWidth="25786" windowHeight="13986" tabRatio="807" activeTab="2" xr2:uid="{7D2B37DB-F085-4F0A-ABFD-182A2B29861A}"/>
  </bookViews>
  <sheets>
    <sheet name="BGS PTY17 Cost Alloc" sheetId="1" r:id="rId1"/>
    <sheet name="BGS PTY18 Cost Alloc" sheetId="2" r:id="rId2"/>
    <sheet name="BGS PTY19 Cost Alloc" sheetId="3" r:id="rId3"/>
    <sheet name="Composite Cost Allocation" sheetId="4" r:id="rId4"/>
    <sheet name="Attachment 3 - 21-22" sheetId="5" r:id="rId5"/>
    <sheet name="Attachment 3 - 22-23" sheetId="6" r:id="rId6"/>
    <sheet name="Attachment 3 - 23-24" sheetId="7" r:id="rId7"/>
    <sheet name="Attachment 4 - Transmission" sheetId="8" r:id="rId8"/>
  </sheets>
  <definedNames>
    <definedName name="_xlnm.Print_Area" localSheetId="4">'Attachment 3 - 21-22'!$A$1:$G$59</definedName>
    <definedName name="_xlnm.Print_Area" localSheetId="5">'Attachment 3 - 22-23'!$A$1:$G$58</definedName>
    <definedName name="_xlnm.Print_Area" localSheetId="6">'Attachment 3 - 23-24'!$A$1:$G$57</definedName>
    <definedName name="_xlnm.Print_Area" localSheetId="0">'BGS PTY17 Cost Alloc'!$A$1:$L$346</definedName>
    <definedName name="_xlnm.Print_Area" localSheetId="1">'BGS PTY18 Cost Alloc'!$A$1:$L$346</definedName>
    <definedName name="_xlnm.Print_Area" localSheetId="2">'BGS PTY19 Cost Alloc'!$A$1:$L$318</definedName>
    <definedName name="_xlnm.Print_Area" localSheetId="3">'Composite Cost Allocation'!$A$1:$L$177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7" l="1"/>
  <c r="C8" i="5" l="1"/>
  <c r="B8" i="7" l="1"/>
  <c r="B8" i="6"/>
  <c r="AC124" i="3" l="1"/>
  <c r="Q148" i="3"/>
  <c r="T148" i="3"/>
  <c r="W148" i="3"/>
  <c r="Z148" i="3"/>
  <c r="AC148" i="3"/>
  <c r="Q159" i="3"/>
  <c r="T159" i="3"/>
  <c r="W159" i="3"/>
  <c r="Z159" i="3"/>
  <c r="AC159" i="3"/>
  <c r="Q163" i="3"/>
  <c r="W163" i="3"/>
  <c r="Q168" i="3"/>
  <c r="W168" i="3" s="1"/>
  <c r="U177" i="3"/>
  <c r="U178" i="3"/>
  <c r="P184" i="3"/>
  <c r="P188" i="3" s="1"/>
  <c r="Q184" i="3"/>
  <c r="R184" i="3"/>
  <c r="R188" i="3" s="1"/>
  <c r="S184" i="3"/>
  <c r="S188" i="3" s="1"/>
  <c r="T184" i="3"/>
  <c r="T188" i="3" s="1"/>
  <c r="U185" i="3"/>
  <c r="Q188" i="3"/>
  <c r="AC120" i="2"/>
  <c r="E98" i="1"/>
  <c r="F98" i="1" s="1"/>
  <c r="AC116" i="1"/>
  <c r="D16" i="8"/>
  <c r="C16" i="8"/>
  <c r="C38" i="7"/>
  <c r="B34" i="7"/>
  <c r="C14" i="7"/>
  <c r="D11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C10" i="7"/>
  <c r="C43" i="6"/>
  <c r="B34" i="6"/>
  <c r="A11" i="6"/>
  <c r="A12" i="6" s="1"/>
  <c r="A13" i="6" s="1"/>
  <c r="A14" i="6" s="1"/>
  <c r="A15" i="6" s="1"/>
  <c r="A16" i="6" s="1"/>
  <c r="A17" i="6" s="1"/>
  <c r="A18" i="6" s="1"/>
  <c r="A19" i="6" s="1"/>
  <c r="A20" i="6" s="1"/>
  <c r="C10" i="6"/>
  <c r="D44" i="5"/>
  <c r="D42" i="7" s="1"/>
  <c r="C44" i="5"/>
  <c r="C44" i="6" s="1"/>
  <c r="D43" i="5"/>
  <c r="D43" i="6" s="1"/>
  <c r="C43" i="5"/>
  <c r="C41" i="7" s="1"/>
  <c r="E39" i="5"/>
  <c r="D39" i="6" s="1"/>
  <c r="D39" i="5"/>
  <c r="D9" i="8" s="1"/>
  <c r="C39" i="5"/>
  <c r="D33" i="5"/>
  <c r="C33" i="5"/>
  <c r="A11" i="5"/>
  <c r="A12" i="5" s="1"/>
  <c r="A13" i="5" s="1"/>
  <c r="A14" i="5" s="1"/>
  <c r="A15" i="5" s="1"/>
  <c r="A16" i="5" s="1"/>
  <c r="A17" i="5" s="1"/>
  <c r="A18" i="5" s="1"/>
  <c r="A19" i="5" s="1"/>
  <c r="A20" i="5" s="1"/>
  <c r="I156" i="4"/>
  <c r="H156" i="4"/>
  <c r="G156" i="4"/>
  <c r="F156" i="4"/>
  <c r="E156" i="4"/>
  <c r="B149" i="4"/>
  <c r="B148" i="4"/>
  <c r="I125" i="4"/>
  <c r="H125" i="4"/>
  <c r="G125" i="4"/>
  <c r="F125" i="4"/>
  <c r="E125" i="4"/>
  <c r="E106" i="4"/>
  <c r="E243" i="2" s="1"/>
  <c r="B51" i="4"/>
  <c r="B50" i="4"/>
  <c r="B49" i="4"/>
  <c r="B48" i="4"/>
  <c r="B47" i="4"/>
  <c r="B46" i="4"/>
  <c r="B45" i="4"/>
  <c r="B3" i="4"/>
  <c r="C305" i="3"/>
  <c r="C304" i="3"/>
  <c r="C301" i="3"/>
  <c r="B278" i="3"/>
  <c r="B277" i="3"/>
  <c r="I256" i="3"/>
  <c r="H256" i="3"/>
  <c r="G256" i="3"/>
  <c r="F256" i="3"/>
  <c r="E256" i="3"/>
  <c r="B232" i="3"/>
  <c r="B231" i="3"/>
  <c r="I210" i="3"/>
  <c r="H210" i="3"/>
  <c r="G210" i="3"/>
  <c r="F210" i="3"/>
  <c r="E210" i="3"/>
  <c r="B202" i="3"/>
  <c r="B201" i="3"/>
  <c r="H193" i="3"/>
  <c r="G193" i="3"/>
  <c r="I192" i="3"/>
  <c r="H192" i="3"/>
  <c r="G192" i="3"/>
  <c r="F192" i="3"/>
  <c r="E192" i="3"/>
  <c r="F188" i="3"/>
  <c r="C306" i="3" s="1"/>
  <c r="AX181" i="3"/>
  <c r="C179" i="3"/>
  <c r="D175" i="3"/>
  <c r="C302" i="3" s="1"/>
  <c r="H171" i="3"/>
  <c r="E170" i="3"/>
  <c r="I162" i="3"/>
  <c r="H162" i="3"/>
  <c r="G162" i="3"/>
  <c r="F162" i="3"/>
  <c r="E162" i="3"/>
  <c r="I148" i="3"/>
  <c r="H148" i="3"/>
  <c r="G148" i="3"/>
  <c r="F148" i="3"/>
  <c r="E148" i="3"/>
  <c r="B144" i="3"/>
  <c r="B143" i="3"/>
  <c r="I128" i="3"/>
  <c r="H128" i="3"/>
  <c r="G128" i="3"/>
  <c r="F128" i="3"/>
  <c r="E128" i="3"/>
  <c r="I110" i="3"/>
  <c r="H110" i="3"/>
  <c r="G110" i="3"/>
  <c r="F110" i="3"/>
  <c r="E110" i="3"/>
  <c r="B104" i="3"/>
  <c r="B103" i="3"/>
  <c r="I97" i="3"/>
  <c r="H97" i="3"/>
  <c r="E97" i="3"/>
  <c r="Z95" i="3"/>
  <c r="X95" i="3"/>
  <c r="Y95" i="3" s="1"/>
  <c r="AA95" i="3" s="1"/>
  <c r="R95" i="3"/>
  <c r="Q95" i="3"/>
  <c r="I95" i="3"/>
  <c r="H95" i="3"/>
  <c r="G95" i="3"/>
  <c r="F95" i="3"/>
  <c r="E95" i="3"/>
  <c r="Z94" i="3"/>
  <c r="Y94" i="3"/>
  <c r="AA94" i="3" s="1"/>
  <c r="S94" i="3"/>
  <c r="S93" i="3"/>
  <c r="S95" i="3" s="1"/>
  <c r="I92" i="3"/>
  <c r="H92" i="3"/>
  <c r="G92" i="3"/>
  <c r="F92" i="3"/>
  <c r="E92" i="3"/>
  <c r="I90" i="3"/>
  <c r="H90" i="3"/>
  <c r="D90" i="3"/>
  <c r="E90" i="3" s="1"/>
  <c r="I89" i="3"/>
  <c r="H89" i="3"/>
  <c r="D89" i="3"/>
  <c r="E89" i="3" s="1"/>
  <c r="I88" i="3"/>
  <c r="H88" i="3"/>
  <c r="D88" i="3"/>
  <c r="E88" i="3" s="1"/>
  <c r="Z87" i="3"/>
  <c r="Y87" i="3"/>
  <c r="X87" i="3"/>
  <c r="D87" i="3"/>
  <c r="E87" i="3" s="1"/>
  <c r="W86" i="3"/>
  <c r="V86" i="3" s="1"/>
  <c r="AB86" i="3" s="1"/>
  <c r="AC86" i="3" s="1"/>
  <c r="D86" i="3"/>
  <c r="E86" i="3" s="1"/>
  <c r="W85" i="3"/>
  <c r="V85" i="3" s="1"/>
  <c r="I85" i="3"/>
  <c r="I86" i="3" s="1"/>
  <c r="I87" i="3" s="1"/>
  <c r="H85" i="3"/>
  <c r="H86" i="3" s="1"/>
  <c r="H87" i="3" s="1"/>
  <c r="D85" i="3"/>
  <c r="E85" i="3" s="1"/>
  <c r="W84" i="3"/>
  <c r="V84" i="3" s="1"/>
  <c r="E84" i="3"/>
  <c r="W83" i="3"/>
  <c r="V83" i="3" s="1"/>
  <c r="I83" i="3"/>
  <c r="H83" i="3"/>
  <c r="D83" i="3"/>
  <c r="E83" i="3" s="1"/>
  <c r="W82" i="3"/>
  <c r="V82" i="3" s="1"/>
  <c r="AB82" i="3" s="1"/>
  <c r="AC82" i="3" s="1"/>
  <c r="I82" i="3"/>
  <c r="H82" i="3"/>
  <c r="D82" i="3"/>
  <c r="E82" i="3" s="1"/>
  <c r="W81" i="3"/>
  <c r="V81" i="3" s="1"/>
  <c r="I81" i="3"/>
  <c r="H81" i="3"/>
  <c r="E81" i="3"/>
  <c r="D81" i="3"/>
  <c r="W80" i="3"/>
  <c r="V80" i="3" s="1"/>
  <c r="I80" i="3"/>
  <c r="H80" i="3"/>
  <c r="D80" i="3"/>
  <c r="E80" i="3" s="1"/>
  <c r="W79" i="3"/>
  <c r="V79" i="3" s="1"/>
  <c r="AB79" i="3" s="1"/>
  <c r="AC79" i="3" s="1"/>
  <c r="E79" i="3"/>
  <c r="W78" i="3"/>
  <c r="V78" i="3" s="1"/>
  <c r="AB78" i="3" s="1"/>
  <c r="AC78" i="3" s="1"/>
  <c r="W77" i="3"/>
  <c r="V77" i="3" s="1"/>
  <c r="W76" i="3"/>
  <c r="V76" i="3" s="1"/>
  <c r="W75" i="3"/>
  <c r="V75" i="3" s="1"/>
  <c r="AF72" i="3"/>
  <c r="AB72" i="3"/>
  <c r="AA72" i="3"/>
  <c r="Z72" i="3"/>
  <c r="X72" i="3"/>
  <c r="W72" i="3"/>
  <c r="G71" i="3"/>
  <c r="G71" i="1" s="1"/>
  <c r="Y71" i="3"/>
  <c r="I71" i="3"/>
  <c r="I71" i="2" s="1"/>
  <c r="H71" i="3"/>
  <c r="H71" i="1" s="1"/>
  <c r="F71" i="3"/>
  <c r="F71" i="2" s="1"/>
  <c r="E71" i="3"/>
  <c r="M71" i="3" s="1"/>
  <c r="Y70" i="3"/>
  <c r="I70" i="3"/>
  <c r="I70" i="2" s="1"/>
  <c r="H70" i="3"/>
  <c r="G70" i="3"/>
  <c r="G70" i="1" s="1"/>
  <c r="F70" i="3"/>
  <c r="F70" i="2" s="1"/>
  <c r="E70" i="3"/>
  <c r="E70" i="2" s="1"/>
  <c r="M70" i="2" s="1"/>
  <c r="G69" i="3"/>
  <c r="G69" i="1" s="1"/>
  <c r="Y69" i="3"/>
  <c r="I69" i="3"/>
  <c r="I69" i="2" s="1"/>
  <c r="H69" i="3"/>
  <c r="H69" i="1" s="1"/>
  <c r="F69" i="3"/>
  <c r="E69" i="3"/>
  <c r="E69" i="1" s="1"/>
  <c r="H68" i="3"/>
  <c r="H68" i="1" s="1"/>
  <c r="Y68" i="3"/>
  <c r="I68" i="3"/>
  <c r="G68" i="3"/>
  <c r="G68" i="1" s="1"/>
  <c r="F68" i="3"/>
  <c r="E68" i="3"/>
  <c r="M68" i="3" s="1"/>
  <c r="H67" i="3"/>
  <c r="H67" i="2" s="1"/>
  <c r="Y67" i="3"/>
  <c r="Q67" i="3"/>
  <c r="I67" i="3"/>
  <c r="I67" i="2" s="1"/>
  <c r="G67" i="3"/>
  <c r="G67" i="2" s="1"/>
  <c r="F67" i="3"/>
  <c r="F67" i="2" s="1"/>
  <c r="E67" i="3"/>
  <c r="E67" i="1" s="1"/>
  <c r="Y66" i="3"/>
  <c r="I66" i="3"/>
  <c r="H66" i="3"/>
  <c r="H66" i="2" s="1"/>
  <c r="G66" i="3"/>
  <c r="F66" i="3"/>
  <c r="F66" i="2" s="1"/>
  <c r="E66" i="3"/>
  <c r="E66" i="1" s="1"/>
  <c r="G65" i="3"/>
  <c r="G65" i="2" s="1"/>
  <c r="Y65" i="3"/>
  <c r="I65" i="3"/>
  <c r="U64" i="3" s="1"/>
  <c r="H65" i="3"/>
  <c r="F65" i="3"/>
  <c r="F65" i="2" s="1"/>
  <c r="E65" i="3"/>
  <c r="Y64" i="3"/>
  <c r="I64" i="3"/>
  <c r="H64" i="3"/>
  <c r="G64" i="3"/>
  <c r="G64" i="2" s="1"/>
  <c r="F64" i="3"/>
  <c r="F64" i="2" s="1"/>
  <c r="E64" i="3"/>
  <c r="M64" i="3" s="1"/>
  <c r="G63" i="3"/>
  <c r="G63" i="1" s="1"/>
  <c r="Y63" i="3"/>
  <c r="Q63" i="3"/>
  <c r="I63" i="3"/>
  <c r="H63" i="3"/>
  <c r="H63" i="2" s="1"/>
  <c r="F63" i="3"/>
  <c r="F63" i="2" s="1"/>
  <c r="E63" i="3"/>
  <c r="M63" i="3" s="1"/>
  <c r="Y62" i="3"/>
  <c r="I62" i="3"/>
  <c r="I62" i="2" s="1"/>
  <c r="H62" i="3"/>
  <c r="H62" i="2" s="1"/>
  <c r="G62" i="3"/>
  <c r="F62" i="3"/>
  <c r="F62" i="1" s="1"/>
  <c r="E62" i="3"/>
  <c r="E62" i="2" s="1"/>
  <c r="M62" i="2" s="1"/>
  <c r="Y61" i="3"/>
  <c r="I61" i="3"/>
  <c r="I61" i="2" s="1"/>
  <c r="H61" i="3"/>
  <c r="G61" i="3"/>
  <c r="G61" i="1" s="1"/>
  <c r="F61" i="3"/>
  <c r="F61" i="2" s="1"/>
  <c r="E61" i="3"/>
  <c r="E61" i="2" s="1"/>
  <c r="AG72" i="3"/>
  <c r="AC72" i="3"/>
  <c r="Y60" i="3"/>
  <c r="U60" i="3"/>
  <c r="I60" i="3"/>
  <c r="H60" i="3"/>
  <c r="F60" i="3"/>
  <c r="E60" i="3"/>
  <c r="I58" i="3"/>
  <c r="G58" i="3"/>
  <c r="F58" i="3"/>
  <c r="E58" i="3"/>
  <c r="B53" i="3"/>
  <c r="B52" i="3"/>
  <c r="T44" i="3"/>
  <c r="Q44" i="3"/>
  <c r="T43" i="3"/>
  <c r="Q43" i="3"/>
  <c r="T42" i="3"/>
  <c r="Q42" i="3"/>
  <c r="T41" i="3"/>
  <c r="Q41" i="3"/>
  <c r="T40" i="3"/>
  <c r="Q40" i="3"/>
  <c r="T39" i="3"/>
  <c r="Q39" i="3"/>
  <c r="T38" i="3"/>
  <c r="Q38" i="3"/>
  <c r="T37" i="3"/>
  <c r="Q37" i="3"/>
  <c r="T36" i="3"/>
  <c r="Q36" i="3"/>
  <c r="T35" i="3"/>
  <c r="Q35" i="3"/>
  <c r="T34" i="3"/>
  <c r="Q34" i="3"/>
  <c r="T33" i="3"/>
  <c r="Q33" i="3"/>
  <c r="I31" i="3"/>
  <c r="H31" i="3"/>
  <c r="G31" i="3"/>
  <c r="F31" i="3"/>
  <c r="E31" i="3"/>
  <c r="T30" i="3"/>
  <c r="Q30" i="3"/>
  <c r="U26" i="3"/>
  <c r="T26" i="3"/>
  <c r="S26" i="3"/>
  <c r="R26" i="3"/>
  <c r="Q26" i="3"/>
  <c r="U25" i="3"/>
  <c r="T25" i="3"/>
  <c r="S25" i="3"/>
  <c r="R25" i="3"/>
  <c r="Q25" i="3"/>
  <c r="U24" i="3"/>
  <c r="T24" i="3"/>
  <c r="S24" i="3"/>
  <c r="R24" i="3"/>
  <c r="Q24" i="3"/>
  <c r="U23" i="3"/>
  <c r="T23" i="3"/>
  <c r="S23" i="3"/>
  <c r="R23" i="3"/>
  <c r="Q23" i="3"/>
  <c r="U22" i="3"/>
  <c r="T22" i="3"/>
  <c r="S22" i="3"/>
  <c r="R22" i="3"/>
  <c r="Q22" i="3"/>
  <c r="U21" i="3"/>
  <c r="T21" i="3"/>
  <c r="S21" i="3"/>
  <c r="R21" i="3"/>
  <c r="Q21" i="3"/>
  <c r="U20" i="3"/>
  <c r="T20" i="3"/>
  <c r="S20" i="3"/>
  <c r="R20" i="3"/>
  <c r="Q20" i="3"/>
  <c r="U19" i="3"/>
  <c r="T19" i="3"/>
  <c r="S19" i="3"/>
  <c r="R19" i="3"/>
  <c r="Q19" i="3"/>
  <c r="U18" i="3"/>
  <c r="T18" i="3"/>
  <c r="S18" i="3"/>
  <c r="R18" i="3"/>
  <c r="Q18" i="3"/>
  <c r="U17" i="3"/>
  <c r="T17" i="3"/>
  <c r="S17" i="3"/>
  <c r="R17" i="3"/>
  <c r="Q17" i="3"/>
  <c r="U16" i="3"/>
  <c r="T16" i="3"/>
  <c r="S16" i="3"/>
  <c r="R16" i="3"/>
  <c r="Q16" i="3"/>
  <c r="U15" i="3"/>
  <c r="T15" i="3"/>
  <c r="S15" i="3"/>
  <c r="R15" i="3"/>
  <c r="Q15" i="3"/>
  <c r="U13" i="3"/>
  <c r="U58" i="3" s="1"/>
  <c r="T13" i="3"/>
  <c r="T79" i="3" s="1"/>
  <c r="S13" i="3"/>
  <c r="S31" i="3" s="1"/>
  <c r="R13" i="3"/>
  <c r="R31" i="3" s="1"/>
  <c r="Q13" i="3"/>
  <c r="B347" i="2"/>
  <c r="C339" i="2"/>
  <c r="C338" i="2"/>
  <c r="C337" i="2"/>
  <c r="C333" i="2"/>
  <c r="C332" i="2"/>
  <c r="E319" i="2"/>
  <c r="E318" i="2"/>
  <c r="I312" i="2"/>
  <c r="H312" i="2"/>
  <c r="G312" i="2"/>
  <c r="F312" i="2"/>
  <c r="E312" i="2"/>
  <c r="I287" i="2"/>
  <c r="H287" i="2"/>
  <c r="G287" i="2"/>
  <c r="F287" i="2"/>
  <c r="E287" i="2"/>
  <c r="B284" i="2"/>
  <c r="B283" i="2"/>
  <c r="I261" i="2"/>
  <c r="H261" i="2"/>
  <c r="G261" i="2"/>
  <c r="F261" i="2"/>
  <c r="E261" i="2"/>
  <c r="B237" i="2"/>
  <c r="B236" i="2"/>
  <c r="I215" i="2"/>
  <c r="H215" i="2"/>
  <c r="G215" i="2"/>
  <c r="F215" i="2"/>
  <c r="E215" i="2"/>
  <c r="B207" i="2"/>
  <c r="B206" i="2"/>
  <c r="I196" i="2"/>
  <c r="H196" i="2"/>
  <c r="G196" i="2"/>
  <c r="F196" i="2"/>
  <c r="E196" i="2"/>
  <c r="D192" i="2"/>
  <c r="E192" i="2" s="1"/>
  <c r="C334" i="2" s="1"/>
  <c r="C183" i="2"/>
  <c r="D178" i="2"/>
  <c r="E178" i="2" s="1"/>
  <c r="E177" i="2"/>
  <c r="C329" i="2" s="1"/>
  <c r="H173" i="2"/>
  <c r="I166" i="2"/>
  <c r="H166" i="2"/>
  <c r="G166" i="2"/>
  <c r="F166" i="2"/>
  <c r="E166" i="2"/>
  <c r="I164" i="2"/>
  <c r="H164" i="2"/>
  <c r="G164" i="2"/>
  <c r="F164" i="2"/>
  <c r="E164" i="2"/>
  <c r="B163" i="2"/>
  <c r="Z160" i="2"/>
  <c r="I148" i="2"/>
  <c r="H148" i="2"/>
  <c r="W148" i="2" s="1"/>
  <c r="G148" i="2"/>
  <c r="F148" i="2"/>
  <c r="E148" i="2"/>
  <c r="W160" i="2" s="1"/>
  <c r="B144" i="2"/>
  <c r="B143" i="2"/>
  <c r="I128" i="2"/>
  <c r="H128" i="2"/>
  <c r="G128" i="2"/>
  <c r="F128" i="2"/>
  <c r="E128" i="2"/>
  <c r="I110" i="2"/>
  <c r="H110" i="2"/>
  <c r="G110" i="2"/>
  <c r="F110" i="2"/>
  <c r="E110" i="2"/>
  <c r="B104" i="2"/>
  <c r="B103" i="2"/>
  <c r="B102" i="2"/>
  <c r="Z95" i="2"/>
  <c r="X95" i="2"/>
  <c r="Y95" i="2" s="1"/>
  <c r="AA95" i="2" s="1"/>
  <c r="Z94" i="2"/>
  <c r="Y94" i="2"/>
  <c r="AA94" i="2" s="1"/>
  <c r="I94" i="2"/>
  <c r="I95" i="2" s="1"/>
  <c r="H94" i="2"/>
  <c r="H95" i="2" s="1"/>
  <c r="G94" i="2"/>
  <c r="G95" i="2" s="1"/>
  <c r="F94" i="2"/>
  <c r="F95" i="2" s="1"/>
  <c r="E94" i="2"/>
  <c r="E95" i="2" s="1"/>
  <c r="I92" i="2"/>
  <c r="H92" i="2"/>
  <c r="G92" i="2"/>
  <c r="F92" i="2"/>
  <c r="E92" i="2"/>
  <c r="I90" i="2"/>
  <c r="H90" i="2"/>
  <c r="F90" i="2"/>
  <c r="D90" i="2"/>
  <c r="I89" i="2"/>
  <c r="H89" i="2"/>
  <c r="F89" i="2"/>
  <c r="D89" i="2"/>
  <c r="I88" i="2"/>
  <c r="H88" i="2"/>
  <c r="F88" i="2"/>
  <c r="D88" i="2"/>
  <c r="F87" i="2"/>
  <c r="D87" i="2"/>
  <c r="Z86" i="2"/>
  <c r="Y86" i="2"/>
  <c r="X86" i="2"/>
  <c r="F86" i="2"/>
  <c r="D86" i="2"/>
  <c r="Z85" i="2"/>
  <c r="Y85" i="2"/>
  <c r="X85" i="2"/>
  <c r="I85" i="2"/>
  <c r="I86" i="2" s="1"/>
  <c r="I87" i="2" s="1"/>
  <c r="H85" i="2"/>
  <c r="H86" i="2" s="1"/>
  <c r="H87" i="2" s="1"/>
  <c r="F85" i="2"/>
  <c r="D85" i="2"/>
  <c r="Z84" i="2"/>
  <c r="Y84" i="2"/>
  <c r="X84" i="2"/>
  <c r="F84" i="2"/>
  <c r="D84" i="2"/>
  <c r="Z83" i="2"/>
  <c r="Y83" i="2"/>
  <c r="X83" i="2"/>
  <c r="I83" i="2"/>
  <c r="H83" i="2"/>
  <c r="F83" i="2"/>
  <c r="D83" i="2"/>
  <c r="Z82" i="2"/>
  <c r="Y82" i="2"/>
  <c r="X82" i="2"/>
  <c r="I82" i="2"/>
  <c r="H82" i="2"/>
  <c r="F82" i="2"/>
  <c r="D82" i="2"/>
  <c r="Z81" i="2"/>
  <c r="Y81" i="2"/>
  <c r="X81" i="2"/>
  <c r="I81" i="2"/>
  <c r="H81" i="2"/>
  <c r="F81" i="2"/>
  <c r="D81" i="2"/>
  <c r="Z80" i="2"/>
  <c r="Y80" i="2"/>
  <c r="X80" i="2"/>
  <c r="I80" i="2"/>
  <c r="H80" i="2"/>
  <c r="F80" i="2"/>
  <c r="D80" i="2"/>
  <c r="Z79" i="2"/>
  <c r="Y79" i="2"/>
  <c r="X79" i="2"/>
  <c r="F79" i="2"/>
  <c r="D79" i="2"/>
  <c r="Z78" i="2"/>
  <c r="Y78" i="2"/>
  <c r="X78" i="2"/>
  <c r="Z77" i="2"/>
  <c r="Y77" i="2"/>
  <c r="X77" i="2"/>
  <c r="Z76" i="2"/>
  <c r="Y76" i="2"/>
  <c r="X76" i="2"/>
  <c r="Z75" i="2"/>
  <c r="Y75" i="2"/>
  <c r="X75" i="2"/>
  <c r="AH72" i="2"/>
  <c r="AE72" i="2"/>
  <c r="AH71" i="2"/>
  <c r="AG71" i="2"/>
  <c r="AE71" i="2"/>
  <c r="AD71" i="2"/>
  <c r="AC71" i="2"/>
  <c r="AB71" i="2"/>
  <c r="AA71" i="2"/>
  <c r="Z71" i="2"/>
  <c r="X71" i="2"/>
  <c r="W71" i="2"/>
  <c r="V71" i="2"/>
  <c r="AH70" i="2"/>
  <c r="AG70" i="2"/>
  <c r="AE70" i="2"/>
  <c r="AD70" i="2"/>
  <c r="AC70" i="2"/>
  <c r="AB70" i="2"/>
  <c r="AA70" i="2"/>
  <c r="Z70" i="2"/>
  <c r="X70" i="2"/>
  <c r="W70" i="2"/>
  <c r="V70" i="2"/>
  <c r="H70" i="2"/>
  <c r="AG69" i="2"/>
  <c r="AD69" i="2"/>
  <c r="AC69" i="2"/>
  <c r="AB69" i="2"/>
  <c r="AA69" i="2"/>
  <c r="Z69" i="2"/>
  <c r="X69" i="2"/>
  <c r="W69" i="2"/>
  <c r="Y69" i="2" s="1"/>
  <c r="V69" i="2"/>
  <c r="F69" i="2"/>
  <c r="AG68" i="2"/>
  <c r="AD68" i="2"/>
  <c r="AC68" i="2"/>
  <c r="AB68" i="2"/>
  <c r="AA68" i="2"/>
  <c r="Z68" i="2"/>
  <c r="X68" i="2"/>
  <c r="W68" i="2"/>
  <c r="Y68" i="2" s="1"/>
  <c r="V68" i="2"/>
  <c r="I68" i="2"/>
  <c r="F68" i="2"/>
  <c r="E68" i="2"/>
  <c r="M68" i="2" s="1"/>
  <c r="AG67" i="2"/>
  <c r="AD67" i="2"/>
  <c r="AC67" i="2"/>
  <c r="AB67" i="2"/>
  <c r="AA67" i="2"/>
  <c r="Z67" i="2"/>
  <c r="X67" i="2"/>
  <c r="W67" i="2"/>
  <c r="Y67" i="2" s="1"/>
  <c r="V67" i="2"/>
  <c r="E67" i="2"/>
  <c r="AG66" i="2"/>
  <c r="AD66" i="2"/>
  <c r="AC66" i="2"/>
  <c r="AB66" i="2"/>
  <c r="AA66" i="2"/>
  <c r="Z66" i="2"/>
  <c r="X66" i="2"/>
  <c r="W66" i="2"/>
  <c r="V66" i="2"/>
  <c r="I66" i="2"/>
  <c r="G66" i="2"/>
  <c r="AG65" i="2"/>
  <c r="AD65" i="2"/>
  <c r="AC65" i="2"/>
  <c r="AB65" i="2"/>
  <c r="AA65" i="2"/>
  <c r="Z65" i="2"/>
  <c r="X65" i="2"/>
  <c r="W65" i="2"/>
  <c r="V65" i="2"/>
  <c r="I65" i="2"/>
  <c r="H65" i="2"/>
  <c r="AG64" i="2"/>
  <c r="AD64" i="2"/>
  <c r="AC64" i="2"/>
  <c r="AB64" i="2"/>
  <c r="AA64" i="2"/>
  <c r="Z64" i="2"/>
  <c r="X64" i="2"/>
  <c r="W64" i="2"/>
  <c r="V64" i="2"/>
  <c r="I64" i="2"/>
  <c r="H64" i="2"/>
  <c r="AG63" i="2"/>
  <c r="AD63" i="2"/>
  <c r="AC63" i="2"/>
  <c r="AB63" i="2"/>
  <c r="AA63" i="2"/>
  <c r="Z63" i="2"/>
  <c r="X63" i="2"/>
  <c r="W63" i="2"/>
  <c r="Y63" i="2" s="1"/>
  <c r="V63" i="2"/>
  <c r="I63" i="2"/>
  <c r="E63" i="2"/>
  <c r="AG62" i="2"/>
  <c r="AD62" i="2"/>
  <c r="AC62" i="2"/>
  <c r="AB62" i="2"/>
  <c r="AA62" i="2"/>
  <c r="Z62" i="2"/>
  <c r="X62" i="2"/>
  <c r="W62" i="2"/>
  <c r="V62" i="2"/>
  <c r="G62" i="2"/>
  <c r="AG61" i="2"/>
  <c r="AD61" i="2"/>
  <c r="AC61" i="2"/>
  <c r="AB61" i="2"/>
  <c r="AA61" i="2"/>
  <c r="Z61" i="2"/>
  <c r="X61" i="2"/>
  <c r="W61" i="2"/>
  <c r="V61" i="2"/>
  <c r="H61" i="2"/>
  <c r="AG60" i="2"/>
  <c r="AD60" i="2"/>
  <c r="AC60" i="2"/>
  <c r="AB60" i="2"/>
  <c r="AA60" i="2"/>
  <c r="Z60" i="2"/>
  <c r="X60" i="2"/>
  <c r="W60" i="2"/>
  <c r="V60" i="2"/>
  <c r="I60" i="2"/>
  <c r="H60" i="2"/>
  <c r="E60" i="2"/>
  <c r="I58" i="2"/>
  <c r="G58" i="2"/>
  <c r="F58" i="2"/>
  <c r="E58" i="2"/>
  <c r="B57" i="2"/>
  <c r="W55" i="2"/>
  <c r="B53" i="2"/>
  <c r="B52" i="2"/>
  <c r="H44" i="2"/>
  <c r="T44" i="2" s="1"/>
  <c r="E44" i="2"/>
  <c r="Q44" i="2" s="1"/>
  <c r="H43" i="2"/>
  <c r="T43" i="2" s="1"/>
  <c r="E43" i="2"/>
  <c r="Q43" i="2" s="1"/>
  <c r="H42" i="2"/>
  <c r="T42" i="2" s="1"/>
  <c r="E42" i="2"/>
  <c r="Q42" i="2" s="1"/>
  <c r="H41" i="2"/>
  <c r="T41" i="2" s="1"/>
  <c r="E41" i="2"/>
  <c r="Q41" i="2" s="1"/>
  <c r="H40" i="2"/>
  <c r="T40" i="2" s="1"/>
  <c r="E40" i="2"/>
  <c r="Q40" i="2" s="1"/>
  <c r="H39" i="2"/>
  <c r="T39" i="2" s="1"/>
  <c r="E39" i="2"/>
  <c r="Q39" i="2" s="1"/>
  <c r="Q38" i="2"/>
  <c r="H38" i="2"/>
  <c r="E38" i="2"/>
  <c r="Q37" i="2"/>
  <c r="H37" i="2"/>
  <c r="T37" i="2" s="1"/>
  <c r="E37" i="2"/>
  <c r="H36" i="2"/>
  <c r="T36" i="2" s="1"/>
  <c r="E36" i="2"/>
  <c r="Q36" i="2" s="1"/>
  <c r="H35" i="2"/>
  <c r="T35" i="2" s="1"/>
  <c r="E35" i="2"/>
  <c r="Q35" i="2" s="1"/>
  <c r="H34" i="2"/>
  <c r="T34" i="2" s="1"/>
  <c r="E34" i="2"/>
  <c r="Q34" i="2" s="1"/>
  <c r="H33" i="2"/>
  <c r="E33" i="2"/>
  <c r="Q33" i="2" s="1"/>
  <c r="I31" i="2"/>
  <c r="H31" i="2"/>
  <c r="G31" i="2"/>
  <c r="F31" i="2"/>
  <c r="E31" i="2"/>
  <c r="T30" i="2"/>
  <c r="Q30" i="2"/>
  <c r="H30" i="2"/>
  <c r="E30" i="2"/>
  <c r="I26" i="2"/>
  <c r="U26" i="2" s="1"/>
  <c r="H26" i="2"/>
  <c r="T26" i="2" s="1"/>
  <c r="G26" i="2"/>
  <c r="S26" i="2" s="1"/>
  <c r="F26" i="2"/>
  <c r="R26" i="2" s="1"/>
  <c r="E26" i="2"/>
  <c r="Q26" i="2" s="1"/>
  <c r="I25" i="2"/>
  <c r="U25" i="2" s="1"/>
  <c r="H25" i="2"/>
  <c r="T25" i="2" s="1"/>
  <c r="G25" i="2"/>
  <c r="S25" i="2" s="1"/>
  <c r="F25" i="2"/>
  <c r="R25" i="2" s="1"/>
  <c r="E25" i="2"/>
  <c r="Q25" i="2" s="1"/>
  <c r="I24" i="2"/>
  <c r="U24" i="2" s="1"/>
  <c r="H24" i="2"/>
  <c r="T24" i="2" s="1"/>
  <c r="G24" i="2"/>
  <c r="S24" i="2" s="1"/>
  <c r="F24" i="2"/>
  <c r="R24" i="2" s="1"/>
  <c r="E24" i="2"/>
  <c r="Q24" i="2" s="1"/>
  <c r="I23" i="2"/>
  <c r="U23" i="2" s="1"/>
  <c r="H23" i="2"/>
  <c r="T23" i="2" s="1"/>
  <c r="G23" i="2"/>
  <c r="S23" i="2" s="1"/>
  <c r="F23" i="2"/>
  <c r="R23" i="2" s="1"/>
  <c r="E23" i="2"/>
  <c r="Q23" i="2" s="1"/>
  <c r="I22" i="2"/>
  <c r="U22" i="2" s="1"/>
  <c r="H22" i="2"/>
  <c r="T22" i="2" s="1"/>
  <c r="G22" i="2"/>
  <c r="S22" i="2" s="1"/>
  <c r="F22" i="2"/>
  <c r="R22" i="2" s="1"/>
  <c r="E22" i="2"/>
  <c r="Q22" i="2" s="1"/>
  <c r="I21" i="2"/>
  <c r="U21" i="2" s="1"/>
  <c r="H21" i="2"/>
  <c r="T21" i="2" s="1"/>
  <c r="G21" i="2"/>
  <c r="S21" i="2" s="1"/>
  <c r="F21" i="2"/>
  <c r="R21" i="2" s="1"/>
  <c r="E21" i="2"/>
  <c r="Q21" i="2" s="1"/>
  <c r="Q20" i="2"/>
  <c r="I20" i="2"/>
  <c r="H20" i="2"/>
  <c r="T20" i="2" s="1"/>
  <c r="G20" i="2"/>
  <c r="F20" i="2"/>
  <c r="R20" i="2" s="1"/>
  <c r="E20" i="2"/>
  <c r="I19" i="2"/>
  <c r="U19" i="2" s="1"/>
  <c r="H19" i="2"/>
  <c r="T19" i="2" s="1"/>
  <c r="G19" i="2"/>
  <c r="S19" i="2" s="1"/>
  <c r="F19" i="2"/>
  <c r="R19" i="2" s="1"/>
  <c r="E19" i="2"/>
  <c r="Q19" i="2" s="1"/>
  <c r="Q18" i="2"/>
  <c r="I18" i="2"/>
  <c r="U18" i="2" s="1"/>
  <c r="H18" i="2"/>
  <c r="T18" i="2" s="1"/>
  <c r="G18" i="2"/>
  <c r="S18" i="2" s="1"/>
  <c r="F18" i="2"/>
  <c r="R18" i="2" s="1"/>
  <c r="E18" i="2"/>
  <c r="I17" i="2"/>
  <c r="U17" i="2" s="1"/>
  <c r="H17" i="2"/>
  <c r="T17" i="2" s="1"/>
  <c r="G17" i="2"/>
  <c r="S17" i="2" s="1"/>
  <c r="F17" i="2"/>
  <c r="R17" i="2" s="1"/>
  <c r="E17" i="2"/>
  <c r="Q17" i="2" s="1"/>
  <c r="I16" i="2"/>
  <c r="U16" i="2" s="1"/>
  <c r="H16" i="2"/>
  <c r="T16" i="2" s="1"/>
  <c r="G16" i="2"/>
  <c r="S16" i="2" s="1"/>
  <c r="F16" i="2"/>
  <c r="R16" i="2" s="1"/>
  <c r="E16" i="2"/>
  <c r="Q16" i="2" s="1"/>
  <c r="I15" i="2"/>
  <c r="H15" i="2"/>
  <c r="T15" i="2" s="1"/>
  <c r="G15" i="2"/>
  <c r="S15" i="2" s="1"/>
  <c r="F15" i="2"/>
  <c r="E15" i="2"/>
  <c r="U13" i="2"/>
  <c r="U31" i="2" s="1"/>
  <c r="T13" i="2"/>
  <c r="T58" i="2" s="1"/>
  <c r="S13" i="2"/>
  <c r="S58" i="2" s="1"/>
  <c r="R13" i="2"/>
  <c r="Q13" i="2"/>
  <c r="Q31" i="2" s="1"/>
  <c r="E10" i="2"/>
  <c r="B3" i="2"/>
  <c r="B347" i="1"/>
  <c r="C339" i="1"/>
  <c r="C338" i="1"/>
  <c r="C337" i="1"/>
  <c r="C333" i="1"/>
  <c r="C332" i="1"/>
  <c r="E319" i="1"/>
  <c r="F326" i="1" s="1"/>
  <c r="E318" i="1"/>
  <c r="F325" i="1" s="1"/>
  <c r="I312" i="1"/>
  <c r="H312" i="1"/>
  <c r="G312" i="1"/>
  <c r="F312" i="1"/>
  <c r="E312" i="1"/>
  <c r="I287" i="1"/>
  <c r="H287" i="1"/>
  <c r="G287" i="1"/>
  <c r="F287" i="1"/>
  <c r="E287" i="1"/>
  <c r="B284" i="1"/>
  <c r="B283" i="1"/>
  <c r="I261" i="1"/>
  <c r="H261" i="1"/>
  <c r="G261" i="1"/>
  <c r="F261" i="1"/>
  <c r="E261" i="1"/>
  <c r="B237" i="1"/>
  <c r="B236" i="1"/>
  <c r="I215" i="1"/>
  <c r="H215" i="1"/>
  <c r="G215" i="1"/>
  <c r="F215" i="1"/>
  <c r="E215" i="1"/>
  <c r="B207" i="1"/>
  <c r="B206" i="1"/>
  <c r="I196" i="1"/>
  <c r="H196" i="1"/>
  <c r="G196" i="1"/>
  <c r="F196" i="1"/>
  <c r="E196" i="1"/>
  <c r="D191" i="1"/>
  <c r="E191" i="1" s="1"/>
  <c r="C334" i="1" s="1"/>
  <c r="C182" i="1"/>
  <c r="E178" i="1"/>
  <c r="C330" i="1" s="1"/>
  <c r="E177" i="1"/>
  <c r="C329" i="1" s="1"/>
  <c r="H173" i="1"/>
  <c r="I166" i="1"/>
  <c r="H166" i="1"/>
  <c r="G166" i="1"/>
  <c r="F166" i="1"/>
  <c r="E166" i="1"/>
  <c r="I164" i="1"/>
  <c r="H164" i="1"/>
  <c r="G164" i="1"/>
  <c r="F164" i="1"/>
  <c r="E164" i="1"/>
  <c r="B163" i="1"/>
  <c r="I148" i="1"/>
  <c r="H148" i="1"/>
  <c r="W148" i="1" s="1"/>
  <c r="G148" i="1"/>
  <c r="F148" i="1"/>
  <c r="E148" i="1"/>
  <c r="W160" i="1" s="1"/>
  <c r="B144" i="1"/>
  <c r="B143" i="1"/>
  <c r="I128" i="1"/>
  <c r="H128" i="1"/>
  <c r="G128" i="1"/>
  <c r="F128" i="1"/>
  <c r="E128" i="1"/>
  <c r="I110" i="1"/>
  <c r="H110" i="1"/>
  <c r="G110" i="1"/>
  <c r="F110" i="1"/>
  <c r="E110" i="1"/>
  <c r="B104" i="1"/>
  <c r="B103" i="1"/>
  <c r="B102" i="1"/>
  <c r="Z95" i="1"/>
  <c r="X95" i="1"/>
  <c r="Y95" i="1" s="1"/>
  <c r="AA95" i="1" s="1"/>
  <c r="Z94" i="1"/>
  <c r="Y94" i="1"/>
  <c r="I94" i="1"/>
  <c r="I95" i="1" s="1"/>
  <c r="H94" i="1"/>
  <c r="H95" i="1" s="1"/>
  <c r="G94" i="1"/>
  <c r="G95" i="1" s="1"/>
  <c r="F94" i="1"/>
  <c r="F95" i="1" s="1"/>
  <c r="E94" i="1"/>
  <c r="E95" i="1" s="1"/>
  <c r="I92" i="1"/>
  <c r="H92" i="1"/>
  <c r="G92" i="1"/>
  <c r="F92" i="1"/>
  <c r="E92" i="1"/>
  <c r="I90" i="1"/>
  <c r="H90" i="1"/>
  <c r="F90" i="1"/>
  <c r="D90" i="1"/>
  <c r="I89" i="1"/>
  <c r="H89" i="1"/>
  <c r="F89" i="1"/>
  <c r="D89" i="1"/>
  <c r="I88" i="1"/>
  <c r="H88" i="1"/>
  <c r="F88" i="1"/>
  <c r="D88" i="1"/>
  <c r="I87" i="1"/>
  <c r="H87" i="1"/>
  <c r="F87" i="1"/>
  <c r="D87" i="1"/>
  <c r="Z86" i="1"/>
  <c r="Y86" i="1"/>
  <c r="X86" i="1"/>
  <c r="I86" i="1"/>
  <c r="H86" i="1"/>
  <c r="F86" i="1"/>
  <c r="D86" i="1"/>
  <c r="Z85" i="1"/>
  <c r="Y85" i="1"/>
  <c r="X85" i="1"/>
  <c r="I85" i="1"/>
  <c r="H85" i="1"/>
  <c r="F85" i="1"/>
  <c r="D85" i="1"/>
  <c r="Z84" i="1"/>
  <c r="Y84" i="1"/>
  <c r="X84" i="1"/>
  <c r="F84" i="1"/>
  <c r="D84" i="1"/>
  <c r="Z83" i="1"/>
  <c r="Y83" i="1"/>
  <c r="X83" i="1"/>
  <c r="I83" i="1"/>
  <c r="H83" i="1"/>
  <c r="F83" i="1"/>
  <c r="D83" i="1"/>
  <c r="Z82" i="1"/>
  <c r="Y82" i="1"/>
  <c r="X82" i="1"/>
  <c r="I82" i="1"/>
  <c r="H82" i="1"/>
  <c r="F82" i="1"/>
  <c r="D82" i="1"/>
  <c r="Z81" i="1"/>
  <c r="Y81" i="1"/>
  <c r="X81" i="1"/>
  <c r="I81" i="1"/>
  <c r="H81" i="1"/>
  <c r="F81" i="1"/>
  <c r="D81" i="1"/>
  <c r="Z80" i="1"/>
  <c r="Y80" i="1"/>
  <c r="X80" i="1"/>
  <c r="I80" i="1"/>
  <c r="H80" i="1"/>
  <c r="F80" i="1"/>
  <c r="D80" i="1"/>
  <c r="Z79" i="1"/>
  <c r="Y79" i="1"/>
  <c r="X79" i="1"/>
  <c r="F79" i="1"/>
  <c r="D79" i="1"/>
  <c r="Z78" i="1"/>
  <c r="Y78" i="1"/>
  <c r="X78" i="1"/>
  <c r="Z77" i="1"/>
  <c r="Y77" i="1"/>
  <c r="X77" i="1"/>
  <c r="Z76" i="1"/>
  <c r="Y76" i="1"/>
  <c r="X76" i="1"/>
  <c r="Z75" i="1"/>
  <c r="Y75" i="1"/>
  <c r="X75" i="1"/>
  <c r="AH72" i="1"/>
  <c r="AE72" i="1"/>
  <c r="AH71" i="1"/>
  <c r="AG71" i="1"/>
  <c r="AE71" i="1"/>
  <c r="AD71" i="1"/>
  <c r="AC71" i="1"/>
  <c r="AB71" i="1"/>
  <c r="AA71" i="1"/>
  <c r="Z71" i="1"/>
  <c r="X71" i="1"/>
  <c r="W71" i="1"/>
  <c r="V71" i="1"/>
  <c r="E71" i="1"/>
  <c r="AH70" i="1"/>
  <c r="AG70" i="1"/>
  <c r="AE70" i="1"/>
  <c r="AD70" i="1"/>
  <c r="AC70" i="1"/>
  <c r="AB70" i="1"/>
  <c r="AA70" i="1"/>
  <c r="Z70" i="1"/>
  <c r="X70" i="1"/>
  <c r="W70" i="1"/>
  <c r="V70" i="1"/>
  <c r="H70" i="1"/>
  <c r="AG69" i="1"/>
  <c r="AD69" i="1"/>
  <c r="AC69" i="1"/>
  <c r="AB69" i="1"/>
  <c r="AA69" i="1"/>
  <c r="Z69" i="1"/>
  <c r="X69" i="1"/>
  <c r="W69" i="1"/>
  <c r="V69" i="1"/>
  <c r="F69" i="1"/>
  <c r="AG68" i="1"/>
  <c r="AD68" i="1"/>
  <c r="AC68" i="1"/>
  <c r="AB68" i="1"/>
  <c r="AA68" i="1"/>
  <c r="Z68" i="1"/>
  <c r="X68" i="1"/>
  <c r="W68" i="1"/>
  <c r="V68" i="1"/>
  <c r="I68" i="1"/>
  <c r="F68" i="1"/>
  <c r="AG67" i="1"/>
  <c r="AD67" i="1"/>
  <c r="AC67" i="1"/>
  <c r="AB67" i="1"/>
  <c r="AA67" i="1"/>
  <c r="Z67" i="1"/>
  <c r="X67" i="1"/>
  <c r="W67" i="1"/>
  <c r="V67" i="1"/>
  <c r="I67" i="1"/>
  <c r="H67" i="1"/>
  <c r="AG66" i="1"/>
  <c r="AD66" i="1"/>
  <c r="AC66" i="1"/>
  <c r="AB66" i="1"/>
  <c r="AA66" i="1"/>
  <c r="Z66" i="1"/>
  <c r="X66" i="1"/>
  <c r="W66" i="1"/>
  <c r="V66" i="1"/>
  <c r="I66" i="1"/>
  <c r="H66" i="1"/>
  <c r="G66" i="1"/>
  <c r="AG65" i="1"/>
  <c r="AD65" i="1"/>
  <c r="AC65" i="1"/>
  <c r="AB65" i="1"/>
  <c r="AA65" i="1"/>
  <c r="Z65" i="1"/>
  <c r="X65" i="1"/>
  <c r="W65" i="1"/>
  <c r="V65" i="1"/>
  <c r="H65" i="1"/>
  <c r="G65" i="1"/>
  <c r="E65" i="1"/>
  <c r="AG64" i="1"/>
  <c r="AD64" i="1"/>
  <c r="AC64" i="1"/>
  <c r="AB64" i="1"/>
  <c r="AA64" i="1"/>
  <c r="Z64" i="1"/>
  <c r="X64" i="1"/>
  <c r="W64" i="1"/>
  <c r="V64" i="1"/>
  <c r="I64" i="1"/>
  <c r="H64" i="1"/>
  <c r="F64" i="1"/>
  <c r="AG63" i="1"/>
  <c r="AD63" i="1"/>
  <c r="AC63" i="1"/>
  <c r="AB63" i="1"/>
  <c r="AA63" i="1"/>
  <c r="Z63" i="1"/>
  <c r="X63" i="1"/>
  <c r="W63" i="1"/>
  <c r="V63" i="1"/>
  <c r="I63" i="1"/>
  <c r="H63" i="1"/>
  <c r="E63" i="1"/>
  <c r="AG62" i="1"/>
  <c r="AD62" i="1"/>
  <c r="AC62" i="1"/>
  <c r="AB62" i="1"/>
  <c r="AA62" i="1"/>
  <c r="Z62" i="1"/>
  <c r="X62" i="1"/>
  <c r="W62" i="1"/>
  <c r="V62" i="1"/>
  <c r="I62" i="1"/>
  <c r="H62" i="1"/>
  <c r="G62" i="1"/>
  <c r="E62" i="1"/>
  <c r="AG61" i="1"/>
  <c r="AD61" i="1"/>
  <c r="AC61" i="1"/>
  <c r="AB61" i="1"/>
  <c r="AA61" i="1"/>
  <c r="Z61" i="1"/>
  <c r="X61" i="1"/>
  <c r="W61" i="1"/>
  <c r="V61" i="1"/>
  <c r="H61" i="1"/>
  <c r="F61" i="1"/>
  <c r="AG60" i="1"/>
  <c r="AD60" i="1"/>
  <c r="AC60" i="1"/>
  <c r="AB60" i="1"/>
  <c r="AA60" i="1"/>
  <c r="Z60" i="1"/>
  <c r="X60" i="1"/>
  <c r="W60" i="1"/>
  <c r="V60" i="1"/>
  <c r="I60" i="1"/>
  <c r="H60" i="1"/>
  <c r="F60" i="1"/>
  <c r="E60" i="1"/>
  <c r="I58" i="1"/>
  <c r="G58" i="1"/>
  <c r="F58" i="1"/>
  <c r="E58" i="1"/>
  <c r="B57" i="1"/>
  <c r="W55" i="1"/>
  <c r="B53" i="1"/>
  <c r="B52" i="1"/>
  <c r="H44" i="1"/>
  <c r="T44" i="1" s="1"/>
  <c r="E44" i="1"/>
  <c r="Q44" i="1" s="1"/>
  <c r="H43" i="1"/>
  <c r="T43" i="1" s="1"/>
  <c r="E43" i="1"/>
  <c r="Q43" i="1" s="1"/>
  <c r="H42" i="1"/>
  <c r="T42" i="1" s="1"/>
  <c r="E42" i="1"/>
  <c r="Q42" i="1" s="1"/>
  <c r="H41" i="1"/>
  <c r="T41" i="1" s="1"/>
  <c r="E41" i="1"/>
  <c r="Q41" i="1" s="1"/>
  <c r="H40" i="1"/>
  <c r="T40" i="1" s="1"/>
  <c r="E40" i="1"/>
  <c r="Q40" i="1" s="1"/>
  <c r="H39" i="1"/>
  <c r="T39" i="1" s="1"/>
  <c r="E39" i="1"/>
  <c r="Q39" i="1" s="1"/>
  <c r="H38" i="1"/>
  <c r="T38" i="1" s="1"/>
  <c r="E38" i="1"/>
  <c r="H37" i="1"/>
  <c r="T37" i="1" s="1"/>
  <c r="E37" i="1"/>
  <c r="Q37" i="1" s="1"/>
  <c r="H36" i="1"/>
  <c r="T36" i="1" s="1"/>
  <c r="E36" i="1"/>
  <c r="Q36" i="1" s="1"/>
  <c r="H35" i="1"/>
  <c r="T35" i="1" s="1"/>
  <c r="E35" i="1"/>
  <c r="Q35" i="1" s="1"/>
  <c r="T34" i="1"/>
  <c r="H34" i="1"/>
  <c r="E34" i="1"/>
  <c r="Q34" i="1" s="1"/>
  <c r="H33" i="1"/>
  <c r="T33" i="1" s="1"/>
  <c r="E33" i="1"/>
  <c r="I31" i="1"/>
  <c r="H31" i="1"/>
  <c r="G31" i="1"/>
  <c r="F31" i="1"/>
  <c r="E31" i="1"/>
  <c r="T30" i="1"/>
  <c r="Q30" i="1"/>
  <c r="H30" i="1"/>
  <c r="E30" i="1"/>
  <c r="I26" i="1"/>
  <c r="U26" i="1" s="1"/>
  <c r="H26" i="1"/>
  <c r="T26" i="1" s="1"/>
  <c r="G26" i="1"/>
  <c r="S26" i="1" s="1"/>
  <c r="F26" i="1"/>
  <c r="R26" i="1" s="1"/>
  <c r="E26" i="1"/>
  <c r="Q26" i="1" s="1"/>
  <c r="U25" i="1"/>
  <c r="I25" i="1"/>
  <c r="H25" i="1"/>
  <c r="T25" i="1" s="1"/>
  <c r="G25" i="1"/>
  <c r="S25" i="1" s="1"/>
  <c r="F25" i="1"/>
  <c r="R25" i="1" s="1"/>
  <c r="E25" i="1"/>
  <c r="Q25" i="1" s="1"/>
  <c r="I24" i="1"/>
  <c r="U24" i="1" s="1"/>
  <c r="H24" i="1"/>
  <c r="T24" i="1" s="1"/>
  <c r="G24" i="1"/>
  <c r="S24" i="1" s="1"/>
  <c r="F24" i="1"/>
  <c r="R24" i="1" s="1"/>
  <c r="E24" i="1"/>
  <c r="Q24" i="1" s="1"/>
  <c r="I23" i="1"/>
  <c r="U23" i="1" s="1"/>
  <c r="H23" i="1"/>
  <c r="T23" i="1" s="1"/>
  <c r="G23" i="1"/>
  <c r="S23" i="1" s="1"/>
  <c r="F23" i="1"/>
  <c r="R23" i="1" s="1"/>
  <c r="E23" i="1"/>
  <c r="Q23" i="1" s="1"/>
  <c r="I22" i="1"/>
  <c r="U22" i="1" s="1"/>
  <c r="H22" i="1"/>
  <c r="T22" i="1" s="1"/>
  <c r="G22" i="1"/>
  <c r="S22" i="1" s="1"/>
  <c r="F22" i="1"/>
  <c r="R22" i="1" s="1"/>
  <c r="E22" i="1"/>
  <c r="Q22" i="1" s="1"/>
  <c r="I21" i="1"/>
  <c r="U21" i="1" s="1"/>
  <c r="H21" i="1"/>
  <c r="T21" i="1" s="1"/>
  <c r="G21" i="1"/>
  <c r="S21" i="1" s="1"/>
  <c r="F21" i="1"/>
  <c r="R21" i="1" s="1"/>
  <c r="E21" i="1"/>
  <c r="Q21" i="1" s="1"/>
  <c r="I20" i="1"/>
  <c r="U20" i="1" s="1"/>
  <c r="H20" i="1"/>
  <c r="G20" i="1"/>
  <c r="S20" i="1" s="1"/>
  <c r="F20" i="1"/>
  <c r="E20" i="1"/>
  <c r="Q20" i="1" s="1"/>
  <c r="I19" i="1"/>
  <c r="U19" i="1" s="1"/>
  <c r="H19" i="1"/>
  <c r="T19" i="1" s="1"/>
  <c r="G19" i="1"/>
  <c r="S19" i="1" s="1"/>
  <c r="F19" i="1"/>
  <c r="R19" i="1" s="1"/>
  <c r="E19" i="1"/>
  <c r="Q19" i="1" s="1"/>
  <c r="I18" i="1"/>
  <c r="U18" i="1" s="1"/>
  <c r="H18" i="1"/>
  <c r="T18" i="1" s="1"/>
  <c r="G18" i="1"/>
  <c r="S18" i="1" s="1"/>
  <c r="F18" i="1"/>
  <c r="R18" i="1" s="1"/>
  <c r="E18" i="1"/>
  <c r="Q18" i="1" s="1"/>
  <c r="I17" i="1"/>
  <c r="U17" i="1" s="1"/>
  <c r="H17" i="1"/>
  <c r="T17" i="1" s="1"/>
  <c r="G17" i="1"/>
  <c r="S17" i="1" s="1"/>
  <c r="F17" i="1"/>
  <c r="R17" i="1" s="1"/>
  <c r="E17" i="1"/>
  <c r="Q17" i="1" s="1"/>
  <c r="I16" i="1"/>
  <c r="U16" i="1" s="1"/>
  <c r="H16" i="1"/>
  <c r="T16" i="1" s="1"/>
  <c r="G16" i="1"/>
  <c r="S16" i="1" s="1"/>
  <c r="F16" i="1"/>
  <c r="R16" i="1" s="1"/>
  <c r="E16" i="1"/>
  <c r="Q16" i="1" s="1"/>
  <c r="I15" i="1"/>
  <c r="H15" i="1"/>
  <c r="T15" i="1" s="1"/>
  <c r="G15" i="1"/>
  <c r="F15" i="1"/>
  <c r="R15" i="1" s="1"/>
  <c r="E15" i="1"/>
  <c r="U13" i="1"/>
  <c r="U58" i="1" s="1"/>
  <c r="T13" i="1"/>
  <c r="T79" i="1" s="1"/>
  <c r="S13" i="1"/>
  <c r="S31" i="1" s="1"/>
  <c r="R13" i="1"/>
  <c r="R58" i="1" s="1"/>
  <c r="Q13" i="1"/>
  <c r="Q69" i="1" s="1"/>
  <c r="E10" i="1"/>
  <c r="B3" i="1"/>
  <c r="H69" i="2" l="1"/>
  <c r="T60" i="3"/>
  <c r="I65" i="1"/>
  <c r="I70" i="1"/>
  <c r="I61" i="1"/>
  <c r="I69" i="1"/>
  <c r="I117" i="1" s="1"/>
  <c r="I135" i="1" s="1"/>
  <c r="I71" i="1"/>
  <c r="G69" i="2"/>
  <c r="E69" i="2"/>
  <c r="E64" i="1"/>
  <c r="R167" i="3"/>
  <c r="E68" i="1"/>
  <c r="J68" i="1" s="1"/>
  <c r="E64" i="2"/>
  <c r="R161" i="3"/>
  <c r="F67" i="1"/>
  <c r="F114" i="2"/>
  <c r="F132" i="2" s="1"/>
  <c r="F65" i="1"/>
  <c r="F62" i="2"/>
  <c r="F116" i="2" s="1"/>
  <c r="F134" i="2" s="1"/>
  <c r="F154" i="2" s="1"/>
  <c r="F66" i="1"/>
  <c r="F71" i="1"/>
  <c r="AB72" i="2"/>
  <c r="R60" i="3"/>
  <c r="F70" i="1"/>
  <c r="F60" i="2"/>
  <c r="F63" i="1"/>
  <c r="R60" i="1" s="1"/>
  <c r="G67" i="1"/>
  <c r="G313" i="1" s="1"/>
  <c r="G61" i="2"/>
  <c r="J61" i="2" s="1"/>
  <c r="G68" i="2"/>
  <c r="S64" i="2" s="1"/>
  <c r="G70" i="2"/>
  <c r="G63" i="2"/>
  <c r="Y64" i="2"/>
  <c r="Q64" i="3"/>
  <c r="M69" i="1"/>
  <c r="M62" i="3"/>
  <c r="M66" i="3"/>
  <c r="Q60" i="3"/>
  <c r="E70" i="1"/>
  <c r="R168" i="1" s="1"/>
  <c r="E66" i="2"/>
  <c r="J62" i="3"/>
  <c r="J66" i="3"/>
  <c r="M69" i="3"/>
  <c r="E61" i="1"/>
  <c r="M61" i="3"/>
  <c r="AB84" i="3"/>
  <c r="AC84" i="3" s="1"/>
  <c r="R166" i="3"/>
  <c r="Q170" i="2"/>
  <c r="W170" i="2" s="1"/>
  <c r="E65" i="2"/>
  <c r="E114" i="2" s="1"/>
  <c r="M67" i="2"/>
  <c r="E71" i="2"/>
  <c r="M71" i="2" s="1"/>
  <c r="M60" i="3"/>
  <c r="R162" i="3"/>
  <c r="R163" i="3" s="1"/>
  <c r="E114" i="3"/>
  <c r="E132" i="3" s="1"/>
  <c r="F118" i="3"/>
  <c r="F136" i="3" s="1"/>
  <c r="E118" i="3"/>
  <c r="E136" i="3" s="1"/>
  <c r="I118" i="3"/>
  <c r="I136" i="3" s="1"/>
  <c r="S31" i="2"/>
  <c r="W81" i="2"/>
  <c r="W82" i="2"/>
  <c r="Q165" i="2"/>
  <c r="W165" i="2" s="1"/>
  <c r="W83" i="2"/>
  <c r="V83" i="2" s="1"/>
  <c r="AB83" i="2" s="1"/>
  <c r="AC83" i="2" s="1"/>
  <c r="W85" i="2"/>
  <c r="Q148" i="2"/>
  <c r="M64" i="2"/>
  <c r="W76" i="2"/>
  <c r="V76" i="2" s="1"/>
  <c r="AB76" i="2" s="1"/>
  <c r="AC76" i="2" s="1"/>
  <c r="W80" i="2"/>
  <c r="T148" i="2"/>
  <c r="T31" i="2"/>
  <c r="X72" i="2"/>
  <c r="U64" i="2"/>
  <c r="J69" i="2"/>
  <c r="J70" i="2"/>
  <c r="W75" i="2"/>
  <c r="V75" i="2" s="1"/>
  <c r="AB75" i="2" s="1"/>
  <c r="AC75" i="2" s="1"/>
  <c r="W84" i="2"/>
  <c r="W86" i="2"/>
  <c r="V86" i="2" s="1"/>
  <c r="AB86" i="2" s="1"/>
  <c r="AC86" i="2" s="1"/>
  <c r="E98" i="2"/>
  <c r="F98" i="2" s="1"/>
  <c r="F112" i="2"/>
  <c r="F130" i="2" s="1"/>
  <c r="R15" i="2"/>
  <c r="Z72" i="2"/>
  <c r="V78" i="2"/>
  <c r="AB78" i="2" s="1"/>
  <c r="AC78" i="2" s="1"/>
  <c r="Y70" i="2"/>
  <c r="W78" i="2"/>
  <c r="AC148" i="2"/>
  <c r="F313" i="2"/>
  <c r="I113" i="2"/>
  <c r="I131" i="2" s="1"/>
  <c r="U20" i="2"/>
  <c r="AA72" i="2"/>
  <c r="AD77" i="2"/>
  <c r="V84" i="2"/>
  <c r="AB84" i="2" s="1"/>
  <c r="AC84" i="2" s="1"/>
  <c r="W77" i="2"/>
  <c r="V77" i="2" s="1"/>
  <c r="AB77" i="2" s="1"/>
  <c r="AC77" i="2" s="1"/>
  <c r="W79" i="2"/>
  <c r="I313" i="2"/>
  <c r="T160" i="2"/>
  <c r="Y66" i="1"/>
  <c r="M70" i="1"/>
  <c r="M61" i="1"/>
  <c r="AD77" i="1"/>
  <c r="M66" i="1"/>
  <c r="U64" i="1"/>
  <c r="X72" i="1"/>
  <c r="Y68" i="1"/>
  <c r="W83" i="1"/>
  <c r="V83" i="1" s="1"/>
  <c r="T148" i="1"/>
  <c r="W76" i="1"/>
  <c r="W82" i="1"/>
  <c r="V82" i="1" s="1"/>
  <c r="Y64" i="1"/>
  <c r="W75" i="1"/>
  <c r="V75" i="1" s="1"/>
  <c r="Q160" i="1"/>
  <c r="M60" i="1"/>
  <c r="W85" i="1"/>
  <c r="V85" i="1" s="1"/>
  <c r="AC160" i="1"/>
  <c r="G114" i="1"/>
  <c r="Y62" i="1"/>
  <c r="Y70" i="1"/>
  <c r="W79" i="1"/>
  <c r="W86" i="1"/>
  <c r="V86" i="1" s="1"/>
  <c r="Q15" i="1"/>
  <c r="Z72" i="1"/>
  <c r="AD72" i="1"/>
  <c r="M62" i="1"/>
  <c r="Q75" i="1"/>
  <c r="Y65" i="1"/>
  <c r="I313" i="1"/>
  <c r="Z148" i="1"/>
  <c r="T64" i="1"/>
  <c r="G112" i="1"/>
  <c r="G130" i="1" s="1"/>
  <c r="I114" i="1"/>
  <c r="AA72" i="1"/>
  <c r="AG72" i="1"/>
  <c r="Y61" i="1"/>
  <c r="M65" i="1"/>
  <c r="M67" i="1"/>
  <c r="W78" i="1"/>
  <c r="W84" i="1"/>
  <c r="V84" i="1" s="1"/>
  <c r="F313" i="1"/>
  <c r="AA94" i="1"/>
  <c r="AC148" i="1"/>
  <c r="U15" i="1"/>
  <c r="I116" i="1" s="1"/>
  <c r="I134" i="1" s="1"/>
  <c r="I154" i="1" s="1"/>
  <c r="F113" i="1"/>
  <c r="R20" i="1"/>
  <c r="F114" i="1" s="1"/>
  <c r="T60" i="1"/>
  <c r="Q170" i="1"/>
  <c r="W170" i="1" s="1"/>
  <c r="AB72" i="1"/>
  <c r="W77" i="1"/>
  <c r="W80" i="1"/>
  <c r="V80" i="1" s="1"/>
  <c r="W81" i="1"/>
  <c r="V81" i="1" s="1"/>
  <c r="Q148" i="1"/>
  <c r="J166" i="1"/>
  <c r="H177" i="1" s="1"/>
  <c r="D41" i="7"/>
  <c r="I98" i="1"/>
  <c r="AD72" i="2"/>
  <c r="H313" i="1"/>
  <c r="H68" i="2"/>
  <c r="T64" i="2" s="1"/>
  <c r="H71" i="2"/>
  <c r="H118" i="2" s="1"/>
  <c r="H114" i="3"/>
  <c r="J68" i="3"/>
  <c r="H117" i="1"/>
  <c r="H135" i="1" s="1"/>
  <c r="T65" i="1"/>
  <c r="J70" i="1"/>
  <c r="AG72" i="2"/>
  <c r="H313" i="2"/>
  <c r="H118" i="1"/>
  <c r="H136" i="1" s="1"/>
  <c r="T61" i="1"/>
  <c r="T76" i="3"/>
  <c r="T150" i="3" s="1"/>
  <c r="AC72" i="1"/>
  <c r="G64" i="1"/>
  <c r="J64" i="1" s="1"/>
  <c r="J71" i="1"/>
  <c r="G71" i="2"/>
  <c r="J61" i="3"/>
  <c r="AC72" i="2"/>
  <c r="J63" i="2"/>
  <c r="J64" i="2"/>
  <c r="J63" i="3"/>
  <c r="J67" i="2"/>
  <c r="U184" i="3"/>
  <c r="U188" i="3" s="1"/>
  <c r="H98" i="1"/>
  <c r="G98" i="1"/>
  <c r="E112" i="4"/>
  <c r="E243" i="1"/>
  <c r="C40" i="5"/>
  <c r="E40" i="5" s="1"/>
  <c r="E118" i="1"/>
  <c r="E136" i="1" s="1"/>
  <c r="F131" i="1"/>
  <c r="E313" i="1"/>
  <c r="T31" i="1"/>
  <c r="Q33" i="1"/>
  <c r="Q38" i="1"/>
  <c r="S58" i="1"/>
  <c r="M64" i="1"/>
  <c r="Q67" i="1"/>
  <c r="Y67" i="1"/>
  <c r="T69" i="1"/>
  <c r="Y69" i="1"/>
  <c r="M71" i="1"/>
  <c r="F72" i="1"/>
  <c r="F314" i="1" s="1"/>
  <c r="T72" i="1"/>
  <c r="T75" i="1"/>
  <c r="V76" i="1"/>
  <c r="V79" i="1"/>
  <c r="I112" i="1"/>
  <c r="G113" i="1"/>
  <c r="G131" i="1" s="1"/>
  <c r="H116" i="1"/>
  <c r="H134" i="1" s="1"/>
  <c r="I132" i="1"/>
  <c r="Z160" i="1"/>
  <c r="R163" i="1"/>
  <c r="I114" i="2"/>
  <c r="I132" i="2" s="1"/>
  <c r="Q31" i="1"/>
  <c r="U31" i="1"/>
  <c r="T58" i="1"/>
  <c r="J65" i="1"/>
  <c r="V77" i="1"/>
  <c r="V78" i="1"/>
  <c r="AB78" i="1" s="1"/>
  <c r="AC78" i="1" s="1"/>
  <c r="H113" i="1"/>
  <c r="H131" i="1" s="1"/>
  <c r="E116" i="1"/>
  <c r="E134" i="1" s="1"/>
  <c r="T20" i="1"/>
  <c r="H114" i="1" s="1"/>
  <c r="H132" i="1" s="1"/>
  <c r="R31" i="1"/>
  <c r="Q58" i="1"/>
  <c r="Y60" i="1"/>
  <c r="J61" i="1"/>
  <c r="J62" i="1"/>
  <c r="M63" i="1"/>
  <c r="R64" i="1"/>
  <c r="J66" i="1"/>
  <c r="T71" i="1"/>
  <c r="Y71" i="1"/>
  <c r="H72" i="1"/>
  <c r="H314" i="1" s="1"/>
  <c r="W72" i="1"/>
  <c r="T76" i="1"/>
  <c r="Q79" i="1"/>
  <c r="I113" i="1"/>
  <c r="I131" i="1" s="1"/>
  <c r="T160" i="1"/>
  <c r="Q165" i="1"/>
  <c r="W165" i="1" s="1"/>
  <c r="R58" i="2"/>
  <c r="R31" i="2"/>
  <c r="Q15" i="2"/>
  <c r="Q72" i="2"/>
  <c r="U15" i="2"/>
  <c r="I118" i="2" s="1"/>
  <c r="I136" i="2" s="1"/>
  <c r="I117" i="2"/>
  <c r="I135" i="2" s="1"/>
  <c r="S20" i="2"/>
  <c r="S15" i="1"/>
  <c r="Q63" i="1"/>
  <c r="Y63" i="1"/>
  <c r="S64" i="1"/>
  <c r="C330" i="2"/>
  <c r="Q58" i="2"/>
  <c r="U58" i="2"/>
  <c r="U60" i="2"/>
  <c r="Y60" i="2"/>
  <c r="Y61" i="2"/>
  <c r="M63" i="2"/>
  <c r="R64" i="2"/>
  <c r="Y65" i="2"/>
  <c r="Y66" i="2"/>
  <c r="M69" i="2"/>
  <c r="T71" i="2"/>
  <c r="Y71" i="2"/>
  <c r="W72" i="2"/>
  <c r="Q79" i="2"/>
  <c r="V81" i="2"/>
  <c r="AB81" i="2" s="1"/>
  <c r="AC81" i="2" s="1"/>
  <c r="F113" i="2"/>
  <c r="F131" i="2" s="1"/>
  <c r="Z148" i="2"/>
  <c r="Q160" i="2"/>
  <c r="J166" i="2"/>
  <c r="H178" i="2" s="1"/>
  <c r="M61" i="2"/>
  <c r="Q63" i="2"/>
  <c r="Q69" i="2"/>
  <c r="I72" i="2"/>
  <c r="I314" i="2" s="1"/>
  <c r="T79" i="2"/>
  <c r="V80" i="2"/>
  <c r="AB80" i="2" s="1"/>
  <c r="AC80" i="2" s="1"/>
  <c r="V82" i="2"/>
  <c r="AB82" i="2" s="1"/>
  <c r="AC82" i="2" s="1"/>
  <c r="I112" i="2"/>
  <c r="Q67" i="2"/>
  <c r="T69" i="2"/>
  <c r="V79" i="2"/>
  <c r="AB79" i="2" s="1"/>
  <c r="AC79" i="2" s="1"/>
  <c r="V85" i="2"/>
  <c r="AB85" i="2" s="1"/>
  <c r="AC85" i="2" s="1"/>
  <c r="T33" i="2"/>
  <c r="T38" i="2"/>
  <c r="M60" i="2"/>
  <c r="T60" i="2"/>
  <c r="Y62" i="2"/>
  <c r="Q71" i="2"/>
  <c r="Q73" i="2" s="1"/>
  <c r="T169" i="2" s="1"/>
  <c r="AC160" i="2"/>
  <c r="Q69" i="3"/>
  <c r="Q79" i="3"/>
  <c r="H118" i="3"/>
  <c r="H136" i="3" s="1"/>
  <c r="G114" i="3"/>
  <c r="G132" i="3" s="1"/>
  <c r="Q31" i="3"/>
  <c r="U31" i="3"/>
  <c r="R58" i="3"/>
  <c r="E116" i="3"/>
  <c r="E134" i="3" s="1"/>
  <c r="AC169" i="3" s="1"/>
  <c r="E117" i="3"/>
  <c r="E135" i="3" s="1"/>
  <c r="Q72" i="3"/>
  <c r="T166" i="3" s="1"/>
  <c r="Q71" i="3"/>
  <c r="I116" i="3"/>
  <c r="I134" i="3" s="1"/>
  <c r="I153" i="3" s="1"/>
  <c r="I117" i="3"/>
  <c r="I135" i="3" s="1"/>
  <c r="I72" i="3"/>
  <c r="T176" i="3" s="1"/>
  <c r="Y72" i="3"/>
  <c r="E107" i="4"/>
  <c r="E113" i="4" s="1"/>
  <c r="Q76" i="3"/>
  <c r="T161" i="3" s="1"/>
  <c r="E112" i="3"/>
  <c r="M65" i="3"/>
  <c r="E113" i="3"/>
  <c r="E131" i="3" s="1"/>
  <c r="J65" i="3"/>
  <c r="AB77" i="3"/>
  <c r="AC77" i="3" s="1"/>
  <c r="F326" i="2"/>
  <c r="S58" i="3"/>
  <c r="F117" i="3"/>
  <c r="F135" i="3" s="1"/>
  <c r="F72" i="3"/>
  <c r="Q176" i="3" s="1"/>
  <c r="F116" i="3"/>
  <c r="F134" i="3" s="1"/>
  <c r="F153" i="3" s="1"/>
  <c r="F112" i="3"/>
  <c r="T95" i="3"/>
  <c r="R65" i="3" s="1"/>
  <c r="F113" i="3"/>
  <c r="F131" i="3" s="1"/>
  <c r="G113" i="3"/>
  <c r="G131" i="3" s="1"/>
  <c r="S64" i="3"/>
  <c r="G106" i="4"/>
  <c r="G112" i="3"/>
  <c r="T69" i="3"/>
  <c r="J70" i="3"/>
  <c r="M70" i="3"/>
  <c r="T71" i="3"/>
  <c r="E72" i="3"/>
  <c r="P176" i="3" s="1"/>
  <c r="AB76" i="3"/>
  <c r="AC76" i="3" s="1"/>
  <c r="R66" i="3"/>
  <c r="F325" i="2"/>
  <c r="I114" i="3"/>
  <c r="I132" i="3" s="1"/>
  <c r="T58" i="3"/>
  <c r="G60" i="3"/>
  <c r="G118" i="3" s="1"/>
  <c r="R64" i="3"/>
  <c r="H107" i="4"/>
  <c r="H113" i="4" s="1"/>
  <c r="H132" i="3"/>
  <c r="H113" i="3"/>
  <c r="H131" i="3" s="1"/>
  <c r="T75" i="3"/>
  <c r="T77" i="3" s="1"/>
  <c r="T151" i="3" s="1"/>
  <c r="H112" i="3"/>
  <c r="Q75" i="3"/>
  <c r="Q77" i="3" s="1"/>
  <c r="T162" i="3" s="1"/>
  <c r="AB85" i="3"/>
  <c r="AC85" i="3" s="1"/>
  <c r="V87" i="3"/>
  <c r="H175" i="3"/>
  <c r="F114" i="3"/>
  <c r="F132" i="3" s="1"/>
  <c r="T31" i="3"/>
  <c r="Q58" i="3"/>
  <c r="H116" i="3"/>
  <c r="H134" i="3" s="1"/>
  <c r="AC156" i="3" s="1"/>
  <c r="H72" i="3"/>
  <c r="S176" i="3" s="1"/>
  <c r="T72" i="3"/>
  <c r="T154" i="3" s="1"/>
  <c r="H117" i="3"/>
  <c r="H135" i="3" s="1"/>
  <c r="T61" i="3"/>
  <c r="Q154" i="3" s="1"/>
  <c r="J64" i="3"/>
  <c r="T64" i="3"/>
  <c r="I106" i="4"/>
  <c r="I112" i="3"/>
  <c r="I113" i="3"/>
  <c r="I131" i="3" s="1"/>
  <c r="T65" i="3"/>
  <c r="Q150" i="3" s="1"/>
  <c r="M67" i="3"/>
  <c r="J67" i="3"/>
  <c r="AB81" i="3"/>
  <c r="AC81" i="3" s="1"/>
  <c r="AB83" i="3"/>
  <c r="AC83" i="3" s="1"/>
  <c r="J69" i="3"/>
  <c r="E244" i="3"/>
  <c r="AB80" i="3"/>
  <c r="AC80" i="3" s="1"/>
  <c r="W87" i="3"/>
  <c r="J71" i="3"/>
  <c r="AB75" i="3"/>
  <c r="J164" i="3"/>
  <c r="G97" i="3"/>
  <c r="F97" i="3"/>
  <c r="C33" i="6"/>
  <c r="E238" i="3"/>
  <c r="C10" i="8"/>
  <c r="D44" i="6"/>
  <c r="D38" i="7"/>
  <c r="E38" i="7"/>
  <c r="C15" i="7" s="1"/>
  <c r="C16" i="7" s="1"/>
  <c r="C39" i="6"/>
  <c r="C42" i="7"/>
  <c r="C9" i="8"/>
  <c r="H178" i="1" l="1"/>
  <c r="H177" i="2"/>
  <c r="F201" i="2" s="1"/>
  <c r="T66" i="1"/>
  <c r="Q152" i="1" s="1"/>
  <c r="H117" i="2"/>
  <c r="H135" i="2" s="1"/>
  <c r="U61" i="1"/>
  <c r="I72" i="1"/>
  <c r="I314" i="1" s="1"/>
  <c r="U60" i="1"/>
  <c r="J69" i="1"/>
  <c r="T179" i="3"/>
  <c r="T180" i="3"/>
  <c r="I118" i="1"/>
  <c r="I136" i="1" s="1"/>
  <c r="G132" i="1"/>
  <c r="J67" i="1"/>
  <c r="Q64" i="1"/>
  <c r="M72" i="3"/>
  <c r="Q73" i="3"/>
  <c r="T167" i="3" s="1"/>
  <c r="E313" i="2"/>
  <c r="Q76" i="1"/>
  <c r="J65" i="2"/>
  <c r="E114" i="1"/>
  <c r="E132" i="1" s="1"/>
  <c r="Q75" i="2"/>
  <c r="R76" i="2" s="1"/>
  <c r="M68" i="1"/>
  <c r="Q62" i="2"/>
  <c r="M65" i="2"/>
  <c r="M72" i="2" s="1"/>
  <c r="E113" i="1"/>
  <c r="E131" i="1" s="1"/>
  <c r="E112" i="1"/>
  <c r="R168" i="3"/>
  <c r="Q61" i="3"/>
  <c r="Q82" i="3" s="1"/>
  <c r="Q83" i="3" s="1"/>
  <c r="F117" i="2"/>
  <c r="F135" i="2" s="1"/>
  <c r="F116" i="1"/>
  <c r="F134" i="1" s="1"/>
  <c r="F154" i="1" s="1"/>
  <c r="F120" i="2"/>
  <c r="J62" i="2"/>
  <c r="F118" i="1"/>
  <c r="F136" i="1" s="1"/>
  <c r="F72" i="2"/>
  <c r="F314" i="2" s="1"/>
  <c r="F118" i="2"/>
  <c r="F136" i="2" s="1"/>
  <c r="R60" i="2"/>
  <c r="J66" i="2"/>
  <c r="Q76" i="2"/>
  <c r="E112" i="2"/>
  <c r="E130" i="2" s="1"/>
  <c r="M66" i="2"/>
  <c r="Q163" i="2" s="1"/>
  <c r="E132" i="2"/>
  <c r="F117" i="1"/>
  <c r="F135" i="1" s="1"/>
  <c r="J63" i="1"/>
  <c r="E113" i="2"/>
  <c r="E131" i="2" s="1"/>
  <c r="Q180" i="3"/>
  <c r="Q179" i="3"/>
  <c r="R164" i="2"/>
  <c r="Q64" i="2"/>
  <c r="R163" i="2"/>
  <c r="J60" i="3"/>
  <c r="G113" i="2"/>
  <c r="G131" i="2" s="1"/>
  <c r="G313" i="2"/>
  <c r="G114" i="2"/>
  <c r="G132" i="2" s="1"/>
  <c r="Q162" i="3"/>
  <c r="W162" i="3" s="1"/>
  <c r="Q161" i="3"/>
  <c r="W167" i="3"/>
  <c r="Q164" i="2"/>
  <c r="R168" i="2"/>
  <c r="E117" i="2"/>
  <c r="E135" i="2" s="1"/>
  <c r="E117" i="1"/>
  <c r="E135" i="1" s="1"/>
  <c r="R169" i="2"/>
  <c r="P180" i="3"/>
  <c r="P179" i="3"/>
  <c r="Q60" i="2"/>
  <c r="E118" i="2"/>
  <c r="E136" i="2" s="1"/>
  <c r="Q60" i="1"/>
  <c r="Q71" i="1"/>
  <c r="Q62" i="3"/>
  <c r="W161" i="3"/>
  <c r="E72" i="2"/>
  <c r="E314" i="2" s="1"/>
  <c r="E72" i="1"/>
  <c r="Q72" i="1"/>
  <c r="T168" i="1" s="1"/>
  <c r="Q166" i="3"/>
  <c r="Q167" i="3"/>
  <c r="Q169" i="2"/>
  <c r="H112" i="2"/>
  <c r="H130" i="2" s="1"/>
  <c r="T76" i="2"/>
  <c r="T151" i="2" s="1"/>
  <c r="G98" i="2"/>
  <c r="J71" i="2"/>
  <c r="Q66" i="2"/>
  <c r="J68" i="2"/>
  <c r="Q168" i="2"/>
  <c r="I98" i="2"/>
  <c r="H114" i="2"/>
  <c r="H132" i="2" s="1"/>
  <c r="J132" i="2" s="1"/>
  <c r="H98" i="2"/>
  <c r="H97" i="2" s="1"/>
  <c r="Q65" i="1"/>
  <c r="AB83" i="1"/>
  <c r="AC83" i="1" s="1"/>
  <c r="AB77" i="1"/>
  <c r="AC77" i="1" s="1"/>
  <c r="AB81" i="1"/>
  <c r="AC81" i="1" s="1"/>
  <c r="AB86" i="1"/>
  <c r="AC86" i="1" s="1"/>
  <c r="AB82" i="1"/>
  <c r="AC82" i="1" s="1"/>
  <c r="AB85" i="1"/>
  <c r="AC85" i="1" s="1"/>
  <c r="F112" i="1"/>
  <c r="F120" i="1" s="1"/>
  <c r="AB75" i="1"/>
  <c r="AC75" i="1" s="1"/>
  <c r="AB79" i="1"/>
  <c r="AC79" i="1" s="1"/>
  <c r="AB80" i="1"/>
  <c r="AC80" i="1" s="1"/>
  <c r="F132" i="1"/>
  <c r="AB84" i="1"/>
  <c r="AC84" i="1" s="1"/>
  <c r="AB76" i="1"/>
  <c r="AC76" i="1" s="1"/>
  <c r="Q168" i="1"/>
  <c r="T62" i="1"/>
  <c r="Q156" i="1" s="1"/>
  <c r="Q155" i="1"/>
  <c r="H204" i="1" s="1"/>
  <c r="Q163" i="1"/>
  <c r="T73" i="1"/>
  <c r="T156" i="1" s="1"/>
  <c r="U65" i="1"/>
  <c r="J313" i="1"/>
  <c r="F318" i="1" s="1"/>
  <c r="G318" i="1" s="1"/>
  <c r="C15" i="5"/>
  <c r="C16" i="5" s="1"/>
  <c r="E108" i="4"/>
  <c r="E116" i="4" s="1"/>
  <c r="H113" i="2"/>
  <c r="H131" i="2" s="1"/>
  <c r="S179" i="3"/>
  <c r="S180" i="3"/>
  <c r="T75" i="2"/>
  <c r="H72" i="2"/>
  <c r="H314" i="2" s="1"/>
  <c r="Q151" i="1"/>
  <c r="H202" i="1" s="1"/>
  <c r="W150" i="3"/>
  <c r="H150" i="3" s="1"/>
  <c r="Z150" i="3" s="1"/>
  <c r="T61" i="2"/>
  <c r="Q155" i="2" s="1"/>
  <c r="H136" i="2"/>
  <c r="W154" i="3"/>
  <c r="H154" i="3" s="1"/>
  <c r="Z154" i="3" s="1"/>
  <c r="T72" i="2"/>
  <c r="U72" i="2" s="1"/>
  <c r="H116" i="2"/>
  <c r="H134" i="2" s="1"/>
  <c r="H154" i="2" s="1"/>
  <c r="T65" i="2"/>
  <c r="D40" i="5"/>
  <c r="D10" i="8" s="1"/>
  <c r="D11" i="8" s="1"/>
  <c r="D13" i="8" s="1"/>
  <c r="D15" i="8" s="1"/>
  <c r="E249" i="2"/>
  <c r="E249" i="1"/>
  <c r="J131" i="3"/>
  <c r="J131" i="1"/>
  <c r="E245" i="3"/>
  <c r="E250" i="2"/>
  <c r="E250" i="1"/>
  <c r="I203" i="2"/>
  <c r="H204" i="2"/>
  <c r="E204" i="2"/>
  <c r="F203" i="2"/>
  <c r="F223" i="2" s="1"/>
  <c r="I198" i="3"/>
  <c r="I218" i="3" s="1"/>
  <c r="E199" i="3"/>
  <c r="F198" i="3"/>
  <c r="F218" i="3" s="1"/>
  <c r="E198" i="3"/>
  <c r="E114" i="4"/>
  <c r="U65" i="3"/>
  <c r="H245" i="3"/>
  <c r="H250" i="2"/>
  <c r="H250" i="1"/>
  <c r="C11" i="8"/>
  <c r="AC75" i="3"/>
  <c r="AC87" i="3" s="1"/>
  <c r="AB87" i="3"/>
  <c r="I116" i="4"/>
  <c r="I238" i="3"/>
  <c r="I248" i="3" s="1"/>
  <c r="I243" i="2"/>
  <c r="I253" i="2" s="1"/>
  <c r="I243" i="1"/>
  <c r="I253" i="1" s="1"/>
  <c r="H199" i="3"/>
  <c r="U61" i="3"/>
  <c r="H153" i="3"/>
  <c r="G136" i="3"/>
  <c r="J136" i="3" s="1"/>
  <c r="G72" i="3"/>
  <c r="G116" i="3"/>
  <c r="G134" i="3" s="1"/>
  <c r="G153" i="3" s="1"/>
  <c r="G117" i="3"/>
  <c r="G135" i="3" s="1"/>
  <c r="J135" i="3" s="1"/>
  <c r="S60" i="3"/>
  <c r="G60" i="2"/>
  <c r="G60" i="1"/>
  <c r="F110" i="4"/>
  <c r="R66" i="2"/>
  <c r="R66" i="1"/>
  <c r="G116" i="4"/>
  <c r="G238" i="3"/>
  <c r="G248" i="3" s="1"/>
  <c r="G243" i="2"/>
  <c r="G253" i="2" s="1"/>
  <c r="G243" i="1"/>
  <c r="G253" i="1" s="1"/>
  <c r="F109" i="4"/>
  <c r="E181" i="3"/>
  <c r="E182" i="3" s="1"/>
  <c r="R65" i="2"/>
  <c r="E185" i="2" s="1"/>
  <c r="E186" i="2" s="1"/>
  <c r="R65" i="1"/>
  <c r="E184" i="1" s="1"/>
  <c r="E185" i="1" s="1"/>
  <c r="Q65" i="3"/>
  <c r="Q86" i="3" s="1"/>
  <c r="Q87" i="3" s="1"/>
  <c r="I112" i="4"/>
  <c r="T62" i="3"/>
  <c r="Q155" i="3" s="1"/>
  <c r="T163" i="2"/>
  <c r="Q66" i="3"/>
  <c r="I97" i="2"/>
  <c r="E97" i="2"/>
  <c r="G97" i="2"/>
  <c r="F97" i="2"/>
  <c r="Q86" i="1"/>
  <c r="T163" i="1"/>
  <c r="R76" i="1"/>
  <c r="G97" i="1"/>
  <c r="F97" i="1"/>
  <c r="I97" i="1"/>
  <c r="H97" i="1"/>
  <c r="E97" i="1"/>
  <c r="G150" i="1"/>
  <c r="Q77" i="1"/>
  <c r="T164" i="1" s="1"/>
  <c r="T82" i="3"/>
  <c r="T83" i="3" s="1"/>
  <c r="U72" i="3"/>
  <c r="C11" i="5"/>
  <c r="H174" i="3"/>
  <c r="T66" i="3"/>
  <c r="Q151" i="3" s="1"/>
  <c r="W151" i="3" s="1"/>
  <c r="H151" i="3" s="1"/>
  <c r="Z151" i="3" s="1"/>
  <c r="F130" i="3"/>
  <c r="F120" i="3"/>
  <c r="J132" i="3"/>
  <c r="E239" i="3"/>
  <c r="E244" i="2"/>
  <c r="E244" i="1"/>
  <c r="R72" i="3"/>
  <c r="I130" i="2"/>
  <c r="E314" i="1"/>
  <c r="I116" i="2"/>
  <c r="I134" i="2" s="1"/>
  <c r="I154" i="2" s="1"/>
  <c r="I223" i="2" s="1"/>
  <c r="E116" i="2"/>
  <c r="E134" i="2" s="1"/>
  <c r="F150" i="2"/>
  <c r="F138" i="2"/>
  <c r="AC171" i="1"/>
  <c r="E154" i="1"/>
  <c r="I130" i="1"/>
  <c r="I120" i="1"/>
  <c r="T77" i="1"/>
  <c r="T152" i="1" s="1"/>
  <c r="W152" i="1" s="1"/>
  <c r="H152" i="1" s="1"/>
  <c r="Q164" i="1"/>
  <c r="R164" i="1"/>
  <c r="Q66" i="1"/>
  <c r="E204" i="1"/>
  <c r="E203" i="1"/>
  <c r="I203" i="1"/>
  <c r="I223" i="1" s="1"/>
  <c r="F203" i="1"/>
  <c r="F223" i="1" s="1"/>
  <c r="C14" i="6"/>
  <c r="E39" i="6"/>
  <c r="C40" i="6" s="1"/>
  <c r="H120" i="3"/>
  <c r="H130" i="3"/>
  <c r="AC152" i="3" s="1"/>
  <c r="U76" i="3"/>
  <c r="G118" i="1"/>
  <c r="U76" i="1"/>
  <c r="T151" i="1"/>
  <c r="T86" i="1"/>
  <c r="T87" i="1" s="1"/>
  <c r="Y72" i="1"/>
  <c r="E130" i="1"/>
  <c r="E120" i="1"/>
  <c r="T82" i="1"/>
  <c r="T83" i="1" s="1"/>
  <c r="U72" i="1"/>
  <c r="T155" i="1"/>
  <c r="W155" i="1" s="1"/>
  <c r="H155" i="1" s="1"/>
  <c r="Q61" i="1"/>
  <c r="R169" i="1"/>
  <c r="Q169" i="1"/>
  <c r="Q62" i="1"/>
  <c r="G201" i="1"/>
  <c r="F201" i="1"/>
  <c r="H179" i="1"/>
  <c r="E202" i="1"/>
  <c r="E201" i="1"/>
  <c r="I201" i="1"/>
  <c r="M72" i="1"/>
  <c r="H112" i="1"/>
  <c r="E130" i="3"/>
  <c r="AC164" i="3" s="1"/>
  <c r="AC171" i="3" s="1"/>
  <c r="E120" i="3"/>
  <c r="I130" i="3"/>
  <c r="I120" i="3"/>
  <c r="H239" i="3"/>
  <c r="H108" i="4"/>
  <c r="H114" i="4" s="1"/>
  <c r="H244" i="2"/>
  <c r="H244" i="1"/>
  <c r="T73" i="3"/>
  <c r="G130" i="3"/>
  <c r="R76" i="3"/>
  <c r="E153" i="3"/>
  <c r="Z168" i="3" s="1"/>
  <c r="E201" i="2"/>
  <c r="H179" i="2"/>
  <c r="I201" i="2"/>
  <c r="G201" i="2"/>
  <c r="U169" i="2"/>
  <c r="X169" i="2" s="1"/>
  <c r="W169" i="2"/>
  <c r="Q61" i="2"/>
  <c r="Q82" i="2" s="1"/>
  <c r="T86" i="3"/>
  <c r="T87" i="3" s="1"/>
  <c r="Q77" i="2"/>
  <c r="T164" i="2" s="1"/>
  <c r="Y72" i="2"/>
  <c r="G112" i="2"/>
  <c r="T168" i="2"/>
  <c r="R72" i="2"/>
  <c r="F130" i="1"/>
  <c r="H154" i="1"/>
  <c r="AC157" i="1"/>
  <c r="E202" i="2" l="1"/>
  <c r="T82" i="2"/>
  <c r="T83" i="2" s="1"/>
  <c r="W156" i="1"/>
  <c r="H156" i="1" s="1"/>
  <c r="H225" i="1" s="1"/>
  <c r="H271" i="1" s="1"/>
  <c r="H297" i="1" s="1"/>
  <c r="H19" i="4" s="1"/>
  <c r="T73" i="2"/>
  <c r="T156" i="2" s="1"/>
  <c r="W156" i="2" s="1"/>
  <c r="H156" i="2" s="1"/>
  <c r="H225" i="2" s="1"/>
  <c r="T155" i="2"/>
  <c r="W155" i="2" s="1"/>
  <c r="H155" i="2" s="1"/>
  <c r="Z155" i="2" s="1"/>
  <c r="U61" i="2"/>
  <c r="T86" i="2"/>
  <c r="T87" i="2" s="1"/>
  <c r="J132" i="1"/>
  <c r="J313" i="2"/>
  <c r="F318" i="2" s="1"/>
  <c r="G318" i="2" s="1"/>
  <c r="R72" i="1"/>
  <c r="Q87" i="1"/>
  <c r="Q82" i="1"/>
  <c r="Q83" i="1" s="1"/>
  <c r="E245" i="2"/>
  <c r="E156" i="2"/>
  <c r="Z169" i="2" s="1"/>
  <c r="Q65" i="2"/>
  <c r="Q86" i="2" s="1"/>
  <c r="Q87" i="2" s="1"/>
  <c r="J131" i="2"/>
  <c r="Q164" i="3"/>
  <c r="Q73" i="1"/>
  <c r="T169" i="1" s="1"/>
  <c r="E203" i="2"/>
  <c r="Q83" i="2"/>
  <c r="U161" i="3"/>
  <c r="X161" i="3" s="1"/>
  <c r="E150" i="3" s="1"/>
  <c r="Z161" i="3" s="1"/>
  <c r="Q169" i="3"/>
  <c r="W166" i="3"/>
  <c r="U166" i="3"/>
  <c r="X166" i="3" s="1"/>
  <c r="E154" i="3" s="1"/>
  <c r="Z166" i="3" s="1"/>
  <c r="U167" i="3"/>
  <c r="X167" i="3" s="1"/>
  <c r="E155" i="3" s="1"/>
  <c r="Z167" i="3" s="1"/>
  <c r="U162" i="3"/>
  <c r="X162" i="3" s="1"/>
  <c r="E151" i="3" s="1"/>
  <c r="Z162" i="3" s="1"/>
  <c r="G120" i="3"/>
  <c r="C122" i="3" s="1"/>
  <c r="Z152" i="3"/>
  <c r="U76" i="2"/>
  <c r="T77" i="2"/>
  <c r="T152" i="2" s="1"/>
  <c r="T62" i="2"/>
  <c r="Q156" i="2" s="1"/>
  <c r="I120" i="2"/>
  <c r="AC157" i="2"/>
  <c r="E120" i="2"/>
  <c r="H120" i="2"/>
  <c r="W151" i="1"/>
  <c r="H151" i="1" s="1"/>
  <c r="Z151" i="1" s="1"/>
  <c r="E245" i="1"/>
  <c r="E253" i="1" s="1"/>
  <c r="E240" i="3"/>
  <c r="E248" i="3" s="1"/>
  <c r="D17" i="8"/>
  <c r="D18" i="8" s="1"/>
  <c r="D35" i="5" s="1"/>
  <c r="E253" i="2"/>
  <c r="F112" i="4"/>
  <c r="F249" i="1" s="1"/>
  <c r="F254" i="1" s="1"/>
  <c r="Q151" i="2"/>
  <c r="H202" i="2" s="1"/>
  <c r="U65" i="2"/>
  <c r="Z156" i="1"/>
  <c r="T155" i="3"/>
  <c r="W155" i="3" s="1"/>
  <c r="H155" i="3" s="1"/>
  <c r="Z155" i="3" s="1"/>
  <c r="Z156" i="3" s="1"/>
  <c r="T66" i="2"/>
  <c r="Q152" i="2" s="1"/>
  <c r="W152" i="2" s="1"/>
  <c r="H152" i="2" s="1"/>
  <c r="J134" i="3"/>
  <c r="J72" i="3"/>
  <c r="R176" i="3"/>
  <c r="H116" i="4"/>
  <c r="H214" i="3"/>
  <c r="H246" i="3"/>
  <c r="H249" i="3" s="1"/>
  <c r="H251" i="2"/>
  <c r="H254" i="2" s="1"/>
  <c r="H251" i="1"/>
  <c r="H254" i="1" s="1"/>
  <c r="H117" i="4"/>
  <c r="E225" i="2"/>
  <c r="H224" i="1"/>
  <c r="H270" i="1" s="1"/>
  <c r="Z155" i="1"/>
  <c r="E220" i="3"/>
  <c r="H219" i="1"/>
  <c r="Z152" i="1"/>
  <c r="H219" i="3"/>
  <c r="H265" i="3" s="1"/>
  <c r="U169" i="1"/>
  <c r="X169" i="1" s="1"/>
  <c r="E156" i="1" s="1"/>
  <c r="W169" i="1"/>
  <c r="U164" i="2"/>
  <c r="X164" i="2" s="1"/>
  <c r="E152" i="2" s="1"/>
  <c r="W164" i="2"/>
  <c r="G149" i="3"/>
  <c r="G138" i="3"/>
  <c r="E150" i="1"/>
  <c r="E138" i="1"/>
  <c r="AC166" i="1"/>
  <c r="AC173" i="1" s="1"/>
  <c r="G130" i="2"/>
  <c r="J130" i="2" s="1"/>
  <c r="E218" i="3"/>
  <c r="E264" i="3" s="1"/>
  <c r="J130" i="3"/>
  <c r="E138" i="3"/>
  <c r="E149" i="3"/>
  <c r="Z163" i="3" s="1"/>
  <c r="H130" i="1"/>
  <c r="J130" i="1" s="1"/>
  <c r="H120" i="1"/>
  <c r="C11" i="7"/>
  <c r="C13" i="7" s="1"/>
  <c r="C17" i="7" s="1"/>
  <c r="C11" i="6"/>
  <c r="C13" i="6" s="1"/>
  <c r="G217" i="1"/>
  <c r="G263" i="1" s="1"/>
  <c r="W168" i="1"/>
  <c r="U168" i="1"/>
  <c r="X168" i="1" s="1"/>
  <c r="E155" i="1" s="1"/>
  <c r="H150" i="2"/>
  <c r="H158" i="2" s="1"/>
  <c r="AC153" i="2"/>
  <c r="H138" i="2"/>
  <c r="E246" i="3"/>
  <c r="E249" i="3" s="1"/>
  <c r="E251" i="2"/>
  <c r="E254" i="2" s="1"/>
  <c r="E251" i="1"/>
  <c r="E254" i="1" s="1"/>
  <c r="H200" i="1"/>
  <c r="F200" i="1"/>
  <c r="I200" i="1"/>
  <c r="E200" i="1"/>
  <c r="E40" i="6"/>
  <c r="C15" i="6" s="1"/>
  <c r="C16" i="6" s="1"/>
  <c r="D40" i="6"/>
  <c r="E223" i="1"/>
  <c r="E269" i="1" s="1"/>
  <c r="Z170" i="1"/>
  <c r="F217" i="2"/>
  <c r="F220" i="2" s="1"/>
  <c r="F158" i="2"/>
  <c r="H197" i="3"/>
  <c r="H213" i="3" s="1"/>
  <c r="F196" i="3"/>
  <c r="H176" i="3"/>
  <c r="E197" i="3"/>
  <c r="E196" i="3"/>
  <c r="I196" i="3"/>
  <c r="G196" i="3"/>
  <c r="W163" i="2"/>
  <c r="U163" i="2"/>
  <c r="X163" i="2" s="1"/>
  <c r="E151" i="2" s="1"/>
  <c r="F242" i="3"/>
  <c r="F247" i="2"/>
  <c r="F247" i="1"/>
  <c r="G198" i="3"/>
  <c r="I138" i="3"/>
  <c r="I149" i="3"/>
  <c r="E150" i="2"/>
  <c r="AC166" i="2"/>
  <c r="E138" i="2"/>
  <c r="I150" i="1"/>
  <c r="I138" i="1"/>
  <c r="AC171" i="2"/>
  <c r="E154" i="2"/>
  <c r="I150" i="2"/>
  <c r="I138" i="2"/>
  <c r="W164" i="1"/>
  <c r="U164" i="1"/>
  <c r="X164" i="1" s="1"/>
  <c r="E152" i="1" s="1"/>
  <c r="F116" i="4"/>
  <c r="F241" i="3"/>
  <c r="F246" i="2"/>
  <c r="F246" i="1"/>
  <c r="G136" i="1"/>
  <c r="J136" i="1" s="1"/>
  <c r="G72" i="1"/>
  <c r="S60" i="1"/>
  <c r="J60" i="1"/>
  <c r="G117" i="1"/>
  <c r="G135" i="1" s="1"/>
  <c r="J135" i="1" s="1"/>
  <c r="G116" i="1"/>
  <c r="G218" i="3"/>
  <c r="E117" i="4"/>
  <c r="F150" i="1"/>
  <c r="F138" i="1"/>
  <c r="U168" i="2"/>
  <c r="X168" i="2" s="1"/>
  <c r="E155" i="2" s="1"/>
  <c r="W168" i="2"/>
  <c r="F200" i="2"/>
  <c r="H200" i="2"/>
  <c r="E200" i="2"/>
  <c r="I200" i="2"/>
  <c r="H240" i="3"/>
  <c r="H248" i="3" s="1"/>
  <c r="H245" i="2"/>
  <c r="H253" i="2" s="1"/>
  <c r="H245" i="1"/>
  <c r="H253" i="1" s="1"/>
  <c r="H149" i="3"/>
  <c r="H157" i="3" s="1"/>
  <c r="H138" i="3"/>
  <c r="F138" i="3"/>
  <c r="F149" i="3"/>
  <c r="W163" i="1"/>
  <c r="U163" i="1"/>
  <c r="X163" i="1" s="1"/>
  <c r="E151" i="1" s="1"/>
  <c r="I117" i="4"/>
  <c r="I118" i="4" s="1"/>
  <c r="I244" i="3"/>
  <c r="I249" i="3" s="1"/>
  <c r="I250" i="3" s="1"/>
  <c r="I249" i="2"/>
  <c r="I254" i="2" s="1"/>
  <c r="I255" i="2" s="1"/>
  <c r="I249" i="1"/>
  <c r="I254" i="1" s="1"/>
  <c r="I255" i="1" s="1"/>
  <c r="G72" i="2"/>
  <c r="S60" i="2"/>
  <c r="J60" i="2"/>
  <c r="G116" i="2"/>
  <c r="G134" i="2" s="1"/>
  <c r="G154" i="2" s="1"/>
  <c r="G117" i="2"/>
  <c r="G135" i="2" s="1"/>
  <c r="J135" i="2" s="1"/>
  <c r="G118" i="2"/>
  <c r="G136" i="2" s="1"/>
  <c r="J136" i="2" s="1"/>
  <c r="G112" i="4"/>
  <c r="C17" i="8"/>
  <c r="C13" i="8"/>
  <c r="C15" i="8" s="1"/>
  <c r="H224" i="2" l="1"/>
  <c r="H270" i="2" s="1"/>
  <c r="Z169" i="3"/>
  <c r="F249" i="2"/>
  <c r="F254" i="2" s="1"/>
  <c r="F244" i="3"/>
  <c r="F249" i="3" s="1"/>
  <c r="E250" i="3"/>
  <c r="H220" i="3"/>
  <c r="H218" i="1"/>
  <c r="H264" i="1" s="1"/>
  <c r="Z153" i="1"/>
  <c r="Z157" i="1"/>
  <c r="C35" i="6"/>
  <c r="D36" i="5"/>
  <c r="E33" i="5" s="1"/>
  <c r="E33" i="6" s="1"/>
  <c r="E36" i="6" s="1"/>
  <c r="H118" i="4"/>
  <c r="F253" i="1"/>
  <c r="F255" i="1" s="1"/>
  <c r="F117" i="4"/>
  <c r="F118" i="4" s="1"/>
  <c r="F253" i="2"/>
  <c r="F255" i="2" s="1"/>
  <c r="H271" i="2"/>
  <c r="H297" i="2" s="1"/>
  <c r="H38" i="4" s="1"/>
  <c r="H219" i="2"/>
  <c r="H265" i="2" s="1"/>
  <c r="H291" i="2" s="1"/>
  <c r="H32" i="4" s="1"/>
  <c r="Z152" i="2"/>
  <c r="Z156" i="2"/>
  <c r="Z157" i="2" s="1"/>
  <c r="W151" i="2"/>
  <c r="H151" i="2" s="1"/>
  <c r="R180" i="3"/>
  <c r="R179" i="3"/>
  <c r="U176" i="3"/>
  <c r="Z164" i="3"/>
  <c r="I269" i="2"/>
  <c r="I275" i="2" s="1"/>
  <c r="H255" i="2"/>
  <c r="H255" i="1"/>
  <c r="C18" i="8"/>
  <c r="C35" i="5" s="1"/>
  <c r="C36" i="5" s="1"/>
  <c r="H250" i="3"/>
  <c r="F248" i="3"/>
  <c r="F250" i="3" s="1"/>
  <c r="H222" i="3"/>
  <c r="H259" i="3"/>
  <c r="E255" i="2"/>
  <c r="F212" i="3"/>
  <c r="F215" i="3" s="1"/>
  <c r="F157" i="3"/>
  <c r="G117" i="4"/>
  <c r="G118" i="4" s="1"/>
  <c r="G244" i="3"/>
  <c r="G249" i="3" s="1"/>
  <c r="G250" i="3" s="1"/>
  <c r="G249" i="2"/>
  <c r="G254" i="2" s="1"/>
  <c r="G255" i="2" s="1"/>
  <c r="G249" i="1"/>
  <c r="G254" i="1" s="1"/>
  <c r="G255" i="1" s="1"/>
  <c r="G314" i="2"/>
  <c r="J314" i="2" s="1"/>
  <c r="F319" i="2" s="1"/>
  <c r="G319" i="2" s="1"/>
  <c r="G320" i="2" s="1"/>
  <c r="J72" i="2"/>
  <c r="G203" i="2"/>
  <c r="G223" i="2" s="1"/>
  <c r="G269" i="2" s="1"/>
  <c r="E214" i="3"/>
  <c r="E260" i="3" s="1"/>
  <c r="E64" i="4" s="1"/>
  <c r="E255" i="1"/>
  <c r="Z169" i="1"/>
  <c r="E225" i="1"/>
  <c r="E271" i="1" s="1"/>
  <c r="E297" i="1" s="1"/>
  <c r="E19" i="4" s="1"/>
  <c r="F217" i="1"/>
  <c r="F220" i="1" s="1"/>
  <c r="F158" i="1"/>
  <c r="F227" i="1" s="1"/>
  <c r="J116" i="4"/>
  <c r="E223" i="2"/>
  <c r="E269" i="2" s="1"/>
  <c r="Z170" i="2"/>
  <c r="I217" i="1"/>
  <c r="I263" i="1" s="1"/>
  <c r="I158" i="1"/>
  <c r="I227" i="1" s="1"/>
  <c r="E158" i="2"/>
  <c r="E227" i="2" s="1"/>
  <c r="Z165" i="2"/>
  <c r="E217" i="2"/>
  <c r="E263" i="2" s="1"/>
  <c r="G195" i="3"/>
  <c r="F195" i="3"/>
  <c r="E195" i="3"/>
  <c r="I195" i="3"/>
  <c r="H195" i="3"/>
  <c r="F227" i="2"/>
  <c r="F264" i="3"/>
  <c r="G289" i="1"/>
  <c r="G274" i="1"/>
  <c r="AC153" i="1"/>
  <c r="H150" i="1"/>
  <c r="H158" i="1" s="1"/>
  <c r="H138" i="1"/>
  <c r="G138" i="2"/>
  <c r="J138" i="2" s="1"/>
  <c r="G150" i="2"/>
  <c r="E271" i="2"/>
  <c r="E297" i="2" s="1"/>
  <c r="E38" i="4" s="1"/>
  <c r="E118" i="4"/>
  <c r="G134" i="1"/>
  <c r="G120" i="1"/>
  <c r="C122" i="1" s="1"/>
  <c r="G314" i="1"/>
  <c r="J314" i="1" s="1"/>
  <c r="F319" i="1" s="1"/>
  <c r="G319" i="1" s="1"/>
  <c r="G320" i="1" s="1"/>
  <c r="J72" i="1"/>
  <c r="G203" i="1"/>
  <c r="E213" i="3"/>
  <c r="E259" i="3" s="1"/>
  <c r="E63" i="4" s="1"/>
  <c r="E219" i="3"/>
  <c r="E265" i="3" s="1"/>
  <c r="E69" i="4" s="1"/>
  <c r="J134" i="2"/>
  <c r="I157" i="3"/>
  <c r="I212" i="3"/>
  <c r="I258" i="3" s="1"/>
  <c r="F221" i="2"/>
  <c r="F267" i="2" s="1"/>
  <c r="F293" i="2" s="1"/>
  <c r="F34" i="4" s="1"/>
  <c r="F266" i="2"/>
  <c r="I264" i="3"/>
  <c r="Z168" i="1"/>
  <c r="E224" i="1"/>
  <c r="E270" i="1" s="1"/>
  <c r="E296" i="1" s="1"/>
  <c r="E18" i="4" s="1"/>
  <c r="C17" i="6"/>
  <c r="E157" i="3"/>
  <c r="E212" i="3"/>
  <c r="E258" i="3" s="1"/>
  <c r="G120" i="2"/>
  <c r="C122" i="2" s="1"/>
  <c r="E158" i="1"/>
  <c r="E227" i="1" s="1"/>
  <c r="E217" i="1"/>
  <c r="E263" i="1" s="1"/>
  <c r="Z165" i="1"/>
  <c r="E266" i="3"/>
  <c r="E70" i="4" s="1"/>
  <c r="H296" i="2"/>
  <c r="H260" i="3"/>
  <c r="H64" i="4" s="1"/>
  <c r="Z163" i="1"/>
  <c r="E218" i="1"/>
  <c r="E264" i="1" s="1"/>
  <c r="E290" i="1" s="1"/>
  <c r="E12" i="4" s="1"/>
  <c r="E219" i="1"/>
  <c r="E265" i="1" s="1"/>
  <c r="E291" i="1" s="1"/>
  <c r="E13" i="4" s="1"/>
  <c r="Z164" i="1"/>
  <c r="H69" i="4"/>
  <c r="I269" i="1"/>
  <c r="E224" i="2"/>
  <c r="E270" i="2" s="1"/>
  <c r="E296" i="2" s="1"/>
  <c r="E37" i="4" s="1"/>
  <c r="Z168" i="2"/>
  <c r="G200" i="2"/>
  <c r="I158" i="2"/>
  <c r="I227" i="2" s="1"/>
  <c r="I217" i="2"/>
  <c r="I263" i="2" s="1"/>
  <c r="AC173" i="2"/>
  <c r="Z163" i="2"/>
  <c r="E218" i="2"/>
  <c r="E264" i="2" s="1"/>
  <c r="E290" i="2" s="1"/>
  <c r="E31" i="4" s="1"/>
  <c r="E295" i="1"/>
  <c r="G200" i="1"/>
  <c r="F269" i="2"/>
  <c r="J138" i="3"/>
  <c r="C140" i="3"/>
  <c r="C158" i="3" s="1"/>
  <c r="E68" i="4"/>
  <c r="G212" i="3"/>
  <c r="G258" i="3" s="1"/>
  <c r="G157" i="3"/>
  <c r="E219" i="2"/>
  <c r="E265" i="2" s="1"/>
  <c r="E291" i="2" s="1"/>
  <c r="E32" i="4" s="1"/>
  <c r="Z164" i="2"/>
  <c r="H265" i="1"/>
  <c r="H291" i="1" s="1"/>
  <c r="H13" i="4" s="1"/>
  <c r="H275" i="1"/>
  <c r="H296" i="1"/>
  <c r="F269" i="1"/>
  <c r="H266" i="3"/>
  <c r="H70" i="4" s="1"/>
  <c r="G222" i="3" l="1"/>
  <c r="I222" i="3"/>
  <c r="Z171" i="2"/>
  <c r="C33" i="7"/>
  <c r="D33" i="7" s="1"/>
  <c r="D35" i="7" s="1"/>
  <c r="H91" i="4"/>
  <c r="H135" i="4" s="1"/>
  <c r="C140" i="2"/>
  <c r="C159" i="2" s="1"/>
  <c r="Z166" i="1"/>
  <c r="Z171" i="1"/>
  <c r="H227" i="1"/>
  <c r="E36" i="5"/>
  <c r="D33" i="6"/>
  <c r="J249" i="3"/>
  <c r="N249" i="3" s="1"/>
  <c r="C48" i="5" s="1"/>
  <c r="I295" i="2"/>
  <c r="I36" i="4" s="1"/>
  <c r="I42" i="4" s="1"/>
  <c r="E270" i="3"/>
  <c r="J253" i="2"/>
  <c r="J250" i="3"/>
  <c r="J248" i="3"/>
  <c r="N248" i="3" s="1"/>
  <c r="J253" i="1"/>
  <c r="H275" i="2"/>
  <c r="H218" i="2"/>
  <c r="Z151" i="2"/>
  <c r="Z153" i="2" s="1"/>
  <c r="U180" i="3"/>
  <c r="U179" i="3"/>
  <c r="E275" i="1"/>
  <c r="J254" i="1"/>
  <c r="E74" i="4"/>
  <c r="H85" i="4"/>
  <c r="E84" i="4"/>
  <c r="E222" i="3"/>
  <c r="G295" i="2"/>
  <c r="G275" i="2"/>
  <c r="H290" i="1"/>
  <c r="H274" i="1"/>
  <c r="G62" i="4"/>
  <c r="G73" i="4" s="1"/>
  <c r="G269" i="3"/>
  <c r="Z166" i="2"/>
  <c r="H74" i="4"/>
  <c r="E85" i="4"/>
  <c r="E90" i="4"/>
  <c r="F68" i="4"/>
  <c r="F74" i="4" s="1"/>
  <c r="F270" i="3"/>
  <c r="G264" i="3"/>
  <c r="F222" i="3"/>
  <c r="J254" i="2"/>
  <c r="H270" i="3"/>
  <c r="E274" i="1"/>
  <c r="E289" i="1"/>
  <c r="E62" i="4"/>
  <c r="E73" i="4" s="1"/>
  <c r="E269" i="3"/>
  <c r="I62" i="4"/>
  <c r="I73" i="4" s="1"/>
  <c r="I269" i="3"/>
  <c r="G154" i="1"/>
  <c r="G138" i="1"/>
  <c r="J134" i="1"/>
  <c r="G217" i="2"/>
  <c r="G263" i="2" s="1"/>
  <c r="G158" i="2"/>
  <c r="G227" i="2" s="1"/>
  <c r="E274" i="2"/>
  <c r="E289" i="2"/>
  <c r="E295" i="2"/>
  <c r="E275" i="2"/>
  <c r="J255" i="1"/>
  <c r="M198" i="1"/>
  <c r="F261" i="3"/>
  <c r="F216" i="3"/>
  <c r="F262" i="3" s="1"/>
  <c r="F66" i="4" s="1"/>
  <c r="H63" i="4"/>
  <c r="H73" i="4" s="1"/>
  <c r="H75" i="4" s="1"/>
  <c r="H269" i="3"/>
  <c r="E17" i="4"/>
  <c r="E301" i="1"/>
  <c r="H37" i="4"/>
  <c r="H42" i="4" s="1"/>
  <c r="H301" i="2"/>
  <c r="I68" i="4"/>
  <c r="I74" i="4" s="1"/>
  <c r="I270" i="3"/>
  <c r="J118" i="4"/>
  <c r="F266" i="1"/>
  <c r="F221" i="1"/>
  <c r="F267" i="1" s="1"/>
  <c r="F293" i="1" s="1"/>
  <c r="F15" i="4" s="1"/>
  <c r="F295" i="1"/>
  <c r="F275" i="1"/>
  <c r="H18" i="4"/>
  <c r="H301" i="1"/>
  <c r="I289" i="2"/>
  <c r="I274" i="2"/>
  <c r="F295" i="2"/>
  <c r="F275" i="2"/>
  <c r="I295" i="1"/>
  <c r="I275" i="1"/>
  <c r="F292" i="2"/>
  <c r="F274" i="2"/>
  <c r="J117" i="4"/>
  <c r="G11" i="4"/>
  <c r="G300" i="1"/>
  <c r="I274" i="1"/>
  <c r="I289" i="1"/>
  <c r="E91" i="4"/>
  <c r="M198" i="2"/>
  <c r="J255" i="2"/>
  <c r="M249" i="3" l="1"/>
  <c r="I301" i="2"/>
  <c r="C288" i="3"/>
  <c r="D289" i="3" s="1"/>
  <c r="E33" i="7"/>
  <c r="E35" i="7" s="1"/>
  <c r="M248" i="3"/>
  <c r="M250" i="3" s="1"/>
  <c r="F87" i="4"/>
  <c r="O162" i="4" s="1"/>
  <c r="H264" i="2"/>
  <c r="H227" i="2"/>
  <c r="H129" i="4"/>
  <c r="I30" i="4"/>
  <c r="I41" i="4" s="1"/>
  <c r="I43" i="4" s="1"/>
  <c r="I300" i="2"/>
  <c r="J275" i="2"/>
  <c r="G223" i="1"/>
  <c r="G269" i="1" s="1"/>
  <c r="G158" i="1"/>
  <c r="G227" i="1" s="1"/>
  <c r="E75" i="4"/>
  <c r="F276" i="2"/>
  <c r="F280" i="2" s="1"/>
  <c r="I17" i="4"/>
  <c r="I301" i="1"/>
  <c r="F17" i="4"/>
  <c r="F301" i="1"/>
  <c r="F292" i="1"/>
  <c r="F274" i="1"/>
  <c r="J274" i="1" s="1"/>
  <c r="F65" i="4"/>
  <c r="F73" i="4" s="1"/>
  <c r="F75" i="4" s="1"/>
  <c r="F269" i="3"/>
  <c r="J269" i="3" s="1"/>
  <c r="E36" i="4"/>
  <c r="E42" i="4" s="1"/>
  <c r="E301" i="2"/>
  <c r="G289" i="2"/>
  <c r="G274" i="2"/>
  <c r="I271" i="3"/>
  <c r="I274" i="3" s="1"/>
  <c r="E11" i="4"/>
  <c r="E300" i="1"/>
  <c r="G270" i="3"/>
  <c r="G271" i="3" s="1"/>
  <c r="G274" i="3" s="1"/>
  <c r="G68" i="4"/>
  <c r="G74" i="4" s="1"/>
  <c r="J74" i="4" s="1"/>
  <c r="G36" i="4"/>
  <c r="G42" i="4" s="1"/>
  <c r="G301" i="2"/>
  <c r="I276" i="1"/>
  <c r="I280" i="1" s="1"/>
  <c r="F33" i="4"/>
  <c r="F41" i="4" s="1"/>
  <c r="F300" i="2"/>
  <c r="H271" i="3"/>
  <c r="H274" i="3" s="1"/>
  <c r="E30" i="4"/>
  <c r="E41" i="4" s="1"/>
  <c r="E300" i="2"/>
  <c r="I75" i="4"/>
  <c r="E276" i="1"/>
  <c r="H276" i="1"/>
  <c r="H280" i="1" s="1"/>
  <c r="I11" i="4"/>
  <c r="I300" i="1"/>
  <c r="G22" i="4"/>
  <c r="C46" i="7"/>
  <c r="D48" i="5"/>
  <c r="C48" i="6"/>
  <c r="C52" i="5"/>
  <c r="F36" i="4"/>
  <c r="F42" i="4" s="1"/>
  <c r="F301" i="2"/>
  <c r="I276" i="2"/>
  <c r="I280" i="2" s="1"/>
  <c r="H90" i="4"/>
  <c r="H23" i="4"/>
  <c r="C47" i="5"/>
  <c r="N250" i="3"/>
  <c r="E23" i="4"/>
  <c r="E276" i="2"/>
  <c r="E280" i="2" s="1"/>
  <c r="C140" i="1"/>
  <c r="C159" i="1" s="1"/>
  <c r="J138" i="1"/>
  <c r="E271" i="3"/>
  <c r="H12" i="4"/>
  <c r="H300" i="1"/>
  <c r="E89" i="4" l="1"/>
  <c r="E133" i="4" s="1"/>
  <c r="I275" i="3"/>
  <c r="G75" i="4"/>
  <c r="J75" i="4" s="1"/>
  <c r="H274" i="2"/>
  <c r="H290" i="2"/>
  <c r="I279" i="2"/>
  <c r="F279" i="2"/>
  <c r="E279" i="2"/>
  <c r="H302" i="1"/>
  <c r="H306" i="1" s="1"/>
  <c r="C325" i="1"/>
  <c r="G325" i="1" s="1"/>
  <c r="E43" i="4"/>
  <c r="F302" i="2"/>
  <c r="F305" i="2" s="1"/>
  <c r="I279" i="1"/>
  <c r="G275" i="3"/>
  <c r="J270" i="3"/>
  <c r="J301" i="2"/>
  <c r="F14" i="4"/>
  <c r="F300" i="1"/>
  <c r="J300" i="1" s="1"/>
  <c r="G295" i="1"/>
  <c r="G275" i="1"/>
  <c r="I302" i="2"/>
  <c r="I306" i="2" s="1"/>
  <c r="H22" i="4"/>
  <c r="H24" i="4" s="1"/>
  <c r="E275" i="3"/>
  <c r="C45" i="7"/>
  <c r="D47" i="5"/>
  <c r="C47" i="6"/>
  <c r="C51" i="5"/>
  <c r="E280" i="1"/>
  <c r="F43" i="4"/>
  <c r="J42" i="4"/>
  <c r="J73" i="4"/>
  <c r="C295" i="3"/>
  <c r="I295" i="3" s="1"/>
  <c r="E95" i="4"/>
  <c r="D48" i="6"/>
  <c r="D46" i="7"/>
  <c r="D50" i="7" s="1"/>
  <c r="E48" i="5"/>
  <c r="D52" i="5"/>
  <c r="I302" i="1"/>
  <c r="I305" i="1" s="1"/>
  <c r="H279" i="1"/>
  <c r="H275" i="3"/>
  <c r="E302" i="1"/>
  <c r="E305" i="1" s="1"/>
  <c r="G276" i="2"/>
  <c r="G280" i="2" s="1"/>
  <c r="F271" i="3"/>
  <c r="F275" i="3" s="1"/>
  <c r="F89" i="4"/>
  <c r="F23" i="4"/>
  <c r="I23" i="4"/>
  <c r="I89" i="4"/>
  <c r="C326" i="2"/>
  <c r="G326" i="2" s="1"/>
  <c r="E274" i="3"/>
  <c r="H95" i="4"/>
  <c r="H134" i="4"/>
  <c r="I83" i="4"/>
  <c r="I22" i="4"/>
  <c r="E279" i="1"/>
  <c r="E302" i="2"/>
  <c r="E306" i="2" s="1"/>
  <c r="E83" i="4"/>
  <c r="E22" i="4"/>
  <c r="G30" i="4"/>
  <c r="G300" i="2"/>
  <c r="F276" i="1"/>
  <c r="F280" i="1" s="1"/>
  <c r="I24" i="4" l="1"/>
  <c r="F306" i="2"/>
  <c r="F279" i="1"/>
  <c r="I305" i="2"/>
  <c r="E305" i="2"/>
  <c r="H31" i="4"/>
  <c r="H300" i="2"/>
  <c r="H302" i="2" s="1"/>
  <c r="H306" i="2" s="1"/>
  <c r="H276" i="2"/>
  <c r="J274" i="2"/>
  <c r="C325" i="2" s="1"/>
  <c r="G325" i="2" s="1"/>
  <c r="H305" i="1"/>
  <c r="G17" i="4"/>
  <c r="G301" i="1"/>
  <c r="G41" i="4"/>
  <c r="G83" i="4"/>
  <c r="I127" i="4"/>
  <c r="I94" i="4"/>
  <c r="G279" i="2"/>
  <c r="F48" i="5"/>
  <c r="E46" i="7"/>
  <c r="F46" i="7" s="1"/>
  <c r="E48" i="6"/>
  <c r="F48" i="6" s="1"/>
  <c r="F302" i="1"/>
  <c r="F306" i="1" s="1"/>
  <c r="C296" i="3"/>
  <c r="I296" i="3" s="1"/>
  <c r="F95" i="4"/>
  <c r="I306" i="1"/>
  <c r="J271" i="3"/>
  <c r="J274" i="3" s="1"/>
  <c r="F86" i="4"/>
  <c r="F22" i="4"/>
  <c r="F24" i="4" s="1"/>
  <c r="G302" i="2"/>
  <c r="G306" i="2" s="1"/>
  <c r="E24" i="4"/>
  <c r="E127" i="4"/>
  <c r="E94" i="4"/>
  <c r="I133" i="4"/>
  <c r="I95" i="4"/>
  <c r="F274" i="3"/>
  <c r="E306" i="1"/>
  <c r="D47" i="6"/>
  <c r="D45" i="7"/>
  <c r="D49" i="7" s="1"/>
  <c r="D51" i="7" s="1"/>
  <c r="E47" i="5"/>
  <c r="D51" i="5"/>
  <c r="D53" i="5" s="1"/>
  <c r="G276" i="1"/>
  <c r="G279" i="1" s="1"/>
  <c r="J275" i="1"/>
  <c r="C53" i="5"/>
  <c r="H305" i="2" l="1"/>
  <c r="J300" i="2"/>
  <c r="H280" i="2"/>
  <c r="J276" i="2"/>
  <c r="H279" i="2"/>
  <c r="H41" i="4"/>
  <c r="H43" i="4" s="1"/>
  <c r="H84" i="4"/>
  <c r="J22" i="4"/>
  <c r="F305" i="1"/>
  <c r="G280" i="1"/>
  <c r="J276" i="1"/>
  <c r="J280" i="1" s="1"/>
  <c r="E96" i="4"/>
  <c r="J275" i="3"/>
  <c r="G43" i="4"/>
  <c r="G23" i="4"/>
  <c r="G89" i="4"/>
  <c r="F47" i="5"/>
  <c r="C18" i="5" s="1"/>
  <c r="E45" i="7"/>
  <c r="F45" i="7" s="1"/>
  <c r="E47" i="6"/>
  <c r="F47" i="6" s="1"/>
  <c r="O160" i="4"/>
  <c r="F94" i="4"/>
  <c r="F96" i="4" s="1"/>
  <c r="O161" i="4"/>
  <c r="C326" i="1"/>
  <c r="G326" i="1" s="1"/>
  <c r="G305" i="2"/>
  <c r="J302" i="2"/>
  <c r="I300" i="3"/>
  <c r="E44" i="5" s="1"/>
  <c r="I299" i="3"/>
  <c r="E43" i="5" s="1"/>
  <c r="I96" i="4"/>
  <c r="G94" i="4"/>
  <c r="G302" i="1"/>
  <c r="G306" i="1" s="1"/>
  <c r="J301" i="1"/>
  <c r="J279" i="2" l="1"/>
  <c r="J280" i="2"/>
  <c r="C310" i="2"/>
  <c r="J179" i="2" s="1"/>
  <c r="J43" i="4"/>
  <c r="J41" i="4"/>
  <c r="H128" i="4"/>
  <c r="H94" i="4"/>
  <c r="H96" i="4" s="1"/>
  <c r="H137" i="4" s="1"/>
  <c r="G305" i="1"/>
  <c r="J302" i="1"/>
  <c r="J306" i="1" s="1"/>
  <c r="F164" i="4"/>
  <c r="C19" i="5"/>
  <c r="C18" i="7"/>
  <c r="C19" i="7" s="1"/>
  <c r="C20" i="7" s="1"/>
  <c r="C34" i="7" s="1"/>
  <c r="C18" i="6"/>
  <c r="C19" i="6" s="1"/>
  <c r="C20" i="6" s="1"/>
  <c r="C311" i="1"/>
  <c r="J179" i="1" s="1"/>
  <c r="J279" i="1"/>
  <c r="I137" i="4"/>
  <c r="G95" i="4"/>
  <c r="J95" i="4" s="1"/>
  <c r="E41" i="7"/>
  <c r="E49" i="7" s="1"/>
  <c r="E43" i="6"/>
  <c r="E51" i="6" s="1"/>
  <c r="E51" i="5"/>
  <c r="F51" i="5" s="1"/>
  <c r="F163" i="4"/>
  <c r="G24" i="4"/>
  <c r="J24" i="4" s="1"/>
  <c r="J23" i="4"/>
  <c r="E44" i="6"/>
  <c r="E52" i="6" s="1"/>
  <c r="E42" i="7"/>
  <c r="E50" i="7" s="1"/>
  <c r="E52" i="5"/>
  <c r="J305" i="2"/>
  <c r="M199" i="2"/>
  <c r="J306" i="2"/>
  <c r="E51" i="7" l="1"/>
  <c r="J94" i="4"/>
  <c r="E53" i="6"/>
  <c r="G96" i="4"/>
  <c r="E53" i="5"/>
  <c r="F52" i="5"/>
  <c r="F53" i="5" s="1"/>
  <c r="F55" i="5" s="1"/>
  <c r="C34" i="6"/>
  <c r="D34" i="6"/>
  <c r="C35" i="7"/>
  <c r="C50" i="7"/>
  <c r="C49" i="7"/>
  <c r="F49" i="7" s="1"/>
  <c r="M199" i="1"/>
  <c r="J305" i="1"/>
  <c r="C51" i="7" l="1"/>
  <c r="F50" i="7"/>
  <c r="F51" i="7" s="1"/>
  <c r="F53" i="7" s="1"/>
  <c r="J96" i="4"/>
  <c r="C145" i="4" s="1"/>
  <c r="D36" i="6"/>
  <c r="D52" i="6"/>
  <c r="D51" i="6"/>
  <c r="C36" i="6"/>
  <c r="C52" i="6"/>
  <c r="C51" i="6"/>
  <c r="F51" i="6" l="1"/>
  <c r="D53" i="6"/>
  <c r="D147" i="4"/>
  <c r="F158" i="4" s="1"/>
  <c r="D146" i="4"/>
  <c r="F52" i="6"/>
  <c r="C53" i="6"/>
  <c r="F131" i="4"/>
  <c r="F133" i="4"/>
  <c r="F130" i="4"/>
  <c r="F137" i="4"/>
  <c r="E128" i="4"/>
  <c r="E129" i="4"/>
  <c r="E135" i="4"/>
  <c r="E134" i="4"/>
  <c r="E137" i="4"/>
  <c r="F53" i="6" l="1"/>
  <c r="F55" i="6" s="1"/>
  <c r="F166" i="4"/>
  <c r="E160" i="4"/>
  <c r="E167" i="4"/>
  <c r="E159" i="4"/>
  <c r="E168" i="4"/>
  <c r="E170" i="4"/>
  <c r="F170" i="4"/>
  <c r="H160" i="4"/>
  <c r="H168" i="4"/>
  <c r="H167" i="4"/>
  <c r="E166" i="4"/>
  <c r="I166" i="4"/>
  <c r="I158" i="4"/>
  <c r="E158" i="4"/>
  <c r="H159" i="4"/>
  <c r="H170" i="4"/>
  <c r="I170" i="4"/>
  <c r="G127" i="4" l="1"/>
  <c r="G158" i="4" s="1"/>
  <c r="G133" i="4"/>
  <c r="G166" i="4" s="1"/>
  <c r="G137" i="4"/>
  <c r="G17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Peng, Yongmei</author>
  </authors>
  <commentList>
    <comment ref="R65" authorId="0" shapeId="0" xr:uid="{CA8A6C65-7669-44B8-9CCC-552A483F9981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C8A5875B-640E-4AA7-A591-9763C0D74A1A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C77" authorId="1" shapeId="0" xr:uid="{F918A2CB-8F27-42BE-9F97-FA93A706062F}">
      <text>
        <r>
          <rPr>
            <b/>
            <sz val="9"/>
            <color indexed="81"/>
            <rFont val="Tahoma"/>
            <family val="2"/>
          </rPr>
          <t>Peng, Yongmei:</t>
        </r>
        <r>
          <rPr>
            <sz val="9"/>
            <color indexed="81"/>
            <rFont val="Tahoma"/>
            <family val="2"/>
          </rPr>
          <t xml:space="preserve">
NERA Jan 2016 update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</authors>
  <commentList>
    <comment ref="R65" authorId="0" shapeId="0" xr:uid="{2F5E18ED-7DAB-49DF-B83A-A8F6AA872809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5EC8AC5E-3123-4D64-B271-45406F69501B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1502</author>
    <author>2963</author>
  </authors>
  <commentList>
    <comment ref="R65" authorId="0" shapeId="0" xr:uid="{8404D7EE-5E6F-4D57-B0E3-B567D7858ED4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R66" authorId="0" shapeId="0" xr:uid="{2C003FEA-EC84-4F72-B074-8ADCC5D24A43}">
      <text>
        <r>
          <rPr>
            <b/>
            <sz val="8"/>
            <color indexed="81"/>
            <rFont val="Tahoma"/>
            <family val="2"/>
          </rPr>
          <t>1502:</t>
        </r>
        <r>
          <rPr>
            <sz val="8"/>
            <color indexed="81"/>
            <rFont val="Tahoma"/>
            <family val="2"/>
          </rPr>
          <t xml:space="preserve">
equals  billing month first block adjusted by billing month versus calendar month summer total</t>
        </r>
      </text>
    </comment>
    <comment ref="D77" authorId="1" shapeId="0" xr:uid="{ADC555C9-59AC-478E-8CA8-384EACC70847}">
      <text>
        <r>
          <rPr>
            <b/>
            <sz val="8"/>
            <color indexed="81"/>
            <rFont val="Tahoma"/>
            <family val="2"/>
          </rPr>
          <t xml:space="preserve">NERA
</t>
        </r>
        <r>
          <rPr>
            <sz val="8"/>
            <color indexed="81"/>
            <rFont val="Tahoma"/>
            <family val="2"/>
          </rPr>
          <t>Summer: 201406-201609
Winter:201403-201702</t>
        </r>
      </text>
    </comment>
  </commentList>
</comments>
</file>

<file path=xl/sharedStrings.xml><?xml version="1.0" encoding="utf-8"?>
<sst xmlns="http://schemas.openxmlformats.org/spreadsheetml/2006/main" count="1852" uniqueCount="437">
  <si>
    <t xml:space="preserve">Jersey Central Power &amp; Light </t>
  </si>
  <si>
    <t>Attachment 2</t>
  </si>
  <si>
    <t>2019/2020 BGS Supply Period Estimated Supplier Payments Allocated by Rate Class</t>
  </si>
  <si>
    <t xml:space="preserve"> </t>
  </si>
  <si>
    <t>Development of Post Transition Period BGS Cost and Bid Factors</t>
  </si>
  <si>
    <t>Adjusted to Billing Time Periods</t>
  </si>
  <si>
    <t>Table #1</t>
  </si>
  <si>
    <t>% Usage During PJM On-Peak Period</t>
  </si>
  <si>
    <t>On-Peak periods defined as the 16 hr PJM Trading period, adj for NERC holidays</t>
  </si>
  <si>
    <t>% usage during Off-Peak period</t>
  </si>
  <si>
    <t>Profile Meter Data</t>
  </si>
  <si>
    <t>Other Analysis</t>
  </si>
  <si>
    <t>(data rounded to nearest .01 %)</t>
  </si>
  <si>
    <t>RT{1}</t>
  </si>
  <si>
    <t>RS{2}</t>
  </si>
  <si>
    <t>GS{3}</t>
  </si>
  <si>
    <t>GST</t>
  </si>
  <si>
    <t>OL/SL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</si>
  <si>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</si>
  <si>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</si>
  <si>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</si>
  <si>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</si>
  <si>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</si>
  <si>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</si>
  <si>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</si>
  <si>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</si>
  <si>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</si>
  <si>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</si>
  <si>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</si>
  <si>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</si>
  <si>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Table #2</t>
  </si>
  <si>
    <t>% Usage During JCP&amp;L On-Peak Billing Period</t>
  </si>
  <si>
    <t>On-Peak periods as defined in specified rate schedule</t>
  </si>
  <si>
    <t>N/A</t>
  </si>
  <si>
    <t>----</t>
  </si>
  <si>
    <t>{1} For BGS purposes the RT rate class includes the RS and GS rate class Off-Peak (OPWH) and Controlled Water Heating (CTWH) provisions.  The RT rate class also includes the</t>
  </si>
  <si>
    <t xml:space="preserve">  summer billing month RGT rate class usage.  OPWH and CTWH is billed on the average RT rates, while RT and Summer RGT use is billed at on-peak and off-peak rates.</t>
  </si>
  <si>
    <t xml:space="preserve">{2} For BGS purposes the RS rate class excludes the Off-Peak and Controlled Water Heating provisions and includes  </t>
  </si>
  <si>
    <t xml:space="preserve">     the winter billing month RGT rate class usage</t>
  </si>
  <si>
    <t>{3} For BGS purposes the GS rate class excludes the Off-Peak and Controlled Water Heating provisions</t>
  </si>
  <si>
    <t>Table #3</t>
  </si>
  <si>
    <t>Class Usage @ customer</t>
  </si>
  <si>
    <t>kWh</t>
  </si>
  <si>
    <t>Tariff Based kWh</t>
  </si>
  <si>
    <t>Total</t>
  </si>
  <si>
    <t>in MWh</t>
  </si>
  <si>
    <t>GST {4}</t>
  </si>
  <si>
    <t xml:space="preserve">RT Less </t>
  </si>
  <si>
    <t>WH</t>
  </si>
  <si>
    <t>WH GS</t>
  </si>
  <si>
    <t>WH RS</t>
  </si>
  <si>
    <t>RGT</t>
  </si>
  <si>
    <t>RT</t>
  </si>
  <si>
    <t>RS</t>
  </si>
  <si>
    <t>GS</t>
  </si>
  <si>
    <t>Water Heating</t>
  </si>
  <si>
    <t>winter MWh =</t>
  </si>
  <si>
    <t>On-Peak=&gt;</t>
  </si>
  <si>
    <t>&lt;=on-peak=&gt;</t>
  </si>
  <si>
    <t>Off-Peak=&gt;</t>
  </si>
  <si>
    <t>&lt;=off-peak=&gt;</t>
  </si>
  <si>
    <t>Average=&gt;</t>
  </si>
  <si>
    <t>summer MWh =</t>
  </si>
  <si>
    <t>First Block (0-600 kWh/month)=&gt;</t>
  </si>
  <si>
    <t>Second Block (&gt;600 kWh/month)=&gt;</t>
  </si>
  <si>
    <t>PJM based kWh</t>
  </si>
  <si>
    <t>Winter MWh =&gt;</t>
  </si>
  <si>
    <t>on-peak=&gt;</t>
  </si>
  <si>
    <t>off-peak=&gt;</t>
  </si>
  <si>
    <t>OPWH</t>
  </si>
  <si>
    <t>CTWH Total</t>
  </si>
  <si>
    <t>CTWH GS</t>
  </si>
  <si>
    <t>CTWH RS</t>
  </si>
  <si>
    <t>CTWH RSH</t>
  </si>
  <si>
    <t>WH On</t>
  </si>
  <si>
    <t>WH Off</t>
  </si>
  <si>
    <t>Table #4</t>
  </si>
  <si>
    <t>Forwards Prices - Energy Only @ bulk system</t>
  </si>
  <si>
    <t>Table #5</t>
  </si>
  <si>
    <t>Zone-Hub Basis Differential</t>
  </si>
  <si>
    <t>Summer MWh =&gt;</t>
  </si>
  <si>
    <t>in $/MWh</t>
  </si>
  <si>
    <t>Based on 3 Year Average</t>
  </si>
  <si>
    <t>Initial</t>
  </si>
  <si>
    <t>Adjusted</t>
  </si>
  <si>
    <t>On-Peak</t>
  </si>
  <si>
    <t>Off-Peak</t>
  </si>
  <si>
    <t>Delta between PJM and Tariff based On-Peak kWh</t>
  </si>
  <si>
    <t>Winter</t>
  </si>
  <si>
    <t>On-peak kWh=&gt;</t>
  </si>
  <si>
    <t>Associated $=&gt;</t>
  </si>
  <si>
    <t>Summer</t>
  </si>
  <si>
    <t>Average Daily</t>
  </si>
  <si>
    <t>Table #6</t>
  </si>
  <si>
    <t>Losses</t>
  </si>
  <si>
    <t>On-Peak PJM</t>
  </si>
  <si>
    <t>On-peak</t>
  </si>
  <si>
    <t>Hours Mon=&gt;Fri</t>
  </si>
  <si>
    <t>Hours</t>
  </si>
  <si>
    <t>%</t>
  </si>
  <si>
    <t>Loss Factors =</t>
  </si>
  <si>
    <t>Expansion Factor =</t>
  </si>
  <si>
    <t>CTWH</t>
  </si>
  <si>
    <t>Loss Factors from Transmission Nodes =</t>
  </si>
  <si>
    <t>Expansion Factor to Transmission Nodes =</t>
  </si>
  <si>
    <t>Table #7</t>
  </si>
  <si>
    <t>Summary of Average BGS Energy Only Unit Costs @ customer - PJM Time Periods</t>
  </si>
  <si>
    <t>based on Forwards prices corrected for zone-hub differential and losses - PJM time periods</t>
  </si>
  <si>
    <t>=</t>
  </si>
  <si>
    <t>So</t>
  </si>
  <si>
    <t>Loss w/o EHV ===&gt;</t>
  </si>
  <si>
    <t>Summer - all hrs</t>
  </si>
  <si>
    <t>(1 - Loss w/o EHV) * (1-0.4661%)</t>
  </si>
  <si>
    <t>PJM on pk</t>
  </si>
  <si>
    <t>PJM off pk</t>
  </si>
  <si>
    <t>Winter - all hrs</t>
  </si>
  <si>
    <t>(1-1.2179%)</t>
  </si>
  <si>
    <t>Annual</t>
  </si>
  <si>
    <t>System Total</t>
  </si>
  <si>
    <t>Table #8</t>
  </si>
  <si>
    <t>Summary of Average BGS Energy Only Costs @ customer - PJM Time Periods</t>
  </si>
  <si>
    <t>based on Forwards prices corrected for zone-hub differential and losses</t>
  </si>
  <si>
    <t>in $1000</t>
  </si>
  <si>
    <t>Table #9</t>
  </si>
  <si>
    <t>Summary of Average BGS Energy Only Unit Costs @ customer - JCP&amp;L Time Periods</t>
  </si>
  <si>
    <t>MWhs in JCP&amp;L time periods</t>
  </si>
  <si>
    <t>MWhs in PJM time periods</t>
  </si>
  <si>
    <t>Difference in MWhs</t>
  </si>
  <si>
    <t>Check on total $ recovered</t>
  </si>
  <si>
    <t>based on Forwards prices corrected for zone-hub differential and losses - JCP&amp;L billing time periods</t>
  </si>
  <si>
    <t>(PJM - JCP&amp;L)</t>
  </si>
  <si>
    <t>JCP&amp;L time periods</t>
  </si>
  <si>
    <t>PJM time periods (Table #8)</t>
  </si>
  <si>
    <t>JCP&amp;L On pk</t>
  </si>
  <si>
    <t>JCP&amp;L Off pk</t>
  </si>
  <si>
    <t>Annual Average</t>
  </si>
  <si>
    <t>System Average</t>
  </si>
  <si>
    <t>Table #10</t>
  </si>
  <si>
    <t>Generation &amp; Transmission Obligations and Costs and Other Adjustments</t>
  </si>
  <si>
    <t>For Proof</t>
  </si>
  <si>
    <t>For Calculation</t>
  </si>
  <si>
    <t>Proof</t>
  </si>
  <si>
    <t>BGS-RSCP</t>
  </si>
  <si>
    <t>in MW</t>
  </si>
  <si>
    <t>TOTAL</t>
  </si>
  <si>
    <t>Average</t>
  </si>
  <si>
    <t>Gen Obl - MW</t>
  </si>
  <si>
    <t>Trans Obl - MW</t>
  </si>
  <si>
    <t xml:space="preserve">Not applicable for JCP&amp;L - Transmission rates are based on Retail Tariff rates for the respective rate classes </t>
  </si>
  <si>
    <t># of Months and Days used in this analysis</t>
  </si>
  <si>
    <t># of summer days =</t>
  </si>
  <si>
    <t># of summer months =</t>
  </si>
  <si>
    <t># of winter days =</t>
  </si>
  <si>
    <t># of winter months =</t>
  </si>
  <si>
    <t>total # months =</t>
  </si>
  <si>
    <t>Transmission charges will be based on Retail Tariff rates for the applicable rate schedules</t>
  </si>
  <si>
    <t>Generation Capacity cost</t>
  </si>
  <si>
    <t>$/MW/day</t>
  </si>
  <si>
    <t>Summer Total</t>
  </si>
  <si>
    <t>Winter Total</t>
  </si>
  <si>
    <t>Annual Total</t>
  </si>
  <si>
    <t>Residential summer BGS + Transmission charge differential</t>
  </si>
  <si>
    <t>per BPU and summer blocking percentages</t>
  </si>
  <si>
    <t>Charges</t>
  </si>
  <si>
    <t>% usage</t>
  </si>
  <si>
    <t>Block 1 (0-600 kWh/m)</t>
  </si>
  <si>
    <t>Block 2 (&gt;600 kWh/m)</t>
  </si>
  <si>
    <t>Differential (Excl. SUT)</t>
  </si>
  <si>
    <t>¢/kWh</t>
  </si>
  <si>
    <t>Table #11</t>
  </si>
  <si>
    <t>Ancillary Services</t>
  </si>
  <si>
    <t>Forecasted Ancillary Services Cost</t>
  </si>
  <si>
    <t>$/MWh</t>
  </si>
  <si>
    <t>Renewable Portfolio Standard Cost</t>
  </si>
  <si>
    <t>forecasted overall annual average</t>
  </si>
  <si>
    <t>Table #12</t>
  </si>
  <si>
    <t>Summary of Obligation Costs Expressed as $/MWh @ customer</t>
  </si>
  <si>
    <t>Transmission Obl - all months</t>
  </si>
  <si>
    <t>PTY 17 at Jan 2019</t>
  </si>
  <si>
    <t>Generation Obl $/MWh - all months</t>
  </si>
  <si>
    <t>Generation Obl $/MWh - Summer - All Hours</t>
  </si>
  <si>
    <t>Generation Obl $/MWh - Summer - On-Peak Hours</t>
  </si>
  <si>
    <t>Generation Obl $/MWh - Winter - All Hours</t>
  </si>
  <si>
    <t>Generation Obl $/MWh - Winter - On-Peak Hours</t>
  </si>
  <si>
    <t>Table #13</t>
  </si>
  <si>
    <t>Summary of BGS Unit Costs @ customer</t>
  </si>
  <si>
    <t>NON-DEMAND RATES</t>
  </si>
  <si>
    <t>includes energy, Generation and Transmission obligations, and Ancillary Services - adjusted to billing time periods</t>
  </si>
  <si>
    <t>Annual -all hrs</t>
  </si>
  <si>
    <t>DEMAND RATES</t>
  </si>
  <si>
    <t>includes energy and Ancillary Services, G&amp;T obligations charged separately - adjusted to billing time periods</t>
  </si>
  <si>
    <t>JCP&amp;L does not have a demand component in its BGS charges</t>
  </si>
  <si>
    <t>Table #14</t>
  </si>
  <si>
    <t>Units @ Customer</t>
  </si>
  <si>
    <t>in kWh</t>
  </si>
  <si>
    <t>Table #15</t>
  </si>
  <si>
    <t>Summary of Total Estimated BGS Costs by Season</t>
  </si>
  <si>
    <t>Total Costs by Rate - in $1000</t>
  </si>
  <si>
    <t>Total Costs - in $1000</t>
  </si>
  <si>
    <t>% of Annual Total $</t>
  </si>
  <si>
    <t>Table #15A</t>
  </si>
  <si>
    <t>Summary of Total Estimated BGS Costs by Season excluding Transmission</t>
  </si>
  <si>
    <t>Table #16</t>
  </si>
  <si>
    <t>Customer &amp; Bulk System Costs</t>
  </si>
  <si>
    <t>Customer Costs Per Allocation Matrix</t>
  </si>
  <si>
    <t>Grand Total Cost in $1000 =</t>
  </si>
  <si>
    <t>Seasonal Units</t>
  </si>
  <si>
    <t>Seasonal</t>
  </si>
  <si>
    <t>Price per MWH</t>
  </si>
  <si>
    <t>Post Transition Year 17 Bid price</t>
  </si>
  <si>
    <t>Factor</t>
  </si>
  <si>
    <t>Units</t>
  </si>
  <si>
    <t>Payment</t>
  </si>
  <si>
    <t>Seasonally Adjusted Summer Payment</t>
  </si>
  <si>
    <t>Seasonally Adjusted Winter Payment</t>
  </si>
  <si>
    <t>Total Supplier Payment</t>
  </si>
  <si>
    <t>Table #17</t>
  </si>
  <si>
    <t>Adjustment Factor Calculation</t>
  </si>
  <si>
    <t>Adjustment</t>
  </si>
  <si>
    <t>Supplier</t>
  </si>
  <si>
    <t>Allocated Customer Costs on a per MWh basis (on bulk system MWhs):</t>
  </si>
  <si>
    <t>Calculation</t>
  </si>
  <si>
    <t>per MWh @ bulk system</t>
  </si>
  <si>
    <t>Assumptions:</t>
  </si>
  <si>
    <t>Generation Capacity Cost =</t>
  </si>
  <si>
    <t>per MW day Summer</t>
  </si>
  <si>
    <t>per MW day Winter</t>
  </si>
  <si>
    <t>Transmission cost =</t>
  </si>
  <si>
    <t>Transmission retail tariff rates for the applicable rate schedules to be excluded</t>
  </si>
  <si>
    <t>Analysis time period =</t>
  </si>
  <si>
    <t>summer months</t>
  </si>
  <si>
    <t>winter months</t>
  </si>
  <si>
    <t>Ancillary Services =</t>
  </si>
  <si>
    <t>per MWh</t>
  </si>
  <si>
    <t>Energy Costs =</t>
  </si>
  <si>
    <t xml:space="preserve"> Based on Forwards prices @ PJM West corrected for hub-zone basis differential (both based on the figures used to derive the </t>
  </si>
  <si>
    <t>Usage patterns =</t>
  </si>
  <si>
    <t>Obligations =</t>
  </si>
  <si>
    <t>Losses =</t>
  </si>
  <si>
    <t xml:space="preserve"> Consistent with Losses as approved by the BPU</t>
  </si>
  <si>
    <t>PJM Time Periods =</t>
  </si>
  <si>
    <t xml:space="preserve"> PJM trading time periods - 7 AM to 11 PM weekdays, local time, excluding NERC </t>
  </si>
  <si>
    <t xml:space="preserve">     holidays - New Year's, Memorial, 4th of July, Labor Day, Thanksgiving &amp; Christmas</t>
  </si>
  <si>
    <t>JCP&amp;L Billing time periods =</t>
  </si>
  <si>
    <t>RT On-peak hours are 8 am to 8 pm Eastern Standard Time, Monday through Friday.</t>
  </si>
  <si>
    <t>GST On-peak hours are 8 am to 8 pm prevailing time, Monday through Friday.</t>
  </si>
  <si>
    <t>The Holidays identified by PJM are not excluded from the RT or GST Billing On-Peak kWh.</t>
  </si>
  <si>
    <t>NJ Sales and Use Tax (SUT) =</t>
  </si>
  <si>
    <t>SUT excluded from all costs</t>
  </si>
  <si>
    <t>2020/2021 BGS Supply Period Estimated Supplier Payments Allocated by Rate Class</t>
  </si>
  <si>
    <t>(1-1.2294%)</t>
  </si>
  <si>
    <t>PTY18 @ Jan 2020</t>
  </si>
  <si>
    <t>Post Transition Year 18 Bid price</t>
  </si>
  <si>
    <t>Transmission charges retail tariff rates for the applicable rate schedules to be excluded</t>
  </si>
  <si>
    <t>2021 BGS Auction Cost and Bid Factor Tables</t>
  </si>
  <si>
    <t>2021/2022 BGS Supply Period Estimated Supplier Payments Allocated by Rate Class</t>
  </si>
  <si>
    <t>JC Tariff Based mWh</t>
  </si>
  <si>
    <t>RS Excluding</t>
  </si>
  <si>
    <t>RT (w/o RGT)</t>
  </si>
  <si>
    <t>RT\RGT\WH</t>
  </si>
  <si>
    <t>GS RSCP</t>
  </si>
  <si>
    <t>GST RSCP</t>
  </si>
  <si>
    <t>mWh</t>
  </si>
  <si>
    <t>WH Average =&gt;</t>
  </si>
  <si>
    <t>WH Average=&gt;</t>
  </si>
  <si>
    <t xml:space="preserve">  </t>
  </si>
  <si>
    <t>WH OnPeak MWH</t>
  </si>
  <si>
    <t>WH OffPeak MWH</t>
  </si>
  <si>
    <t>Off/On Pk</t>
  </si>
  <si>
    <t>LMP ratio</t>
  </si>
  <si>
    <t>1st</t>
  </si>
  <si>
    <t>2nd</t>
  </si>
  <si>
    <t>total</t>
  </si>
  <si>
    <t>Loss Factors @ Bulk =</t>
  </si>
  <si>
    <t>RSH</t>
  </si>
  <si>
    <t>Expansion Factors @ Bulk =</t>
  </si>
  <si>
    <t>Total RS</t>
  </si>
  <si>
    <t>Loss Factors @ Transmission Node =</t>
  </si>
  <si>
    <t>Expansion Factors @ Transmission Node =</t>
  </si>
  <si>
    <t>(1-1.2524%)</t>
  </si>
  <si>
    <t>PTY19</t>
  </si>
  <si>
    <t>Change of kWh</t>
  </si>
  <si>
    <t xml:space="preserve">Change of kW </t>
  </si>
  <si>
    <t>Total Forecasted Ancillary Services &amp; Renewable Power Costs</t>
  </si>
  <si>
    <t>includes Energy, Generation Obligations, and Ancillary Services - adjusted to billing time periods</t>
  </si>
  <si>
    <t>includes Energy and Ancillary Services, Generation Obligations charged separately - adjusted to billing time periods</t>
  </si>
  <si>
    <t>\</t>
  </si>
  <si>
    <t>@ Bulk mwh</t>
  </si>
  <si>
    <t>@ Transmission</t>
  </si>
  <si>
    <t>Table #16 &amp; Table #17</t>
  </si>
  <si>
    <t>Not Applicable to 2021/2022 BGS Supply Period</t>
  </si>
  <si>
    <t>Table #18</t>
  </si>
  <si>
    <t>Bulk System Costs</t>
  </si>
  <si>
    <t>ALL RATES</t>
  </si>
  <si>
    <t>per MWh at bulk system (per bulk system metered MWh)</t>
  </si>
  <si>
    <t>per MWh at transmission nodes (per transmission nodes metered MWh)</t>
  </si>
  <si>
    <t>Table #19</t>
  </si>
  <si>
    <t>Seasonal Payment Factors</t>
  </si>
  <si>
    <t xml:space="preserve">         If total $ were split on a per MWh basis (on bulk nodes MWhs):</t>
  </si>
  <si>
    <t>Zero, as Transmission product will be excluded from BGS product starting June 1, 2021.</t>
  </si>
  <si>
    <t>Ancillary Services and Renewable Power Cost =</t>
  </si>
  <si>
    <t xml:space="preserve">Loss = </t>
  </si>
  <si>
    <t>Consistent with Losses as approved by the BPU</t>
  </si>
  <si>
    <t xml:space="preserve">PJM Marginal Losses = </t>
  </si>
  <si>
    <t>PJM's calculated mean value of hourly marginal loss factor</t>
  </si>
  <si>
    <t>BGS-RSCP Composite Cost Allocation</t>
  </si>
  <si>
    <t>Table #C1</t>
  </si>
  <si>
    <t>Post Transition Year 17 Costs w/o Transmission</t>
  </si>
  <si>
    <t>Size of Tranches =</t>
  </si>
  <si>
    <t>in $1,000's</t>
  </si>
  <si>
    <t>Table #C2</t>
  </si>
  <si>
    <t>Post Transition Year 18 Costs w/o Transmission</t>
  </si>
  <si>
    <t>Table #C3</t>
  </si>
  <si>
    <t>Post Transition Year 19 Costs w/o Transmission</t>
  </si>
  <si>
    <t>Table #C4</t>
  </si>
  <si>
    <t>Composite (Tranche Weighted) Costs w/o Transmission</t>
  </si>
  <si>
    <t/>
  </si>
  <si>
    <t>Table #C5</t>
  </si>
  <si>
    <t>Fixed Unit Cost Adjustment</t>
  </si>
  <si>
    <t>Table #C6</t>
  </si>
  <si>
    <t>includes Energy, Generation obligations, and Ancillary Services - adjusted to billing time periods</t>
  </si>
  <si>
    <t>Table #C7</t>
  </si>
  <si>
    <t>Constant for Block 1 (0-600 kWh/m) usage (Excl. SUT)</t>
  </si>
  <si>
    <t>Constant for Block 2 (&gt;600 kWh/m) usage (Excl. SUT)</t>
  </si>
  <si>
    <t>Annual - all hrs</t>
  </si>
  <si>
    <t>Attachment 3 - Page 1 of 3</t>
  </si>
  <si>
    <t>Development of Capacity Proxy Price True-Up $/MWh 
and Calculation of Composite BGS-RSCP Price</t>
  </si>
  <si>
    <t>Table A - 2021/2022 Delivery Year</t>
  </si>
  <si>
    <t>2021/2022
Delivery Year</t>
  </si>
  <si>
    <t>Notes:</t>
  </si>
  <si>
    <t>Capacity Proxy Price ($/MW-day)</t>
  </si>
  <si>
    <t>Capacity Proxy Price True-Up - $/MW-day</t>
  </si>
  <si>
    <t>Line 1 - Line2</t>
  </si>
  <si>
    <t>Total BGS-RSCP Gen Obl - MW</t>
  </si>
  <si>
    <t>Days in BGS Delivery Year</t>
  </si>
  <si>
    <t xml:space="preserve">Capacity Proxy Price True-Up Annual Cost </t>
  </si>
  <si>
    <t>= line 3 * line 4 * line 5</t>
  </si>
  <si>
    <t>Eligible Tranches</t>
  </si>
  <si>
    <t>Total Tranches</t>
  </si>
  <si>
    <t>% of tranches eligible for Payment</t>
  </si>
  <si>
    <t>= line 7/ line 8</t>
  </si>
  <si>
    <t>Capacity Proxy Price True-Up Cost</t>
  </si>
  <si>
    <t>= line 6 * line 9</t>
  </si>
  <si>
    <r>
      <t xml:space="preserve">Total Applicable Customer Usage 
@ transmission nodes </t>
    </r>
    <r>
      <rPr>
        <b/>
        <i/>
        <sz val="10"/>
        <rFont val="Arial"/>
        <family val="2"/>
      </rPr>
      <t xml:space="preserve">- </t>
    </r>
    <r>
      <rPr>
        <i/>
        <sz val="10"/>
        <rFont val="Arial"/>
        <family val="2"/>
      </rPr>
      <t>in MWh</t>
    </r>
  </si>
  <si>
    <r>
      <t>Eligible customer Usage 
@ transmission nodes -</t>
    </r>
    <r>
      <rPr>
        <i/>
        <sz val="10"/>
        <rFont val="Arial"/>
        <family val="2"/>
      </rPr>
      <t xml:space="preserve"> in MWh</t>
    </r>
  </si>
  <si>
    <t>= line 9 * line 11</t>
  </si>
  <si>
    <t>Capacity Proxy Price True-Up - $/MWh</t>
  </si>
  <si>
    <t>= line 10 / line 12 (rounded to 2 decimal places)</t>
  </si>
  <si>
    <t>NJ Sales and Use Tax (SUT) excluded</t>
  </si>
  <si>
    <t>Jersey Central Power and Light</t>
  </si>
  <si>
    <t>Calculation of Composite BGS-RSCP Price</t>
  </si>
  <si>
    <t>June 1, 2021 through May 31, 2022</t>
  </si>
  <si>
    <t>Total
BGS-RSCP
Cost</t>
  </si>
  <si>
    <t>2019 Auction</t>
  </si>
  <si>
    <t>2020 Auction</t>
  </si>
  <si>
    <t>2021 Auction</t>
  </si>
  <si>
    <t>1 Year Term Remaining</t>
  </si>
  <si>
    <t>2 Year Term Remaining</t>
  </si>
  <si>
    <t>3 Year Term</t>
  </si>
  <si>
    <t>Final Auction Price - in $/MWh</t>
  </si>
  <si>
    <t>Capacity Proxy Price True-Up - in $/MWh</t>
  </si>
  <si>
    <t>JCPL Transmission Cost - in $/MWh (2)</t>
  </si>
  <si>
    <t>Total # of Tranches</t>
  </si>
  <si>
    <t>Size of Tranches</t>
  </si>
  <si>
    <t>Seasonal Factors</t>
  </si>
  <si>
    <t>Applicable Customer Usage
@ transmission node</t>
  </si>
  <si>
    <t>Summer MWh</t>
  </si>
  <si>
    <t>Winter MWh</t>
  </si>
  <si>
    <t>All-in BGS-RSCP Cost</t>
  </si>
  <si>
    <t>Composite Bid Price</t>
  </si>
  <si>
    <t>(Rounded to 2 decimals)</t>
  </si>
  <si>
    <t>(2) Attachment 4 - Development of Transmission Cost included Bid Prices of 2019 and 2020 Auctions.</t>
  </si>
  <si>
    <t>Attachment 3 - Page 2 of 3</t>
  </si>
  <si>
    <t>Table A - 2022/2023 Delivery Year - Illustrative Only</t>
  </si>
  <si>
    <t>2022/2023
Delivery Year</t>
  </si>
  <si>
    <t xml:space="preserve">   </t>
  </si>
  <si>
    <t>Table #14 * Table #6 from 2021 BGS Auction Cost and Bid Factor Tables - Illustrative Only</t>
  </si>
  <si>
    <t>June 1, 2022 through May 31, 2023 - Illustrative Only</t>
  </si>
  <si>
    <t>2022 Auction</t>
  </si>
  <si>
    <t>L/(H+I), Rounded to 2 decimals</t>
  </si>
  <si>
    <t>Attachment 3 - Page 3 of 3</t>
  </si>
  <si>
    <t>Table A - 2023/2024 Delivery Year - Illustrative Only</t>
  </si>
  <si>
    <t>2023/2024
Delivery Year</t>
  </si>
  <si>
    <t xml:space="preserve"> Line 1 - Line2</t>
  </si>
  <si>
    <t>June 1, 2023 through May 31, 2024 - Illustrative Only</t>
  </si>
  <si>
    <t>2023 Auction</t>
  </si>
  <si>
    <t>Attachment 4</t>
  </si>
  <si>
    <t>Development of Assumed Transmission Cost in Bids During 2019 and 2020 BGS Auction</t>
  </si>
  <si>
    <t>line #</t>
  </si>
  <si>
    <t>Tranche %</t>
  </si>
  <si>
    <t xml:space="preserve">BGS RSCP Eligible Transmission Obligations (MW) </t>
  </si>
  <si>
    <t>Allocated Transmission Obligation (MW)</t>
  </si>
  <si>
    <t>NITS Rate ($/MW-yr)</t>
  </si>
  <si>
    <t>Payment ($/yr)</t>
  </si>
  <si>
    <t>Total Usage @ Transmission Node (MWh)</t>
  </si>
  <si>
    <t>Allocated Usage @ Transmission Node(MWh)</t>
  </si>
  <si>
    <t>Transmission Price ($/MWh) (Rounded to 2 decimals)</t>
  </si>
  <si>
    <t>Updated EHV based on 062013 - 052016</t>
  </si>
  <si>
    <t>Average costs @ bulk system =</t>
  </si>
  <si>
    <t>Ratio to Average Cost (rounded to 4 decimal places)</t>
  </si>
  <si>
    <t>Ratio to Average Cost (If Winter is greater than Summer)</t>
  </si>
  <si>
    <t>Ratio of BGS Unit Costs @ customer to  Average Cost @ transmission nodes (rounded to 3 decimal places)</t>
  </si>
  <si>
    <t>Average costs @ transmission nodes =</t>
  </si>
  <si>
    <t>Zonal Capacity Price ($/MW-day) - JCPL Zone</t>
  </si>
  <si>
    <t>JCPL Transmission Cost - in $/MWh (1)</t>
  </si>
  <si>
    <t>(1) Attachment 4 - Development of Transmission Cost included in 2019 and 2020 Auctions.</t>
  </si>
  <si>
    <t>as may be determined by the RPM or its successor or otherwise</t>
  </si>
  <si>
    <t>(1) as may be determined by the RPM or its successor or otherwise</t>
  </si>
  <si>
    <t>BGS Post Transition
Year 17</t>
  </si>
  <si>
    <t>BGS Post Transition
Year 18</t>
  </si>
  <si>
    <r>
      <t xml:space="preserve">Table #14 * Table #6 from </t>
    </r>
    <r>
      <rPr>
        <sz val="10"/>
        <rFont val="Arial"/>
        <family val="2"/>
      </rPr>
      <t>2021 BGS Auction Cost and Bid Factor Tables - Illustrative Only</t>
    </r>
  </si>
  <si>
    <t>BGS Post Transition
Year 19</t>
  </si>
  <si>
    <t>BGS Post Transition
Year 20</t>
  </si>
  <si>
    <t>BGS Post Transition
Year 21</t>
  </si>
  <si>
    <r>
      <t xml:space="preserve">Table #10 of the </t>
    </r>
    <r>
      <rPr>
        <sz val="10"/>
        <rFont val="Arial"/>
        <family val="2"/>
      </rPr>
      <t>2021 BGS Auction Cost and Bid Factor Tables - Illustrative Only</t>
    </r>
  </si>
  <si>
    <r>
      <t xml:space="preserve">Table #10 of the </t>
    </r>
    <r>
      <rPr>
        <sz val="10"/>
        <rFont val="Arial"/>
        <family val="2"/>
      </rPr>
      <t>2021 BGS Auction Cost and Bid Factor Tables</t>
    </r>
  </si>
  <si>
    <r>
      <t xml:space="preserve">Table #14 * Table #6 from </t>
    </r>
    <r>
      <rPr>
        <sz val="10"/>
        <rFont val="Arial"/>
        <family val="2"/>
      </rPr>
      <t>2021 BGS Auction Cost and Bid Factor Tables</t>
    </r>
  </si>
  <si>
    <t>Forecasted 2020 kWh</t>
  </si>
  <si>
    <t>Based on an average of 2017 through 2019 Load Profile Information</t>
  </si>
  <si>
    <t>2020 Forecasted Calendar Month Sales</t>
  </si>
  <si>
    <t>Delivery kWh</t>
  </si>
  <si>
    <r>
      <t xml:space="preserve">{4} The GS and GST units exclude the units associated with the </t>
    </r>
    <r>
      <rPr>
        <sz val="10"/>
        <rFont val="Arial"/>
        <family val="2"/>
      </rPr>
      <t>500 kW and above PLS accounts that will be required to take service under BGS-CIEP</t>
    </r>
  </si>
  <si>
    <r>
      <t xml:space="preserve">NERA Marginal Loss De-Ration Factors based on </t>
    </r>
    <r>
      <rPr>
        <sz val="10"/>
        <rFont val="Arial"/>
        <family val="2"/>
      </rPr>
      <t>May 2017 to April 2020 Data ===&gt;</t>
    </r>
  </si>
  <si>
    <r>
      <t xml:space="preserve"> based on </t>
    </r>
    <r>
      <rPr>
        <sz val="10"/>
        <rFont val="Arial"/>
        <family val="2"/>
      </rPr>
      <t>6/20 to 5/21 Forwards @ PJM West corrected for hub-zone basis differential</t>
    </r>
  </si>
  <si>
    <r>
      <t xml:space="preserve"> forecasted </t>
    </r>
    <r>
      <rPr>
        <sz val="10"/>
        <rFont val="Arial"/>
        <family val="2"/>
      </rPr>
      <t>2020 energy use by class based upon PJM on/off % from 2017 through 2019 class load profiles</t>
    </r>
  </si>
  <si>
    <r>
      <t xml:space="preserve">   JCP&amp;L billing on/off % from </t>
    </r>
    <r>
      <rPr>
        <sz val="10"/>
        <rFont val="Arial"/>
        <family val="2"/>
      </rPr>
      <t>2020 forecasted billing determinants</t>
    </r>
  </si>
  <si>
    <r>
      <t xml:space="preserve"> class totals for </t>
    </r>
    <r>
      <rPr>
        <sz val="10"/>
        <rFont val="Arial"/>
        <family val="2"/>
      </rPr>
      <t>2020 excluding accounts required to take service under BGS-CIEP as of June 1, 2021</t>
    </r>
  </si>
  <si>
    <r>
      <t xml:space="preserve">NERA Marginal Loss De-Ration Factors based on </t>
    </r>
    <r>
      <rPr>
        <sz val="10"/>
        <rFont val="Arial"/>
        <family val="2"/>
      </rPr>
      <t>May 2016 to April 2019 Data ===&gt;</t>
    </r>
  </si>
  <si>
    <r>
      <t xml:space="preserve">Supplier Payment </t>
    </r>
    <r>
      <rPr>
        <sz val="10"/>
        <rFont val="Arial"/>
        <family val="2"/>
      </rPr>
      <t>in $1000</t>
    </r>
  </si>
  <si>
    <r>
      <t xml:space="preserve"> Bid Factors and establish retail rates in Post Transition Year </t>
    </r>
    <r>
      <rPr>
        <sz val="10"/>
        <rFont val="Arial"/>
        <family val="2"/>
      </rPr>
      <t>18 and adjusted to match the total cost at the actual supplier bid price.</t>
    </r>
  </si>
  <si>
    <r>
      <t xml:space="preserve">NERA Marginal Loss De-Ration Factors based on </t>
    </r>
    <r>
      <rPr>
        <sz val="10"/>
        <rFont val="Arial"/>
        <family val="2"/>
      </rPr>
      <t>May 2015 to April 2018 Data ===&gt;</t>
    </r>
  </si>
  <si>
    <r>
      <t xml:space="preserve"> Bid Factors and establish retail rates in Post Transition Year </t>
    </r>
    <r>
      <rPr>
        <sz val="10"/>
        <rFont val="Arial"/>
        <family val="2"/>
      </rPr>
      <t>17 and adjusted to match the total cost at the actual supplier bid price.</t>
    </r>
  </si>
  <si>
    <t>(1) Based on PJM 2021-22 Second Incremental Auction for illustration purpose. Will be updated with Final Zonal Capacity Price when available for delivery year 2021/2022.</t>
  </si>
  <si>
    <t>BGS Order Docket No. ER20030190 dated Nov. 18, 2020</t>
  </si>
  <si>
    <t>Forecast 2021 Delivery MWh</t>
  </si>
  <si>
    <t>obligations - annual average forecasted for 2021; costs are market estimates</t>
  </si>
  <si>
    <r>
      <t>calendar month sales forecasted for</t>
    </r>
    <r>
      <rPr>
        <b/>
        <i/>
        <sz val="10"/>
        <rFont val="Arial"/>
        <family val="2"/>
      </rPr>
      <t xml:space="preserve">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</si>
</sst>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#,##0.000"/>
    <numFmt numFmtId="167" formatCode="_(&quot;$&quot;* #,##0_);_(&quot;$&quot;* \(#,##0\);_(&quot;$&quot;* &quot;-&quot;??_);_(@_)"/>
    <numFmt numFmtId="168" formatCode="0.0000%"/>
    <numFmt numFmtId="169" formatCode="_(&quot;$&quot;* #,##0.000_);_(&quot;$&quot;* \(#,##0.000\);_(&quot;$&quot;* &quot;-&quot;??_);_(@_)"/>
    <numFmt numFmtId="170" formatCode="#,##0.0"/>
    <numFmt numFmtId="171" formatCode="0.0000"/>
    <numFmt numFmtId="172" formatCode="&quot;$&quot;#,##0.00"/>
    <numFmt numFmtId="173" formatCode="&quot;$&quot;#,##0.000"/>
    <numFmt numFmtId="174" formatCode="_(&quot;$&quot;* #,##0.0000_);_(&quot;$&quot;* \(#,##0.0000\);_(&quot;$&quot;* &quot;-&quot;??_);_(@_)"/>
    <numFmt numFmtId="175" formatCode="_(* #,##0_);_(* \(#,##0\);_(* &quot;-&quot;??_);_(@_)"/>
    <numFmt numFmtId="176" formatCode="0.000"/>
    <numFmt numFmtId="177" formatCode="_(* #,##0.0000_);_(* \(#,##0.0000\);_(* &quot;-&quot;??_);_(@_)"/>
    <numFmt numFmtId="178" formatCode="_(* #,##0.000000_);_(* \(#,##0.000000\);_(* &quot;-&quot;??_);_(@_)"/>
    <numFmt numFmtId="179" formatCode="_(* #,##0.00000_);_(* \(#,##0.00000\);_(* &quot;-&quot;??_);_(@_)"/>
    <numFmt numFmtId="180" formatCode="0.0"/>
    <numFmt numFmtId="181" formatCode="0.000%"/>
    <numFmt numFmtId="182" formatCode="0.000000%"/>
    <numFmt numFmtId="183" formatCode="_(* #,##0.0_);_(* \(#,##0.0\);_(* &quot;-&quot;??_);_(@_)"/>
    <numFmt numFmtId="184" formatCode="mm/dd/yy;@"/>
    <numFmt numFmtId="185" formatCode="&quot;$&quot;#,##0"/>
    <numFmt numFmtId="186" formatCode="_(* #,##0.000_);_(* \(#,##0.000\);_(* &quot;-&quot;??_);_(@_)"/>
    <numFmt numFmtId="187" formatCode="_(&quot;$&quot;* #,##0.000000_);_(&quot;$&quot;* \(#,##0.000000\);_(&quot;$&quot;* &quot;-&quot;??_);_(@_)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sz val="12"/>
      <name val="Calibri"/>
      <family val="2"/>
      <scheme val="minor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9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4" fillId="0" borderId="0" xfId="0" quotePrefix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quotePrefix="1" applyFont="1"/>
    <xf numFmtId="0" fontId="4" fillId="0" borderId="0" xfId="0" applyFont="1" applyAlignment="1">
      <alignment horizontal="center"/>
    </xf>
    <xf numFmtId="9" fontId="5" fillId="0" borderId="0" xfId="3" applyFont="1" applyFill="1"/>
    <xf numFmtId="17" fontId="4" fillId="0" borderId="0" xfId="0" applyNumberFormat="1" applyFont="1"/>
    <xf numFmtId="0" fontId="7" fillId="0" borderId="0" xfId="0" applyFont="1" applyAlignment="1">
      <alignment horizontal="center"/>
    </xf>
    <xf numFmtId="168" fontId="0" fillId="0" borderId="17" xfId="3" applyNumberFormat="1" applyFont="1" applyFill="1" applyBorder="1"/>
    <xf numFmtId="167" fontId="8" fillId="0" borderId="0" xfId="2" applyNumberFormat="1" applyFont="1" applyFill="1"/>
    <xf numFmtId="9" fontId="0" fillId="0" borderId="0" xfId="3" applyFont="1" applyFill="1" applyAlignment="1">
      <alignment horizontal="righ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" fontId="7" fillId="0" borderId="0" xfId="0" applyNumberFormat="1" applyFont="1"/>
    <xf numFmtId="175" fontId="7" fillId="0" borderId="0" xfId="1" applyNumberFormat="1" applyFont="1" applyFill="1"/>
    <xf numFmtId="43" fontId="4" fillId="0" borderId="0" xfId="1" quotePrefix="1" applyFont="1" applyFill="1" applyBorder="1"/>
    <xf numFmtId="167" fontId="0" fillId="0" borderId="0" xfId="2" applyNumberFormat="1" applyFont="1" applyFill="1"/>
    <xf numFmtId="168" fontId="0" fillId="0" borderId="0" xfId="3" applyNumberFormat="1" applyFont="1" applyFill="1"/>
    <xf numFmtId="181" fontId="0" fillId="0" borderId="0" xfId="3" applyNumberFormat="1" applyFont="1" applyFill="1"/>
    <xf numFmtId="181" fontId="0" fillId="0" borderId="0" xfId="3" quotePrefix="1" applyNumberFormat="1" applyFont="1" applyFill="1"/>
    <xf numFmtId="164" fontId="0" fillId="0" borderId="0" xfId="3" applyNumberFormat="1" applyFont="1" applyFill="1"/>
    <xf numFmtId="182" fontId="0" fillId="0" borderId="0" xfId="3" applyNumberFormat="1" applyFont="1" applyFill="1"/>
    <xf numFmtId="183" fontId="0" fillId="0" borderId="0" xfId="1" applyNumberFormat="1" applyFont="1" applyFill="1"/>
    <xf numFmtId="9" fontId="0" fillId="0" borderId="0" xfId="3" applyFont="1" applyFill="1"/>
    <xf numFmtId="175" fontId="0" fillId="0" borderId="0" xfId="1" applyNumberFormat="1" applyFont="1" applyFill="1"/>
    <xf numFmtId="175" fontId="4" fillId="0" borderId="0" xfId="1" applyNumberFormat="1" applyFont="1" applyFill="1" applyAlignment="1">
      <alignment horizontal="center"/>
    </xf>
    <xf numFmtId="175" fontId="4" fillId="0" borderId="0" xfId="1" applyNumberFormat="1" applyFont="1" applyFill="1"/>
    <xf numFmtId="44" fontId="0" fillId="0" borderId="0" xfId="2" applyFont="1" applyFill="1"/>
    <xf numFmtId="177" fontId="4" fillId="0" borderId="0" xfId="1" applyNumberFormat="1" applyFont="1" applyFill="1"/>
    <xf numFmtId="10" fontId="0" fillId="0" borderId="0" xfId="3" applyNumberFormat="1" applyFont="1" applyFill="1"/>
    <xf numFmtId="164" fontId="0" fillId="0" borderId="0" xfId="3" applyNumberFormat="1" applyFont="1" applyFill="1" applyBorder="1"/>
    <xf numFmtId="164" fontId="4" fillId="0" borderId="0" xfId="3" applyNumberFormat="1" applyFont="1" applyFill="1" applyBorder="1" applyAlignment="1" applyProtection="1">
      <alignment horizontal="right"/>
    </xf>
    <xf numFmtId="9" fontId="0" fillId="0" borderId="0" xfId="3" applyFont="1" applyFill="1" applyBorder="1"/>
    <xf numFmtId="164" fontId="4" fillId="0" borderId="0" xfId="3" applyNumberFormat="1" applyFont="1" applyFill="1" applyBorder="1"/>
    <xf numFmtId="10" fontId="0" fillId="0" borderId="0" xfId="3" applyNumberFormat="1" applyFont="1" applyFill="1" applyBorder="1"/>
    <xf numFmtId="44" fontId="0" fillId="0" borderId="0" xfId="2" applyFont="1" applyFill="1" applyBorder="1"/>
    <xf numFmtId="10" fontId="4" fillId="0" borderId="0" xfId="3" applyNumberFormat="1" applyFont="1" applyFill="1"/>
    <xf numFmtId="10" fontId="4" fillId="0" borderId="0" xfId="3" applyNumberFormat="1" applyFont="1" applyFill="1" applyAlignment="1">
      <alignment horizontal="right"/>
    </xf>
    <xf numFmtId="185" fontId="4" fillId="0" borderId="17" xfId="0" applyNumberFormat="1" applyFont="1" applyBorder="1"/>
    <xf numFmtId="44" fontId="0" fillId="0" borderId="0" xfId="2" quotePrefix="1" applyFont="1" applyFill="1"/>
    <xf numFmtId="186" fontId="4" fillId="0" borderId="0" xfId="1" quotePrefix="1" applyNumberFormat="1" applyFont="1" applyFill="1" applyBorder="1"/>
    <xf numFmtId="44" fontId="4" fillId="0" borderId="0" xfId="2" quotePrefix="1" applyFont="1" applyFill="1" applyBorder="1"/>
    <xf numFmtId="0" fontId="4" fillId="0" borderId="0" xfId="4" applyFont="1" applyAlignment="1">
      <alignment horizontal="center" wrapText="1"/>
    </xf>
    <xf numFmtId="0" fontId="4" fillId="0" borderId="0" xfId="4" applyFont="1" applyAlignment="1">
      <alignment wrapText="1"/>
    </xf>
    <xf numFmtId="0" fontId="4" fillId="0" borderId="0" xfId="4" applyFont="1" applyAlignment="1">
      <alignment vertical="top"/>
    </xf>
    <xf numFmtId="0" fontId="4" fillId="0" borderId="0" xfId="4" applyFont="1" applyAlignment="1">
      <alignment vertical="center" wrapText="1"/>
    </xf>
    <xf numFmtId="0" fontId="4" fillId="0" borderId="0" xfId="4" applyFont="1" applyAlignment="1">
      <alignment vertical="top" wrapText="1"/>
    </xf>
    <xf numFmtId="0" fontId="5" fillId="0" borderId="0" xfId="4" applyFont="1"/>
    <xf numFmtId="22" fontId="4" fillId="0" borderId="0" xfId="4" applyNumberFormat="1" applyFont="1" applyAlignment="1">
      <alignment horizontal="center"/>
    </xf>
    <xf numFmtId="22" fontId="4" fillId="0" borderId="21" xfId="4" applyNumberFormat="1" applyFont="1" applyBorder="1" applyAlignment="1">
      <alignment horizontal="center" wrapText="1"/>
    </xf>
    <xf numFmtId="22" fontId="5" fillId="0" borderId="21" xfId="4" applyNumberFormat="1" applyFont="1" applyBorder="1" applyAlignment="1">
      <alignment horizontal="center" wrapText="1"/>
    </xf>
    <xf numFmtId="22" fontId="5" fillId="0" borderId="22" xfId="4" applyNumberFormat="1" applyFont="1" applyBorder="1" applyAlignment="1">
      <alignment horizontal="center" wrapText="1"/>
    </xf>
    <xf numFmtId="0" fontId="4" fillId="0" borderId="0" xfId="4" applyFont="1"/>
    <xf numFmtId="0" fontId="7" fillId="0" borderId="0" xfId="4" applyFont="1" applyAlignment="1">
      <alignment horizontal="left"/>
    </xf>
    <xf numFmtId="0" fontId="7" fillId="0" borderId="0" xfId="4" applyFont="1" applyAlignment="1">
      <alignment horizontal="left" wrapText="1"/>
    </xf>
    <xf numFmtId="0" fontId="5" fillId="0" borderId="0" xfId="4" applyFont="1" applyAlignment="1">
      <alignment horizontal="left"/>
    </xf>
    <xf numFmtId="9" fontId="7" fillId="0" borderId="0" xfId="3" applyFont="1" applyAlignment="1">
      <alignment horizontal="left"/>
    </xf>
    <xf numFmtId="185" fontId="7" fillId="0" borderId="19" xfId="2" applyNumberFormat="1" applyFont="1" applyBorder="1"/>
    <xf numFmtId="185" fontId="8" fillId="0" borderId="19" xfId="2" applyNumberFormat="1" applyFont="1" applyBorder="1"/>
    <xf numFmtId="172" fontId="4" fillId="0" borderId="0" xfId="2" applyNumberFormat="1" applyFont="1" applyFill="1"/>
    <xf numFmtId="7" fontId="7" fillId="0" borderId="19" xfId="2" applyNumberFormat="1" applyFont="1" applyFill="1" applyBorder="1"/>
    <xf numFmtId="7" fontId="7" fillId="3" borderId="19" xfId="2" applyNumberFormat="1" applyFont="1" applyFill="1" applyBorder="1"/>
    <xf numFmtId="172" fontId="7" fillId="3" borderId="19" xfId="4" applyNumberFormat="1" applyFont="1" applyFill="1" applyBorder="1"/>
    <xf numFmtId="0" fontId="2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22" fontId="4" fillId="0" borderId="0" xfId="4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10" fontId="0" fillId="0" borderId="0" xfId="3" applyNumberFormat="1" applyFont="1"/>
    <xf numFmtId="7" fontId="4" fillId="0" borderId="0" xfId="0" applyNumberFormat="1" applyFo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186" fontId="4" fillId="0" borderId="0" xfId="1" quotePrefix="1" applyNumberFormat="1" applyFont="1" applyFill="1"/>
    <xf numFmtId="17" fontId="4" fillId="0" borderId="0" xfId="0" applyNumberFormat="1" applyFont="1" applyFill="1"/>
    <xf numFmtId="0" fontId="4" fillId="0" borderId="0" xfId="0" quotePrefix="1" applyFont="1" applyFill="1"/>
    <xf numFmtId="168" fontId="0" fillId="0" borderId="0" xfId="3" applyNumberFormat="1" applyFont="1" applyFill="1" applyBorder="1"/>
    <xf numFmtId="0" fontId="0" fillId="0" borderId="0" xfId="0" quotePrefix="1" applyFont="1" applyAlignment="1">
      <alignment horizontal="left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wrapText="1"/>
    </xf>
    <xf numFmtId="0" fontId="5" fillId="0" borderId="0" xfId="0" quotePrefix="1" applyFont="1" applyFill="1"/>
    <xf numFmtId="0" fontId="5" fillId="0" borderId="0" xfId="0" applyFont="1" applyFill="1" applyAlignment="1">
      <alignment horizontal="center"/>
    </xf>
    <xf numFmtId="17" fontId="5" fillId="0" borderId="0" xfId="0" applyNumberFormat="1" applyFont="1" applyFill="1"/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167" fontId="8" fillId="0" borderId="0" xfId="0" applyNumberFormat="1" applyFont="1" applyFill="1"/>
    <xf numFmtId="0" fontId="4" fillId="0" borderId="0" xfId="0" applyFont="1" applyFill="1" applyAlignment="1">
      <alignment horizontal="centerContinuous"/>
    </xf>
    <xf numFmtId="9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3" fontId="7" fillId="0" borderId="0" xfId="0" applyNumberFormat="1" applyFont="1" applyFill="1"/>
    <xf numFmtId="44" fontId="4" fillId="0" borderId="0" xfId="0" applyNumberFormat="1" applyFont="1" applyFill="1"/>
    <xf numFmtId="168" fontId="4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center"/>
    </xf>
    <xf numFmtId="0" fontId="13" fillId="0" borderId="0" xfId="0" applyFont="1" applyFill="1"/>
    <xf numFmtId="171" fontId="4" fillId="0" borderId="0" xfId="0" applyNumberFormat="1" applyFont="1" applyFill="1"/>
    <xf numFmtId="172" fontId="7" fillId="0" borderId="19" xfId="2" applyNumberFormat="1" applyFont="1" applyFill="1" applyBorder="1"/>
    <xf numFmtId="0" fontId="4" fillId="0" borderId="0" xfId="4" applyFont="1" applyAlignment="1">
      <alignment horizontal="left" vertical="center" wrapText="1"/>
    </xf>
    <xf numFmtId="0" fontId="0" fillId="0" borderId="0" xfId="4" applyFont="1" applyFill="1" applyAlignment="1">
      <alignment horizontal="left"/>
    </xf>
    <xf numFmtId="0" fontId="0" fillId="0" borderId="0" xfId="4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17" fillId="0" borderId="0" xfId="0" applyFont="1"/>
    <xf numFmtId="0" fontId="0" fillId="0" borderId="0" xfId="0" applyFont="1" applyAlignment="1">
      <alignment horizontal="center"/>
    </xf>
    <xf numFmtId="1" fontId="0" fillId="0" borderId="0" xfId="0" applyNumberFormat="1" applyFont="1"/>
    <xf numFmtId="183" fontId="0" fillId="0" borderId="0" xfId="1" applyNumberFormat="1" applyFont="1"/>
    <xf numFmtId="180" fontId="0" fillId="0" borderId="0" xfId="0" applyNumberFormat="1" applyFont="1"/>
    <xf numFmtId="172" fontId="0" fillId="0" borderId="0" xfId="2" applyNumberFormat="1" applyFont="1" applyFill="1"/>
    <xf numFmtId="172" fontId="0" fillId="0" borderId="0" xfId="2" applyNumberFormat="1" applyFont="1" applyFill="1" applyBorder="1"/>
    <xf numFmtId="185" fontId="0" fillId="0" borderId="0" xfId="0" applyNumberFormat="1" applyFont="1"/>
    <xf numFmtId="175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4" applyFont="1" applyAlignment="1">
      <alignment horizontal="center" wrapText="1"/>
    </xf>
    <xf numFmtId="0" fontId="0" fillId="0" borderId="0" xfId="4" applyFont="1" applyAlignment="1">
      <alignment vertical="top"/>
    </xf>
    <xf numFmtId="172" fontId="0" fillId="0" borderId="0" xfId="4" applyNumberFormat="1" applyFont="1"/>
    <xf numFmtId="172" fontId="0" fillId="0" borderId="0" xfId="4" applyNumberFormat="1" applyFont="1" applyAlignment="1">
      <alignment horizontal="right"/>
    </xf>
    <xf numFmtId="172" fontId="0" fillId="0" borderId="0" xfId="4" applyNumberFormat="1" applyFont="1" applyAlignment="1">
      <alignment horizontal="right" vertical="top"/>
    </xf>
    <xf numFmtId="170" fontId="0" fillId="0" borderId="0" xfId="4" applyNumberFormat="1" applyFont="1" applyAlignment="1">
      <alignment vertical="top"/>
    </xf>
    <xf numFmtId="0" fontId="0" fillId="0" borderId="0" xfId="4" applyFont="1" applyAlignment="1">
      <alignment horizontal="left" vertical="top"/>
    </xf>
    <xf numFmtId="3" fontId="0" fillId="0" borderId="0" xfId="4" applyNumberFormat="1" applyFont="1" applyAlignment="1">
      <alignment vertical="top"/>
    </xf>
    <xf numFmtId="185" fontId="0" fillId="0" borderId="0" xfId="4" applyNumberFormat="1" applyFont="1" applyAlignment="1">
      <alignment horizontal="right" vertical="top"/>
    </xf>
    <xf numFmtId="0" fontId="0" fillId="0" borderId="0" xfId="4" quotePrefix="1" applyFont="1" applyAlignment="1">
      <alignment horizontal="left" vertical="top"/>
    </xf>
    <xf numFmtId="0" fontId="0" fillId="0" borderId="0" xfId="4" applyFont="1" applyAlignment="1">
      <alignment horizontal="right"/>
    </xf>
    <xf numFmtId="1" fontId="0" fillId="0" borderId="0" xfId="4" applyNumberFormat="1" applyFont="1" applyAlignment="1">
      <alignment vertical="top"/>
    </xf>
    <xf numFmtId="8" fontId="0" fillId="0" borderId="0" xfId="4" applyNumberFormat="1" applyFont="1"/>
    <xf numFmtId="164" fontId="0" fillId="0" borderId="0" xfId="3" applyNumberFormat="1" applyFont="1" applyAlignment="1">
      <alignment vertical="top"/>
    </xf>
    <xf numFmtId="0" fontId="0" fillId="0" borderId="0" xfId="4" applyFont="1" applyAlignment="1">
      <alignment vertical="center"/>
    </xf>
    <xf numFmtId="185" fontId="0" fillId="0" borderId="0" xfId="4" applyNumberFormat="1" applyFont="1" applyAlignment="1">
      <alignment vertical="center"/>
    </xf>
    <xf numFmtId="0" fontId="0" fillId="0" borderId="0" xfId="4" quotePrefix="1" applyFont="1" applyAlignment="1">
      <alignment horizontal="left" vertical="center"/>
    </xf>
    <xf numFmtId="0" fontId="0" fillId="0" borderId="0" xfId="4" applyFont="1" applyAlignment="1">
      <alignment horizontal="left" vertical="center"/>
    </xf>
    <xf numFmtId="3" fontId="0" fillId="0" borderId="0" xfId="4" applyNumberFormat="1" applyFont="1"/>
    <xf numFmtId="0" fontId="0" fillId="0" borderId="0" xfId="4" applyFont="1" applyAlignment="1">
      <alignment horizontal="left"/>
    </xf>
    <xf numFmtId="37" fontId="0" fillId="0" borderId="0" xfId="1" applyNumberFormat="1" applyFont="1" applyAlignment="1"/>
    <xf numFmtId="0" fontId="0" fillId="0" borderId="0" xfId="4" quotePrefix="1" applyFont="1" applyAlignment="1">
      <alignment horizontal="left"/>
    </xf>
    <xf numFmtId="172" fontId="0" fillId="0" borderId="0" xfId="4" applyNumberFormat="1" applyFont="1" applyAlignment="1">
      <alignment wrapText="1"/>
    </xf>
    <xf numFmtId="172" fontId="0" fillId="0" borderId="0" xfId="4" applyNumberFormat="1" applyFont="1" applyAlignment="1">
      <alignment vertical="top" wrapText="1"/>
    </xf>
    <xf numFmtId="22" fontId="0" fillId="0" borderId="0" xfId="4" applyNumberFormat="1" applyFont="1" applyAlignment="1">
      <alignment horizontal="center"/>
    </xf>
    <xf numFmtId="0" fontId="0" fillId="0" borderId="0" xfId="4" applyFont="1" applyAlignment="1">
      <alignment horizontal="left" wrapText="1"/>
    </xf>
    <xf numFmtId="22" fontId="0" fillId="0" borderId="0" xfId="4" applyNumberFormat="1" applyFont="1"/>
    <xf numFmtId="0" fontId="0" fillId="0" borderId="0" xfId="4" quotePrefix="1" applyFont="1"/>
    <xf numFmtId="0" fontId="0" fillId="0" borderId="21" xfId="4" applyFont="1" applyBorder="1" applyAlignment="1">
      <alignment horizontal="center" wrapText="1"/>
    </xf>
    <xf numFmtId="0" fontId="0" fillId="0" borderId="22" xfId="4" applyFont="1" applyBorder="1" applyAlignment="1">
      <alignment horizontal="center" wrapText="1"/>
    </xf>
    <xf numFmtId="0" fontId="0" fillId="0" borderId="18" xfId="4" quotePrefix="1" applyFont="1" applyBorder="1" applyAlignment="1">
      <alignment horizontal="center"/>
    </xf>
    <xf numFmtId="0" fontId="0" fillId="0" borderId="5" xfId="4" quotePrefix="1" applyFont="1" applyBorder="1" applyAlignment="1">
      <alignment horizontal="center"/>
    </xf>
    <xf numFmtId="7" fontId="0" fillId="0" borderId="19" xfId="2" applyNumberFormat="1" applyFont="1" applyFill="1" applyBorder="1"/>
    <xf numFmtId="7" fontId="0" fillId="0" borderId="19" xfId="4" applyNumberFormat="1" applyFont="1" applyBorder="1"/>
    <xf numFmtId="44" fontId="0" fillId="0" borderId="5" xfId="2" applyFont="1" applyFill="1" applyBorder="1"/>
    <xf numFmtId="44" fontId="0" fillId="0" borderId="0" xfId="4" applyNumberFormat="1" applyFont="1"/>
    <xf numFmtId="1" fontId="0" fillId="0" borderId="19" xfId="3" applyNumberFormat="1" applyFont="1" applyFill="1" applyBorder="1"/>
    <xf numFmtId="10" fontId="0" fillId="0" borderId="5" xfId="4" applyNumberFormat="1" applyFont="1" applyBorder="1"/>
    <xf numFmtId="10" fontId="0" fillId="0" borderId="5" xfId="3" applyNumberFormat="1" applyFont="1" applyBorder="1"/>
    <xf numFmtId="10" fontId="0" fillId="0" borderId="19" xfId="3" applyNumberFormat="1" applyFont="1" applyBorder="1"/>
    <xf numFmtId="0" fontId="0" fillId="0" borderId="19" xfId="4" applyFont="1" applyBorder="1"/>
    <xf numFmtId="0" fontId="0" fillId="0" borderId="5" xfId="4" applyFont="1" applyBorder="1"/>
    <xf numFmtId="9" fontId="0" fillId="0" borderId="0" xfId="3" applyFont="1" applyAlignment="1">
      <alignment horizontal="left"/>
    </xf>
    <xf numFmtId="171" fontId="0" fillId="0" borderId="19" xfId="4" applyNumberFormat="1" applyFont="1" applyBorder="1"/>
    <xf numFmtId="171" fontId="0" fillId="0" borderId="5" xfId="4" applyNumberFormat="1" applyFont="1" applyBorder="1"/>
    <xf numFmtId="3" fontId="0" fillId="0" borderId="19" xfId="4" applyNumberFormat="1" applyFont="1" applyBorder="1"/>
    <xf numFmtId="185" fontId="0" fillId="0" borderId="19" xfId="2" applyNumberFormat="1" applyFont="1" applyBorder="1"/>
    <xf numFmtId="185" fontId="0" fillId="0" borderId="20" xfId="4" applyNumberFormat="1" applyFont="1" applyBorder="1"/>
    <xf numFmtId="185" fontId="0" fillId="0" borderId="8" xfId="4" applyNumberFormat="1" applyFont="1" applyBorder="1"/>
    <xf numFmtId="187" fontId="0" fillId="0" borderId="0" xfId="4" applyNumberFormat="1" applyFont="1"/>
    <xf numFmtId="185" fontId="0" fillId="0" borderId="0" xfId="4" applyNumberFormat="1" applyFont="1"/>
    <xf numFmtId="0" fontId="0" fillId="0" borderId="0" xfId="4" quotePrefix="1" applyFont="1" applyAlignment="1">
      <alignment wrapText="1"/>
    </xf>
    <xf numFmtId="0" fontId="18" fillId="0" borderId="0" xfId="4" applyFont="1"/>
    <xf numFmtId="0" fontId="0" fillId="0" borderId="0" xfId="0" quotePrefix="1" applyFont="1" applyAlignment="1">
      <alignment horizontal="left" wrapText="1"/>
    </xf>
    <xf numFmtId="3" fontId="0" fillId="0" borderId="7" xfId="4" applyNumberFormat="1" applyFont="1" applyBorder="1" applyAlignment="1">
      <alignment vertical="top"/>
    </xf>
    <xf numFmtId="44" fontId="0" fillId="0" borderId="19" xfId="4" applyNumberFormat="1" applyFont="1" applyBorder="1"/>
    <xf numFmtId="172" fontId="0" fillId="3" borderId="19" xfId="4" applyNumberFormat="1" applyFont="1" applyFill="1" applyBorder="1"/>
    <xf numFmtId="172" fontId="0" fillId="0" borderId="19" xfId="2" applyNumberFormat="1" applyFont="1" applyFill="1" applyBorder="1"/>
    <xf numFmtId="172" fontId="0" fillId="0" borderId="19" xfId="4" applyNumberFormat="1" applyFont="1" applyBorder="1"/>
    <xf numFmtId="172" fontId="0" fillId="2" borderId="19" xfId="2" applyNumberFormat="1" applyFont="1" applyFill="1" applyBorder="1"/>
    <xf numFmtId="172" fontId="7" fillId="2" borderId="19" xfId="4" applyNumberFormat="1" applyFont="1" applyFill="1" applyBorder="1"/>
    <xf numFmtId="3" fontId="0" fillId="0" borderId="5" xfId="4" applyNumberFormat="1" applyFont="1" applyBorder="1"/>
    <xf numFmtId="10" fontId="0" fillId="0" borderId="0" xfId="3" quotePrefix="1" applyNumberFormat="1" applyFont="1" applyAlignment="1">
      <alignment horizontal="right"/>
    </xf>
    <xf numFmtId="185" fontId="0" fillId="0" borderId="0" xfId="4" quotePrefix="1" applyNumberFormat="1" applyFont="1" applyAlignment="1">
      <alignment horizontal="right"/>
    </xf>
    <xf numFmtId="168" fontId="0" fillId="0" borderId="0" xfId="3" quotePrefix="1" applyNumberFormat="1" applyFont="1" applyAlignment="1">
      <alignment horizontal="right"/>
    </xf>
    <xf numFmtId="22" fontId="0" fillId="0" borderId="0" xfId="0" applyNumberFormat="1" applyFont="1"/>
    <xf numFmtId="39" fontId="0" fillId="0" borderId="0" xfId="0" quotePrefix="1" applyNumberFormat="1" applyFont="1"/>
    <xf numFmtId="1" fontId="13" fillId="0" borderId="0" xfId="3" applyNumberFormat="1" applyFont="1" applyFill="1" applyAlignment="1">
      <alignment horizontal="center"/>
    </xf>
    <xf numFmtId="10" fontId="13" fillId="0" borderId="0" xfId="3" applyNumberFormat="1" applyFont="1" applyFill="1" applyAlignment="1">
      <alignment horizontal="center"/>
    </xf>
    <xf numFmtId="164" fontId="0" fillId="0" borderId="0" xfId="3" quotePrefix="1" applyNumberFormat="1" applyFont="1" applyFill="1"/>
    <xf numFmtId="17" fontId="0" fillId="0" borderId="0" xfId="0" applyNumberFormat="1" applyFont="1"/>
    <xf numFmtId="167" fontId="0" fillId="0" borderId="0" xfId="2" applyNumberFormat="1" applyFont="1"/>
    <xf numFmtId="1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7" fontId="0" fillId="0" borderId="0" xfId="0" applyNumberFormat="1" applyFont="1"/>
    <xf numFmtId="167" fontId="0" fillId="0" borderId="0" xfId="3" applyNumberFormat="1" applyFont="1"/>
    <xf numFmtId="9" fontId="0" fillId="0" borderId="0" xfId="3" quotePrefix="1" applyFont="1" applyFill="1"/>
    <xf numFmtId="17" fontId="0" fillId="0" borderId="0" xfId="0" quotePrefix="1" applyNumberFormat="1" applyFont="1"/>
    <xf numFmtId="17" fontId="0" fillId="0" borderId="0" xfId="0" applyNumberFormat="1" applyFont="1" applyAlignment="1">
      <alignment horizontal="left"/>
    </xf>
    <xf numFmtId="0" fontId="0" fillId="0" borderId="0" xfId="0" quotePrefix="1" applyFont="1"/>
    <xf numFmtId="3" fontId="0" fillId="0" borderId="0" xfId="0" applyNumberFormat="1" applyFont="1"/>
    <xf numFmtId="175" fontId="0" fillId="0" borderId="0" xfId="1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right"/>
    </xf>
    <xf numFmtId="185" fontId="0" fillId="0" borderId="0" xfId="0" applyNumberFormat="1" applyFont="1" applyFill="1" applyAlignment="1">
      <alignment horizontal="center"/>
    </xf>
    <xf numFmtId="185" fontId="0" fillId="0" borderId="0" xfId="0" applyNumberFormat="1" applyFont="1" applyFill="1"/>
    <xf numFmtId="0" fontId="0" fillId="0" borderId="0" xfId="0" applyFont="1" applyFill="1" applyBorder="1" applyAlignment="1">
      <alignment horizontal="right"/>
    </xf>
    <xf numFmtId="185" fontId="0" fillId="0" borderId="0" xfId="0" applyNumberFormat="1" applyFont="1" applyFill="1" applyBorder="1"/>
    <xf numFmtId="0" fontId="0" fillId="0" borderId="0" xfId="0" applyFont="1" applyFill="1" applyBorder="1"/>
    <xf numFmtId="3" fontId="0" fillId="0" borderId="0" xfId="0" applyNumberFormat="1" applyFont="1" applyFill="1" applyBorder="1"/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Border="1"/>
    <xf numFmtId="2" fontId="0" fillId="0" borderId="0" xfId="0" applyNumberFormat="1" applyFont="1" applyFill="1"/>
    <xf numFmtId="2" fontId="0" fillId="0" borderId="0" xfId="0" applyNumberFormat="1" applyFont="1"/>
    <xf numFmtId="172" fontId="0" fillId="0" borderId="0" xfId="0" applyNumberFormat="1" applyFont="1" applyFill="1" applyBorder="1"/>
    <xf numFmtId="172" fontId="0" fillId="0" borderId="0" xfId="0" applyNumberFormat="1" applyFont="1" applyFill="1"/>
    <xf numFmtId="172" fontId="0" fillId="0" borderId="0" xfId="0" applyNumberFormat="1" applyFont="1"/>
    <xf numFmtId="3" fontId="0" fillId="0" borderId="0" xfId="0" applyNumberFormat="1" applyFont="1" applyFill="1"/>
    <xf numFmtId="7" fontId="0" fillId="0" borderId="0" xfId="0" applyNumberFormat="1" applyFont="1" applyFill="1" applyBorder="1"/>
    <xf numFmtId="0" fontId="4" fillId="0" borderId="0" xfId="0" applyFont="1" applyFill="1" applyBorder="1"/>
    <xf numFmtId="10" fontId="0" fillId="0" borderId="0" xfId="0" applyNumberFormat="1" applyFont="1" applyFill="1" applyBorder="1"/>
    <xf numFmtId="10" fontId="0" fillId="0" borderId="0" xfId="0" applyNumberFormat="1" applyFont="1" applyFill="1"/>
    <xf numFmtId="10" fontId="0" fillId="0" borderId="0" xfId="0" applyNumberFormat="1" applyFont="1"/>
    <xf numFmtId="164" fontId="0" fillId="0" borderId="0" xfId="0" applyNumberFormat="1" applyFont="1" applyFill="1"/>
    <xf numFmtId="164" fontId="0" fillId="0" borderId="0" xfId="0" applyNumberFormat="1" applyFont="1"/>
    <xf numFmtId="185" fontId="4" fillId="0" borderId="0" xfId="0" applyNumberFormat="1" applyFont="1"/>
    <xf numFmtId="17" fontId="0" fillId="0" borderId="0" xfId="0" applyNumberFormat="1" applyFont="1" applyFill="1"/>
    <xf numFmtId="17" fontId="0" fillId="0" borderId="0" xfId="0" applyNumberFormat="1" applyFont="1" applyFill="1" applyAlignment="1">
      <alignment horizontal="right"/>
    </xf>
    <xf numFmtId="174" fontId="0" fillId="0" borderId="0" xfId="2" quotePrefix="1" applyNumberFormat="1" applyFont="1" applyFill="1"/>
    <xf numFmtId="10" fontId="0" fillId="0" borderId="0" xfId="3" quotePrefix="1" applyNumberFormat="1" applyFont="1" applyFill="1"/>
    <xf numFmtId="171" fontId="0" fillId="0" borderId="0" xfId="0" applyNumberFormat="1" applyFont="1"/>
    <xf numFmtId="171" fontId="0" fillId="0" borderId="0" xfId="2" quotePrefix="1" applyNumberFormat="1" applyFont="1" applyFill="1" applyBorder="1"/>
    <xf numFmtId="171" fontId="0" fillId="0" borderId="0" xfId="0" applyNumberFormat="1" applyFont="1" applyAlignment="1">
      <alignment horizontal="right"/>
    </xf>
    <xf numFmtId="43" fontId="0" fillId="0" borderId="0" xfId="1" quotePrefix="1" applyFont="1" applyFill="1" applyBorder="1"/>
    <xf numFmtId="186" fontId="0" fillId="0" borderId="0" xfId="1" quotePrefix="1" applyNumberFormat="1" applyFont="1" applyFill="1" applyBorder="1"/>
    <xf numFmtId="186" fontId="0" fillId="0" borderId="0" xfId="0" applyNumberFormat="1" applyFont="1" applyFill="1" applyAlignment="1">
      <alignment horizontal="right"/>
    </xf>
    <xf numFmtId="43" fontId="0" fillId="0" borderId="0" xfId="1" quotePrefix="1" applyFont="1" applyFill="1"/>
    <xf numFmtId="186" fontId="0" fillId="0" borderId="0" xfId="1" quotePrefix="1" applyNumberFormat="1" applyFont="1" applyFill="1"/>
    <xf numFmtId="0" fontId="0" fillId="0" borderId="0" xfId="0" applyFont="1" applyFill="1" applyAlignment="1">
      <alignment horizontal="left"/>
    </xf>
    <xf numFmtId="39" fontId="0" fillId="0" borderId="0" xfId="0" quotePrefix="1" applyNumberFormat="1" applyFont="1" applyFill="1"/>
    <xf numFmtId="17" fontId="0" fillId="0" borderId="1" xfId="0" applyNumberFormat="1" applyFont="1" applyFill="1" applyBorder="1"/>
    <xf numFmtId="164" fontId="0" fillId="0" borderId="2" xfId="3" applyNumberFormat="1" applyFont="1" applyFill="1" applyBorder="1"/>
    <xf numFmtId="10" fontId="0" fillId="0" borderId="2" xfId="3" applyNumberFormat="1" applyFont="1" applyFill="1" applyBorder="1"/>
    <xf numFmtId="10" fontId="0" fillId="0" borderId="3" xfId="3" applyNumberFormat="1" applyFont="1" applyFill="1" applyBorder="1"/>
    <xf numFmtId="17" fontId="0" fillId="0" borderId="4" xfId="0" applyNumberFormat="1" applyFont="1" applyFill="1" applyBorder="1"/>
    <xf numFmtId="10" fontId="0" fillId="0" borderId="5" xfId="3" applyNumberFormat="1" applyFont="1" applyFill="1" applyBorder="1"/>
    <xf numFmtId="17" fontId="0" fillId="0" borderId="6" xfId="0" applyNumberFormat="1" applyFont="1" applyFill="1" applyBorder="1"/>
    <xf numFmtId="164" fontId="0" fillId="0" borderId="7" xfId="3" applyNumberFormat="1" applyFont="1" applyFill="1" applyBorder="1"/>
    <xf numFmtId="10" fontId="0" fillId="0" borderId="7" xfId="3" applyNumberFormat="1" applyFont="1" applyFill="1" applyBorder="1"/>
    <xf numFmtId="10" fontId="0" fillId="0" borderId="8" xfId="3" applyNumberFormat="1" applyFont="1" applyFill="1" applyBorder="1"/>
    <xf numFmtId="9" fontId="0" fillId="0" borderId="0" xfId="3" quotePrefix="1" applyFont="1" applyFill="1" applyAlignment="1">
      <alignment horizontal="center"/>
    </xf>
    <xf numFmtId="10" fontId="0" fillId="0" borderId="0" xfId="3" quotePrefix="1" applyNumberFormat="1" applyFont="1" applyFill="1" applyAlignment="1">
      <alignment horizontal="center"/>
    </xf>
    <xf numFmtId="10" fontId="0" fillId="0" borderId="0" xfId="3" quotePrefix="1" applyNumberFormat="1" applyFont="1" applyFill="1" applyAlignment="1">
      <alignment horizontal="right"/>
    </xf>
    <xf numFmtId="9" fontId="0" fillId="0" borderId="2" xfId="3" quotePrefix="1" applyFont="1" applyFill="1" applyBorder="1" applyAlignment="1">
      <alignment horizontal="center"/>
    </xf>
    <xf numFmtId="10" fontId="0" fillId="0" borderId="2" xfId="3" quotePrefix="1" applyNumberFormat="1" applyFont="1" applyFill="1" applyBorder="1" applyAlignment="1">
      <alignment horizontal="center"/>
    </xf>
    <xf numFmtId="10" fontId="0" fillId="0" borderId="2" xfId="3" quotePrefix="1" applyNumberFormat="1" applyFont="1" applyFill="1" applyBorder="1" applyAlignment="1">
      <alignment horizontal="right"/>
    </xf>
    <xf numFmtId="9" fontId="0" fillId="0" borderId="3" xfId="3" quotePrefix="1" applyFont="1" applyFill="1" applyBorder="1" applyAlignment="1">
      <alignment horizontal="center"/>
    </xf>
    <xf numFmtId="9" fontId="0" fillId="0" borderId="0" xfId="3" quotePrefix="1" applyFont="1" applyFill="1" applyBorder="1" applyAlignment="1">
      <alignment horizontal="center"/>
    </xf>
    <xf numFmtId="10" fontId="0" fillId="0" borderId="0" xfId="3" quotePrefix="1" applyNumberFormat="1" applyFont="1" applyFill="1" applyBorder="1" applyAlignment="1">
      <alignment horizontal="center"/>
    </xf>
    <xf numFmtId="10" fontId="0" fillId="0" borderId="0" xfId="3" quotePrefix="1" applyNumberFormat="1" applyFont="1" applyFill="1" applyBorder="1" applyAlignment="1">
      <alignment horizontal="right"/>
    </xf>
    <xf numFmtId="9" fontId="0" fillId="0" borderId="5" xfId="3" quotePrefix="1" applyFont="1" applyFill="1" applyBorder="1" applyAlignment="1">
      <alignment horizontal="center"/>
    </xf>
    <xf numFmtId="9" fontId="0" fillId="0" borderId="7" xfId="3" quotePrefix="1" applyFont="1" applyFill="1" applyBorder="1" applyAlignment="1">
      <alignment horizontal="center"/>
    </xf>
    <xf numFmtId="10" fontId="0" fillId="0" borderId="7" xfId="3" quotePrefix="1" applyNumberFormat="1" applyFont="1" applyFill="1" applyBorder="1" applyAlignment="1">
      <alignment horizontal="center"/>
    </xf>
    <xf numFmtId="10" fontId="0" fillId="0" borderId="7" xfId="3" quotePrefix="1" applyNumberFormat="1" applyFont="1" applyFill="1" applyBorder="1" applyAlignment="1">
      <alignment horizontal="right"/>
    </xf>
    <xf numFmtId="9" fontId="0" fillId="0" borderId="8" xfId="3" quotePrefix="1" applyFont="1" applyFill="1" applyBorder="1" applyAlignment="1">
      <alignment horizontal="center"/>
    </xf>
    <xf numFmtId="17" fontId="0" fillId="0" borderId="0" xfId="0" quotePrefix="1" applyNumberFormat="1" applyFont="1" applyFill="1"/>
    <xf numFmtId="9" fontId="4" fillId="0" borderId="0" xfId="3" applyFont="1" applyFill="1" applyAlignment="1">
      <alignment horizontal="right"/>
    </xf>
    <xf numFmtId="9" fontId="4" fillId="0" borderId="0" xfId="3" applyFont="1" applyFill="1"/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3" fontId="0" fillId="0" borderId="0" xfId="0" applyNumberFormat="1" applyFont="1" applyFill="1" applyAlignment="1">
      <alignment horizontal="center"/>
    </xf>
    <xf numFmtId="0" fontId="0" fillId="0" borderId="12" xfId="0" applyFont="1" applyFill="1" applyBorder="1"/>
    <xf numFmtId="0" fontId="0" fillId="0" borderId="13" xfId="0" applyFont="1" applyFill="1" applyBorder="1"/>
    <xf numFmtId="0" fontId="0" fillId="0" borderId="12" xfId="0" applyFont="1" applyFill="1" applyBorder="1" applyAlignment="1">
      <alignment horizontal="right"/>
    </xf>
    <xf numFmtId="3" fontId="0" fillId="0" borderId="0" xfId="0" quotePrefix="1" applyNumberFormat="1" applyFont="1" applyFill="1"/>
    <xf numFmtId="3" fontId="0" fillId="0" borderId="13" xfId="0" applyNumberFormat="1" applyFont="1" applyFill="1" applyBorder="1"/>
    <xf numFmtId="3" fontId="0" fillId="0" borderId="7" xfId="0" applyNumberFormat="1" applyFont="1" applyFill="1" applyBorder="1"/>
    <xf numFmtId="3" fontId="0" fillId="0" borderId="2" xfId="0" applyNumberFormat="1" applyFont="1" applyFill="1" applyBorder="1"/>
    <xf numFmtId="3" fontId="0" fillId="0" borderId="3" xfId="0" applyNumberFormat="1" applyFont="1" applyFill="1" applyBorder="1"/>
    <xf numFmtId="3" fontId="0" fillId="0" borderId="18" xfId="0" applyNumberFormat="1" applyFont="1" applyFill="1" applyBorder="1"/>
    <xf numFmtId="3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/>
    <xf numFmtId="0" fontId="0" fillId="0" borderId="2" xfId="0" applyFont="1" applyFill="1" applyBorder="1"/>
    <xf numFmtId="3" fontId="0" fillId="0" borderId="5" xfId="0" applyNumberFormat="1" applyFont="1" applyFill="1" applyBorder="1"/>
    <xf numFmtId="3" fontId="0" fillId="0" borderId="19" xfId="0" applyNumberFormat="1" applyFont="1" applyFill="1" applyBorder="1"/>
    <xf numFmtId="0" fontId="0" fillId="0" borderId="15" xfId="0" applyFont="1" applyFill="1" applyBorder="1"/>
    <xf numFmtId="3" fontId="0" fillId="0" borderId="15" xfId="0" applyNumberFormat="1" applyFont="1" applyFill="1" applyBorder="1"/>
    <xf numFmtId="3" fontId="0" fillId="0" borderId="8" xfId="0" applyNumberFormat="1" applyFont="1" applyFill="1" applyBorder="1"/>
    <xf numFmtId="3" fontId="0" fillId="0" borderId="20" xfId="0" applyNumberFormat="1" applyFont="1" applyFill="1" applyBorder="1"/>
    <xf numFmtId="3" fontId="0" fillId="0" borderId="10" xfId="0" applyNumberFormat="1" applyFont="1" applyFill="1" applyBorder="1"/>
    <xf numFmtId="0" fontId="0" fillId="0" borderId="7" xfId="0" quotePrefix="1" applyFont="1" applyFill="1" applyBorder="1"/>
    <xf numFmtId="0" fontId="0" fillId="0" borderId="7" xfId="0" applyFont="1" applyFill="1" applyBorder="1"/>
    <xf numFmtId="17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/>
    <xf numFmtId="180" fontId="0" fillId="0" borderId="0" xfId="0" applyNumberFormat="1" applyFont="1" applyFill="1"/>
    <xf numFmtId="0" fontId="0" fillId="0" borderId="14" xfId="0" applyFont="1" applyFill="1" applyBorder="1" applyAlignment="1">
      <alignment horizontal="right"/>
    </xf>
    <xf numFmtId="3" fontId="0" fillId="0" borderId="15" xfId="0" quotePrefix="1" applyNumberFormat="1" applyFont="1" applyFill="1" applyBorder="1"/>
    <xf numFmtId="0" fontId="0" fillId="0" borderId="15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/>
    <xf numFmtId="4" fontId="0" fillId="0" borderId="0" xfId="0" applyNumberFormat="1" applyFont="1" applyFill="1"/>
    <xf numFmtId="171" fontId="0" fillId="0" borderId="0" xfId="0" applyNumberFormat="1" applyFont="1" applyFill="1"/>
    <xf numFmtId="166" fontId="0" fillId="0" borderId="0" xfId="0" applyNumberFormat="1" applyFont="1" applyFill="1"/>
    <xf numFmtId="167" fontId="0" fillId="0" borderId="0" xfId="2" applyNumberFormat="1" applyFont="1" applyFill="1" applyBorder="1"/>
    <xf numFmtId="4" fontId="0" fillId="0" borderId="1" xfId="0" applyNumberFormat="1" applyFont="1" applyFill="1" applyBorder="1"/>
    <xf numFmtId="171" fontId="0" fillId="0" borderId="2" xfId="0" applyNumberFormat="1" applyFont="1" applyFill="1" applyBorder="1"/>
    <xf numFmtId="166" fontId="0" fillId="0" borderId="3" xfId="0" applyNumberFormat="1" applyFont="1" applyFill="1" applyBorder="1"/>
    <xf numFmtId="9" fontId="0" fillId="0" borderId="1" xfId="3" applyFont="1" applyFill="1" applyBorder="1"/>
    <xf numFmtId="9" fontId="0" fillId="0" borderId="3" xfId="3" applyFont="1" applyFill="1" applyBorder="1"/>
    <xf numFmtId="167" fontId="0" fillId="0" borderId="0" xfId="0" applyNumberFormat="1" applyFont="1" applyFill="1"/>
    <xf numFmtId="4" fontId="0" fillId="0" borderId="4" xfId="0" applyNumberFormat="1" applyFont="1" applyFill="1" applyBorder="1"/>
    <xf numFmtId="166" fontId="0" fillId="0" borderId="5" xfId="0" applyNumberFormat="1" applyFont="1" applyFill="1" applyBorder="1"/>
    <xf numFmtId="9" fontId="0" fillId="0" borderId="4" xfId="3" applyFont="1" applyFill="1" applyBorder="1"/>
    <xf numFmtId="9" fontId="0" fillId="0" borderId="5" xfId="3" applyFont="1" applyFill="1" applyBorder="1"/>
    <xf numFmtId="4" fontId="0" fillId="0" borderId="6" xfId="0" applyNumberFormat="1" applyFont="1" applyFill="1" applyBorder="1"/>
    <xf numFmtId="171" fontId="0" fillId="0" borderId="7" xfId="0" applyNumberFormat="1" applyFont="1" applyFill="1" applyBorder="1"/>
    <xf numFmtId="166" fontId="0" fillId="0" borderId="8" xfId="0" applyNumberFormat="1" applyFont="1" applyFill="1" applyBorder="1"/>
    <xf numFmtId="9" fontId="0" fillId="0" borderId="6" xfId="3" applyFont="1" applyFill="1" applyBorder="1"/>
    <xf numFmtId="9" fontId="0" fillId="0" borderId="8" xfId="3" applyFont="1" applyFill="1" applyBorder="1"/>
    <xf numFmtId="167" fontId="0" fillId="0" borderId="15" xfId="2" applyNumberFormat="1" applyFont="1" applyFill="1" applyBorder="1"/>
    <xf numFmtId="168" fontId="0" fillId="0" borderId="0" xfId="0" applyNumberFormat="1" applyFont="1" applyFill="1"/>
    <xf numFmtId="165" fontId="0" fillId="0" borderId="0" xfId="0" applyNumberFormat="1" applyFont="1" applyFill="1" applyAlignment="1">
      <alignment horizontal="right"/>
    </xf>
    <xf numFmtId="168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169" fontId="0" fillId="0" borderId="0" xfId="2" quotePrefix="1" applyNumberFormat="1" applyFont="1" applyFill="1"/>
    <xf numFmtId="167" fontId="0" fillId="0" borderId="0" xfId="2" quotePrefix="1" applyNumberFormat="1" applyFont="1" applyFill="1"/>
    <xf numFmtId="169" fontId="0" fillId="0" borderId="0" xfId="2" applyNumberFormat="1" applyFont="1" applyFill="1"/>
    <xf numFmtId="44" fontId="0" fillId="0" borderId="0" xfId="2" quotePrefix="1" applyFont="1" applyFill="1" applyBorder="1"/>
    <xf numFmtId="168" fontId="4" fillId="0" borderId="0" xfId="0" applyNumberFormat="1" applyFont="1" applyFill="1"/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167" fontId="0" fillId="0" borderId="0" xfId="2" quotePrefix="1" applyNumberFormat="1" applyFont="1" applyFill="1" applyBorder="1"/>
    <xf numFmtId="39" fontId="0" fillId="0" borderId="0" xfId="0" applyNumberFormat="1" applyFont="1" applyFill="1"/>
    <xf numFmtId="170" fontId="0" fillId="0" borderId="0" xfId="0" applyNumberFormat="1" applyFont="1" applyFill="1"/>
    <xf numFmtId="184" fontId="0" fillId="0" borderId="0" xfId="0" applyNumberFormat="1" applyFont="1" applyFill="1"/>
    <xf numFmtId="0" fontId="0" fillId="0" borderId="0" xfId="0" quotePrefix="1" applyFont="1" applyFill="1" applyAlignment="1">
      <alignment horizontal="right"/>
    </xf>
    <xf numFmtId="14" fontId="0" fillId="0" borderId="0" xfId="0" applyNumberFormat="1" applyFont="1" applyFill="1"/>
    <xf numFmtId="1" fontId="0" fillId="0" borderId="0" xfId="0" applyNumberFormat="1" applyFont="1" applyFill="1"/>
    <xf numFmtId="0" fontId="0" fillId="0" borderId="0" xfId="0" quotePrefix="1" applyFont="1" applyFill="1"/>
    <xf numFmtId="0" fontId="0" fillId="0" borderId="0" xfId="0" quotePrefix="1" applyFont="1" applyFill="1" applyAlignment="1">
      <alignment horizontal="center"/>
    </xf>
    <xf numFmtId="9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quotePrefix="1" applyFont="1" applyFill="1" applyAlignment="1">
      <alignment wrapText="1"/>
    </xf>
    <xf numFmtId="0" fontId="0" fillId="0" borderId="0" xfId="0" applyFont="1" applyFill="1" applyAlignment="1">
      <alignment horizontal="centerContinuous"/>
    </xf>
    <xf numFmtId="8" fontId="0" fillId="0" borderId="0" xfId="0" applyNumberFormat="1" applyFont="1" applyFill="1"/>
    <xf numFmtId="172" fontId="7" fillId="0" borderId="0" xfId="0" applyNumberFormat="1" applyFont="1" applyFill="1"/>
    <xf numFmtId="8" fontId="0" fillId="0" borderId="0" xfId="2" applyNumberFormat="1" applyFont="1" applyFill="1"/>
    <xf numFmtId="3" fontId="0" fillId="0" borderId="0" xfId="2" quotePrefix="1" applyNumberFormat="1" applyFont="1" applyFill="1"/>
    <xf numFmtId="175" fontId="0" fillId="0" borderId="0" xfId="1" applyNumberFormat="1" applyFont="1" applyFill="1" applyAlignment="1">
      <alignment horizontal="center"/>
    </xf>
    <xf numFmtId="167" fontId="0" fillId="0" borderId="0" xfId="3" applyNumberFormat="1" applyFont="1" applyFill="1"/>
    <xf numFmtId="44" fontId="0" fillId="0" borderId="0" xfId="2" quotePrefix="1" applyFont="1" applyFill="1" applyAlignment="1">
      <alignment horizontal="left"/>
    </xf>
    <xf numFmtId="44" fontId="0" fillId="0" borderId="0" xfId="0" applyNumberFormat="1" applyFont="1" applyFill="1"/>
    <xf numFmtId="43" fontId="0" fillId="0" borderId="0" xfId="1" applyFont="1" applyFill="1"/>
    <xf numFmtId="43" fontId="0" fillId="0" borderId="0" xfId="1" applyFont="1" applyFill="1" applyAlignment="1">
      <alignment horizontal="left"/>
    </xf>
    <xf numFmtId="22" fontId="0" fillId="0" borderId="0" xfId="0" applyNumberFormat="1" applyFont="1" applyFill="1"/>
    <xf numFmtId="9" fontId="4" fillId="0" borderId="0" xfId="3" quotePrefix="1" applyFont="1" applyFill="1"/>
    <xf numFmtId="165" fontId="0" fillId="0" borderId="13" xfId="0" applyNumberFormat="1" applyFont="1" applyFill="1" applyBorder="1"/>
    <xf numFmtId="0" fontId="0" fillId="0" borderId="14" xfId="0" applyFont="1" applyFill="1" applyBorder="1"/>
    <xf numFmtId="166" fontId="0" fillId="0" borderId="2" xfId="0" applyNumberFormat="1" applyFont="1" applyFill="1" applyBorder="1"/>
    <xf numFmtId="166" fontId="0" fillId="0" borderId="7" xfId="0" applyNumberFormat="1" applyFont="1" applyFill="1" applyBorder="1"/>
    <xf numFmtId="44" fontId="0" fillId="0" borderId="0" xfId="2" applyFont="1" applyFill="1" applyAlignment="1">
      <alignment horizontal="center"/>
    </xf>
    <xf numFmtId="176" fontId="0" fillId="0" borderId="0" xfId="0" applyNumberFormat="1" applyFont="1" applyFill="1"/>
    <xf numFmtId="177" fontId="0" fillId="0" borderId="0" xfId="1" applyNumberFormat="1" applyFont="1" applyFill="1"/>
    <xf numFmtId="178" fontId="0" fillId="0" borderId="0" xfId="1" applyNumberFormat="1" applyFont="1" applyFill="1"/>
    <xf numFmtId="4" fontId="0" fillId="0" borderId="2" xfId="0" applyNumberFormat="1" applyFont="1" applyFill="1" applyBorder="1"/>
    <xf numFmtId="4" fontId="0" fillId="0" borderId="7" xfId="0" applyNumberFormat="1" applyFont="1" applyFill="1" applyBorder="1"/>
    <xf numFmtId="8" fontId="0" fillId="0" borderId="0" xfId="0" applyNumberFormat="1" applyFont="1" applyFill="1" applyAlignment="1">
      <alignment horizontal="right"/>
    </xf>
    <xf numFmtId="172" fontId="7" fillId="0" borderId="0" xfId="0" applyNumberFormat="1" applyFont="1" applyFill="1" applyAlignment="1">
      <alignment horizontal="right"/>
    </xf>
    <xf numFmtId="8" fontId="0" fillId="0" borderId="0" xfId="2" applyNumberFormat="1" applyFont="1" applyFill="1" applyAlignment="1">
      <alignment horizontal="right"/>
    </xf>
    <xf numFmtId="173" fontId="0" fillId="0" borderId="0" xfId="0" applyNumberFormat="1" applyFont="1" applyFill="1"/>
    <xf numFmtId="179" fontId="0" fillId="0" borderId="0" xfId="1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22" fontId="2" fillId="0" borderId="0" xfId="4" applyNumberFormat="1" applyFont="1" applyAlignment="1">
      <alignment horizontal="center"/>
    </xf>
    <xf numFmtId="0" fontId="0" fillId="0" borderId="4" xfId="4" applyFont="1" applyBorder="1" applyAlignment="1">
      <alignment horizontal="left" wrapText="1"/>
    </xf>
    <xf numFmtId="0" fontId="0" fillId="0" borderId="0" xfId="4" applyFont="1" applyAlignment="1">
      <alignment horizontal="left" wrapText="1"/>
    </xf>
    <xf numFmtId="0" fontId="0" fillId="0" borderId="0" xfId="4" quotePrefix="1" applyFont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18" fillId="0" borderId="0" xfId="4" applyFont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 xr:uid="{57E11FFD-03A1-42A2-AC4C-02A7373E2BC3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9B6EF-E588-4AC5-87D2-F5AB31B0F5B7}">
  <dimension ref="A1:AY366"/>
  <sheetViews>
    <sheetView view="pageBreakPreview" zoomScale="60" zoomScaleNormal="60" workbookViewId="0"/>
  </sheetViews>
  <sheetFormatPr defaultColWidth="9.05859375" defaultRowHeight="12.7" x14ac:dyDescent="0.4"/>
  <cols>
    <col min="1" max="1" width="16.05859375" style="247" customWidth="1"/>
    <col min="2" max="2" width="27.87890625" style="211" customWidth="1"/>
    <col min="3" max="3" width="14.52734375" style="211" customWidth="1"/>
    <col min="4" max="4" width="12.52734375" style="211" customWidth="1"/>
    <col min="5" max="5" width="16.52734375" style="211" customWidth="1"/>
    <col min="6" max="6" width="16" style="211" customWidth="1"/>
    <col min="7" max="7" width="16.52734375" style="211" customWidth="1"/>
    <col min="8" max="8" width="15.46875" style="211" customWidth="1"/>
    <col min="9" max="9" width="14.05859375" style="211" customWidth="1"/>
    <col min="10" max="10" width="16.46875" style="211" customWidth="1"/>
    <col min="11" max="11" width="12.52734375" style="211" customWidth="1"/>
    <col min="12" max="12" width="16.52734375" style="211" customWidth="1"/>
    <col min="13" max="13" width="21.8203125" style="211" hidden="1" customWidth="1"/>
    <col min="14" max="14" width="15.05859375" style="211" hidden="1" customWidth="1"/>
    <col min="15" max="16" width="12.46875" style="211" hidden="1" customWidth="1"/>
    <col min="17" max="17" width="13.52734375" style="211" hidden="1" customWidth="1"/>
    <col min="18" max="18" width="14.46875" style="211" hidden="1" customWidth="1"/>
    <col min="19" max="19" width="14.87890625" style="211" hidden="1" customWidth="1"/>
    <col min="20" max="20" width="15.05859375" style="211" hidden="1" customWidth="1"/>
    <col min="21" max="21" width="14.05859375" style="211" hidden="1" customWidth="1"/>
    <col min="22" max="22" width="12.46875" style="211" hidden="1" customWidth="1"/>
    <col min="23" max="23" width="13.46875" style="211" hidden="1" customWidth="1"/>
    <col min="24" max="24" width="15.46875" style="211" hidden="1" customWidth="1"/>
    <col min="25" max="25" width="10.52734375" style="211" hidden="1" customWidth="1"/>
    <col min="26" max="26" width="11.52734375" style="211" hidden="1" customWidth="1"/>
    <col min="27" max="27" width="12.52734375" style="211" hidden="1" customWidth="1"/>
    <col min="28" max="28" width="13.46875" style="211" hidden="1" customWidth="1"/>
    <col min="29" max="29" width="11" style="211" hidden="1" customWidth="1"/>
    <col min="30" max="30" width="14.05859375" style="211" hidden="1" customWidth="1"/>
    <col min="31" max="31" width="9.87890625" style="211" hidden="1" customWidth="1"/>
    <col min="32" max="32" width="9.05859375" style="211" hidden="1" customWidth="1"/>
    <col min="33" max="33" width="12" style="211" hidden="1" customWidth="1"/>
    <col min="34" max="37" width="9.05859375" style="211" hidden="1" customWidth="1"/>
    <col min="38" max="38" width="9.46875" style="211" customWidth="1"/>
    <col min="39" max="46" width="9.05859375" style="211" customWidth="1"/>
    <col min="47" max="48" width="10.87890625" style="211" customWidth="1"/>
    <col min="49" max="49" width="12.46875" style="211" customWidth="1"/>
    <col min="50" max="50" width="10.87890625" style="211" customWidth="1"/>
    <col min="51" max="51" width="11.46875" style="211" customWidth="1"/>
    <col min="52" max="16384" width="9.05859375" style="211"/>
  </cols>
  <sheetData>
    <row r="1" spans="1:26" ht="15.35" x14ac:dyDescent="0.5">
      <c r="B1" s="382" t="s">
        <v>0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26" ht="15.35" x14ac:dyDescent="0.5">
      <c r="B2" s="382" t="s">
        <v>1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26" ht="15.35" x14ac:dyDescent="0.5">
      <c r="B3" s="382" t="str">
        <f>'BGS PTY19 Cost Alloc'!$B$3</f>
        <v>2021 BGS Auction Cost and Bid Factor Tables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4" spans="1:26" ht="15.35" x14ac:dyDescent="0.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26" ht="15.35" x14ac:dyDescent="0.5">
      <c r="B5" s="382" t="s">
        <v>2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</row>
    <row r="6" spans="1:26" x14ac:dyDescent="0.4">
      <c r="L6" s="365" t="s">
        <v>3</v>
      </c>
    </row>
    <row r="8" spans="1:26" ht="15.35" x14ac:dyDescent="0.5">
      <c r="B8" s="86" t="s">
        <v>4</v>
      </c>
    </row>
    <row r="9" spans="1:26" x14ac:dyDescent="0.4">
      <c r="A9" s="87"/>
      <c r="B9" s="78" t="s">
        <v>5</v>
      </c>
    </row>
    <row r="10" spans="1:26" x14ac:dyDescent="0.4">
      <c r="E10" s="79" t="str">
        <f>'BGS PTY19 Cost Alloc'!$E$10</f>
        <v>Based on an average of 2017 through 2019 Load Profile Information</v>
      </c>
    </row>
    <row r="11" spans="1:26" x14ac:dyDescent="0.4">
      <c r="A11" s="77" t="s">
        <v>6</v>
      </c>
      <c r="B11" s="83" t="s">
        <v>7</v>
      </c>
      <c r="C11" s="248"/>
      <c r="E11" s="79" t="s">
        <v>8</v>
      </c>
      <c r="N11" s="83"/>
      <c r="Q11" s="83" t="s">
        <v>9</v>
      </c>
    </row>
    <row r="12" spans="1:26" ht="25.35" x14ac:dyDescent="0.4">
      <c r="A12" s="76"/>
      <c r="C12" s="88"/>
      <c r="D12" s="88"/>
      <c r="E12" s="88" t="s">
        <v>10</v>
      </c>
      <c r="F12" s="88" t="s">
        <v>10</v>
      </c>
      <c r="G12" s="88" t="s">
        <v>10</v>
      </c>
      <c r="H12" s="88" t="s">
        <v>10</v>
      </c>
      <c r="I12" s="88" t="s">
        <v>11</v>
      </c>
      <c r="K12" s="88"/>
      <c r="L12" s="88"/>
      <c r="M12" s="88"/>
      <c r="N12" s="79"/>
      <c r="O12" s="88"/>
      <c r="P12" s="88"/>
      <c r="Q12" s="88" t="s">
        <v>10</v>
      </c>
      <c r="R12" s="88" t="s">
        <v>10</v>
      </c>
      <c r="S12" s="88" t="s">
        <v>10</v>
      </c>
      <c r="T12" s="88" t="s">
        <v>10</v>
      </c>
      <c r="U12" s="88" t="s">
        <v>11</v>
      </c>
      <c r="W12" s="88"/>
      <c r="X12" s="88"/>
      <c r="Y12" s="88"/>
      <c r="Z12" s="88"/>
    </row>
    <row r="13" spans="1:26" x14ac:dyDescent="0.4">
      <c r="A13" s="76"/>
      <c r="B13" s="89" t="s">
        <v>12</v>
      </c>
      <c r="C13" s="80"/>
      <c r="D13" s="80"/>
      <c r="E13" s="80" t="s">
        <v>13</v>
      </c>
      <c r="F13" s="80" t="s">
        <v>14</v>
      </c>
      <c r="G13" s="80" t="s">
        <v>15</v>
      </c>
      <c r="H13" s="80" t="s">
        <v>16</v>
      </c>
      <c r="I13" s="80" t="s">
        <v>17</v>
      </c>
      <c r="J13" s="80"/>
      <c r="K13" s="80"/>
      <c r="L13" s="80"/>
      <c r="M13" s="80"/>
      <c r="N13" s="90"/>
      <c r="O13" s="80"/>
      <c r="P13" s="80"/>
      <c r="Q13" s="80" t="str">
        <f>+E13</f>
        <v>RT{1}</v>
      </c>
      <c r="R13" s="80" t="str">
        <f>+F13</f>
        <v>RS{2}</v>
      </c>
      <c r="S13" s="80" t="str">
        <f>+G13</f>
        <v>GS{3}</v>
      </c>
      <c r="T13" s="80" t="str">
        <f>+H13</f>
        <v>GST</v>
      </c>
      <c r="U13" s="80" t="str">
        <f>+I13</f>
        <v>OL/SL</v>
      </c>
      <c r="V13" s="80"/>
      <c r="W13" s="80"/>
      <c r="X13" s="80"/>
      <c r="Y13" s="80"/>
      <c r="Z13" s="80"/>
    </row>
    <row r="14" spans="1:26" x14ac:dyDescent="0.4">
      <c r="A14" s="76"/>
    </row>
    <row r="15" spans="1:26" x14ac:dyDescent="0.4">
      <c r="A15" s="76"/>
      <c r="B15" s="235" t="s">
        <v>18</v>
      </c>
      <c r="C15" s="25"/>
      <c r="D15" s="25"/>
      <c r="E15" s="34">
        <f>'BGS PTY19 Cost Alloc'!E15</f>
        <v>0.47939999999999999</v>
      </c>
      <c r="F15" s="34">
        <f>'BGS PTY19 Cost Alloc'!F15</f>
        <v>0.50639999999999996</v>
      </c>
      <c r="G15" s="34">
        <f>'BGS PTY19 Cost Alloc'!G15</f>
        <v>0.56850000000000001</v>
      </c>
      <c r="H15" s="34">
        <f>'BGS PTY19 Cost Alloc'!H15</f>
        <v>0.54759999999999998</v>
      </c>
      <c r="I15" s="34">
        <f>'BGS PTY19 Cost Alloc'!I15</f>
        <v>0.33100000000000002</v>
      </c>
      <c r="J15" s="25"/>
      <c r="K15" s="198"/>
      <c r="L15" s="198"/>
      <c r="M15" s="198"/>
      <c r="N15" s="205"/>
      <c r="O15" s="205"/>
      <c r="P15" s="205"/>
      <c r="Q15" s="205">
        <f t="shared" ref="Q15:U26" si="0">1-E15</f>
        <v>0.52059999999999995</v>
      </c>
      <c r="R15" s="205">
        <f t="shared" si="0"/>
        <v>0.49360000000000004</v>
      </c>
      <c r="S15" s="205">
        <f t="shared" si="0"/>
        <v>0.43149999999999999</v>
      </c>
      <c r="T15" s="205">
        <f t="shared" si="0"/>
        <v>0.45240000000000002</v>
      </c>
      <c r="U15" s="205">
        <f t="shared" si="0"/>
        <v>0.66900000000000004</v>
      </c>
      <c r="V15" s="205"/>
      <c r="W15" s="205"/>
      <c r="X15" s="205"/>
      <c r="Y15" s="205"/>
      <c r="Z15" s="205"/>
    </row>
    <row r="16" spans="1:26" x14ac:dyDescent="0.4">
      <c r="A16" s="76"/>
      <c r="B16" s="235" t="s">
        <v>19</v>
      </c>
      <c r="C16" s="25"/>
      <c r="D16" s="25"/>
      <c r="E16" s="34">
        <f>'BGS PTY19 Cost Alloc'!E16</f>
        <v>0.47899999999999998</v>
      </c>
      <c r="F16" s="34">
        <f>'BGS PTY19 Cost Alloc'!F16</f>
        <v>0.50590000000000002</v>
      </c>
      <c r="G16" s="34">
        <f>'BGS PTY19 Cost Alloc'!G16</f>
        <v>0.57499999999999996</v>
      </c>
      <c r="H16" s="34">
        <f>'BGS PTY19 Cost Alloc'!H16</f>
        <v>0.55400000000000005</v>
      </c>
      <c r="I16" s="34">
        <f>'BGS PTY19 Cost Alloc'!I16</f>
        <v>0.31019999999999998</v>
      </c>
      <c r="J16" s="25"/>
      <c r="K16" s="198"/>
      <c r="L16" s="198"/>
      <c r="M16" s="198"/>
      <c r="N16" s="205"/>
      <c r="O16" s="205"/>
      <c r="P16" s="205"/>
      <c r="Q16" s="205">
        <f t="shared" si="0"/>
        <v>0.52100000000000002</v>
      </c>
      <c r="R16" s="205">
        <f t="shared" si="0"/>
        <v>0.49409999999999998</v>
      </c>
      <c r="S16" s="205">
        <f t="shared" si="0"/>
        <v>0.42500000000000004</v>
      </c>
      <c r="T16" s="205">
        <f t="shared" si="0"/>
        <v>0.44599999999999995</v>
      </c>
      <c r="U16" s="205">
        <f t="shared" si="0"/>
        <v>0.68979999999999997</v>
      </c>
      <c r="V16" s="205"/>
      <c r="W16" s="205"/>
      <c r="X16" s="205"/>
      <c r="Y16" s="205"/>
      <c r="Z16" s="205"/>
    </row>
    <row r="17" spans="1:26" x14ac:dyDescent="0.4">
      <c r="A17" s="76"/>
      <c r="B17" s="235" t="s">
        <v>20</v>
      </c>
      <c r="C17" s="25"/>
      <c r="D17" s="25"/>
      <c r="E17" s="34">
        <f>'BGS PTY19 Cost Alloc'!E17</f>
        <v>0.4824</v>
      </c>
      <c r="F17" s="34">
        <f>'BGS PTY19 Cost Alloc'!F17</f>
        <v>0.50990000000000002</v>
      </c>
      <c r="G17" s="34">
        <f>'BGS PTY19 Cost Alloc'!G17</f>
        <v>0.58879999999999999</v>
      </c>
      <c r="H17" s="34">
        <f>'BGS PTY19 Cost Alloc'!H17</f>
        <v>0.54679999999999995</v>
      </c>
      <c r="I17" s="34">
        <f>'BGS PTY19 Cost Alloc'!I17</f>
        <v>0.3054</v>
      </c>
      <c r="J17" s="25"/>
      <c r="K17" s="198"/>
      <c r="L17" s="198"/>
      <c r="M17" s="198"/>
      <c r="N17" s="205"/>
      <c r="O17" s="205"/>
      <c r="P17" s="205"/>
      <c r="Q17" s="205">
        <f t="shared" si="0"/>
        <v>0.51760000000000006</v>
      </c>
      <c r="R17" s="205">
        <f t="shared" si="0"/>
        <v>0.49009999999999998</v>
      </c>
      <c r="S17" s="205">
        <f t="shared" si="0"/>
        <v>0.41120000000000001</v>
      </c>
      <c r="T17" s="205">
        <f t="shared" si="0"/>
        <v>0.45320000000000005</v>
      </c>
      <c r="U17" s="205">
        <f t="shared" si="0"/>
        <v>0.6946</v>
      </c>
      <c r="V17" s="205"/>
      <c r="W17" s="205"/>
      <c r="X17" s="205"/>
      <c r="Y17" s="205"/>
      <c r="Z17" s="205"/>
    </row>
    <row r="18" spans="1:26" x14ac:dyDescent="0.4">
      <c r="A18" s="76"/>
      <c r="B18" s="235" t="s">
        <v>21</v>
      </c>
      <c r="C18" s="25"/>
      <c r="D18" s="25"/>
      <c r="E18" s="34">
        <f>'BGS PTY19 Cost Alloc'!E18</f>
        <v>0.48449999999999999</v>
      </c>
      <c r="F18" s="34">
        <f>'BGS PTY19 Cost Alloc'!F18</f>
        <v>0.50270000000000004</v>
      </c>
      <c r="G18" s="34">
        <f>'BGS PTY19 Cost Alloc'!G18</f>
        <v>0.58799999999999997</v>
      </c>
      <c r="H18" s="34">
        <f>'BGS PTY19 Cost Alloc'!H18</f>
        <v>0.5524</v>
      </c>
      <c r="I18" s="34">
        <f>'BGS PTY19 Cost Alloc'!I18</f>
        <v>0.30349999999999999</v>
      </c>
      <c r="J18" s="25"/>
      <c r="K18" s="198"/>
      <c r="L18" s="198"/>
      <c r="M18" s="198"/>
      <c r="N18" s="205"/>
      <c r="O18" s="205"/>
      <c r="P18" s="205"/>
      <c r="Q18" s="205">
        <f t="shared" si="0"/>
        <v>0.51550000000000007</v>
      </c>
      <c r="R18" s="205">
        <f t="shared" si="0"/>
        <v>0.49729999999999996</v>
      </c>
      <c r="S18" s="205">
        <f t="shared" si="0"/>
        <v>0.41200000000000003</v>
      </c>
      <c r="T18" s="205">
        <f t="shared" si="0"/>
        <v>0.4476</v>
      </c>
      <c r="U18" s="205">
        <f t="shared" si="0"/>
        <v>0.69650000000000001</v>
      </c>
      <c r="V18" s="205"/>
      <c r="W18" s="205"/>
      <c r="X18" s="205"/>
      <c r="Y18" s="205"/>
      <c r="Z18" s="205"/>
    </row>
    <row r="19" spans="1:26" x14ac:dyDescent="0.4">
      <c r="A19" s="76"/>
      <c r="B19" s="235" t="s">
        <v>22</v>
      </c>
      <c r="C19" s="25"/>
      <c r="D19" s="25"/>
      <c r="E19" s="34">
        <f>'BGS PTY19 Cost Alloc'!E19</f>
        <v>0.49959999999999999</v>
      </c>
      <c r="F19" s="34">
        <f>'BGS PTY19 Cost Alloc'!F19</f>
        <v>0.52010000000000001</v>
      </c>
      <c r="G19" s="34">
        <f>'BGS PTY19 Cost Alloc'!G19</f>
        <v>0.60260000000000002</v>
      </c>
      <c r="H19" s="34">
        <f>'BGS PTY19 Cost Alloc'!H19</f>
        <v>0.57609999999999995</v>
      </c>
      <c r="I19" s="34">
        <f>'BGS PTY19 Cost Alloc'!I19</f>
        <v>0.30480000000000002</v>
      </c>
      <c r="J19" s="25"/>
      <c r="K19" s="198"/>
      <c r="L19" s="198"/>
      <c r="M19" s="198"/>
      <c r="N19" s="205"/>
      <c r="O19" s="205"/>
      <c r="P19" s="205"/>
      <c r="Q19" s="205">
        <f t="shared" si="0"/>
        <v>0.50039999999999996</v>
      </c>
      <c r="R19" s="205">
        <f t="shared" si="0"/>
        <v>0.47989999999999999</v>
      </c>
      <c r="S19" s="205">
        <f t="shared" si="0"/>
        <v>0.39739999999999998</v>
      </c>
      <c r="T19" s="205">
        <f t="shared" si="0"/>
        <v>0.42390000000000005</v>
      </c>
      <c r="U19" s="205">
        <f t="shared" si="0"/>
        <v>0.69520000000000004</v>
      </c>
      <c r="V19" s="205"/>
      <c r="W19" s="205"/>
      <c r="X19" s="205"/>
      <c r="Y19" s="205"/>
      <c r="Z19" s="205"/>
    </row>
    <row r="20" spans="1:26" x14ac:dyDescent="0.4">
      <c r="A20" s="76"/>
      <c r="B20" s="249" t="s">
        <v>23</v>
      </c>
      <c r="C20" s="250"/>
      <c r="D20" s="250"/>
      <c r="E20" s="251">
        <f>'BGS PTY19 Cost Alloc'!E20</f>
        <v>0.51549999999999996</v>
      </c>
      <c r="F20" s="251">
        <f>'BGS PTY19 Cost Alloc'!F20</f>
        <v>0.52139999999999997</v>
      </c>
      <c r="G20" s="251">
        <f>'BGS PTY19 Cost Alloc'!G20</f>
        <v>0.57830000000000004</v>
      </c>
      <c r="H20" s="251">
        <f>'BGS PTY19 Cost Alloc'!H20</f>
        <v>0.56779999999999997</v>
      </c>
      <c r="I20" s="252">
        <f>'BGS PTY19 Cost Alloc'!I20</f>
        <v>0.29139999999999999</v>
      </c>
      <c r="J20" s="25"/>
      <c r="K20" s="198"/>
      <c r="L20" s="198"/>
      <c r="M20" s="198"/>
      <c r="N20" s="205"/>
      <c r="O20" s="205"/>
      <c r="P20" s="205"/>
      <c r="Q20" s="205">
        <f t="shared" si="0"/>
        <v>0.48450000000000004</v>
      </c>
      <c r="R20" s="205">
        <f t="shared" si="0"/>
        <v>0.47860000000000003</v>
      </c>
      <c r="S20" s="205">
        <f t="shared" si="0"/>
        <v>0.42169999999999996</v>
      </c>
      <c r="T20" s="205">
        <f t="shared" si="0"/>
        <v>0.43220000000000003</v>
      </c>
      <c r="U20" s="205">
        <f t="shared" si="0"/>
        <v>0.70860000000000001</v>
      </c>
      <c r="V20" s="205"/>
      <c r="W20" s="205"/>
      <c r="X20" s="205"/>
      <c r="Y20" s="205"/>
      <c r="Z20" s="205"/>
    </row>
    <row r="21" spans="1:26" x14ac:dyDescent="0.4">
      <c r="A21" s="76"/>
      <c r="B21" s="253" t="s">
        <v>24</v>
      </c>
      <c r="C21" s="35"/>
      <c r="D21" s="35"/>
      <c r="E21" s="39">
        <f>'BGS PTY19 Cost Alloc'!E21</f>
        <v>0.50960000000000005</v>
      </c>
      <c r="F21" s="39">
        <f>'BGS PTY19 Cost Alloc'!F21</f>
        <v>0.50970000000000004</v>
      </c>
      <c r="G21" s="39">
        <f>'BGS PTY19 Cost Alloc'!G21</f>
        <v>0.5665</v>
      </c>
      <c r="H21" s="39">
        <f>'BGS PTY19 Cost Alloc'!H21</f>
        <v>0.54690000000000005</v>
      </c>
      <c r="I21" s="254">
        <f>'BGS PTY19 Cost Alloc'!I21</f>
        <v>0.27879999999999999</v>
      </c>
      <c r="J21" s="25"/>
      <c r="K21" s="198"/>
      <c r="L21" s="198"/>
      <c r="M21" s="198"/>
      <c r="N21" s="205"/>
      <c r="O21" s="205"/>
      <c r="P21" s="205"/>
      <c r="Q21" s="205">
        <f t="shared" si="0"/>
        <v>0.49039999999999995</v>
      </c>
      <c r="R21" s="205">
        <f t="shared" si="0"/>
        <v>0.49029999999999996</v>
      </c>
      <c r="S21" s="205">
        <f t="shared" si="0"/>
        <v>0.4335</v>
      </c>
      <c r="T21" s="205">
        <f t="shared" si="0"/>
        <v>0.45309999999999995</v>
      </c>
      <c r="U21" s="205">
        <f t="shared" si="0"/>
        <v>0.72120000000000006</v>
      </c>
      <c r="V21" s="205"/>
      <c r="W21" s="205"/>
      <c r="X21" s="205"/>
      <c r="Y21" s="205"/>
      <c r="Z21" s="205"/>
    </row>
    <row r="22" spans="1:26" x14ac:dyDescent="0.4">
      <c r="A22" s="76"/>
      <c r="B22" s="253" t="s">
        <v>25</v>
      </c>
      <c r="C22" s="35"/>
      <c r="D22" s="35"/>
      <c r="E22" s="39">
        <f>'BGS PTY19 Cost Alloc'!E22</f>
        <v>0.55400000000000005</v>
      </c>
      <c r="F22" s="39">
        <f>'BGS PTY19 Cost Alloc'!F22</f>
        <v>0.55510000000000004</v>
      </c>
      <c r="G22" s="39">
        <f>'BGS PTY19 Cost Alloc'!G22</f>
        <v>0.60399999999999998</v>
      </c>
      <c r="H22" s="39">
        <f>'BGS PTY19 Cost Alloc'!H22</f>
        <v>0.58540000000000003</v>
      </c>
      <c r="I22" s="254">
        <f>'BGS PTY19 Cost Alloc'!I22</f>
        <v>0.3095</v>
      </c>
      <c r="J22" s="25"/>
      <c r="K22" s="198"/>
      <c r="L22" s="198"/>
      <c r="M22" s="198"/>
      <c r="N22" s="205"/>
      <c r="O22" s="205"/>
      <c r="P22" s="205"/>
      <c r="Q22" s="205">
        <f t="shared" si="0"/>
        <v>0.44599999999999995</v>
      </c>
      <c r="R22" s="205">
        <f t="shared" si="0"/>
        <v>0.44489999999999996</v>
      </c>
      <c r="S22" s="205">
        <f t="shared" si="0"/>
        <v>0.39600000000000002</v>
      </c>
      <c r="T22" s="205">
        <f t="shared" si="0"/>
        <v>0.41459999999999997</v>
      </c>
      <c r="U22" s="205">
        <f t="shared" si="0"/>
        <v>0.6905</v>
      </c>
      <c r="V22" s="205"/>
      <c r="W22" s="205"/>
      <c r="X22" s="205"/>
      <c r="Y22" s="205"/>
      <c r="Z22" s="205"/>
    </row>
    <row r="23" spans="1:26" x14ac:dyDescent="0.4">
      <c r="A23" s="76"/>
      <c r="B23" s="255" t="s">
        <v>26</v>
      </c>
      <c r="C23" s="256"/>
      <c r="D23" s="256"/>
      <c r="E23" s="257">
        <f>'BGS PTY19 Cost Alloc'!E23</f>
        <v>0.45910000000000001</v>
      </c>
      <c r="F23" s="257">
        <f>'BGS PTY19 Cost Alloc'!F23</f>
        <v>0.46850000000000003</v>
      </c>
      <c r="G23" s="257">
        <f>'BGS PTY19 Cost Alloc'!G23</f>
        <v>0.56210000000000004</v>
      </c>
      <c r="H23" s="257">
        <f>'BGS PTY19 Cost Alloc'!H23</f>
        <v>0.54239999999999999</v>
      </c>
      <c r="I23" s="258">
        <f>'BGS PTY19 Cost Alloc'!I23</f>
        <v>0.29299999999999998</v>
      </c>
      <c r="J23" s="25"/>
      <c r="K23" s="198"/>
      <c r="L23" s="198"/>
      <c r="M23" s="198"/>
      <c r="N23" s="205"/>
      <c r="O23" s="205"/>
      <c r="P23" s="205"/>
      <c r="Q23" s="205">
        <f t="shared" si="0"/>
        <v>0.54089999999999994</v>
      </c>
      <c r="R23" s="205">
        <f t="shared" si="0"/>
        <v>0.53149999999999997</v>
      </c>
      <c r="S23" s="205">
        <f t="shared" si="0"/>
        <v>0.43789999999999996</v>
      </c>
      <c r="T23" s="205">
        <f t="shared" si="0"/>
        <v>0.45760000000000001</v>
      </c>
      <c r="U23" s="205">
        <f t="shared" si="0"/>
        <v>0.70700000000000007</v>
      </c>
      <c r="V23" s="205"/>
      <c r="W23" s="205"/>
      <c r="X23" s="205"/>
      <c r="Y23" s="205"/>
      <c r="Z23" s="205"/>
    </row>
    <row r="24" spans="1:26" x14ac:dyDescent="0.4">
      <c r="A24" s="76"/>
      <c r="B24" s="235" t="s">
        <v>27</v>
      </c>
      <c r="C24" s="25"/>
      <c r="D24" s="25"/>
      <c r="E24" s="34">
        <f>'BGS PTY19 Cost Alloc'!E24</f>
        <v>0.50360000000000005</v>
      </c>
      <c r="F24" s="34">
        <f>'BGS PTY19 Cost Alloc'!F24</f>
        <v>0.52669999999999995</v>
      </c>
      <c r="G24" s="34">
        <f>'BGS PTY19 Cost Alloc'!G24</f>
        <v>0.60609999999999997</v>
      </c>
      <c r="H24" s="34">
        <f>'BGS PTY19 Cost Alloc'!H24</f>
        <v>0.58120000000000005</v>
      </c>
      <c r="I24" s="34">
        <f>'BGS PTY19 Cost Alloc'!I24</f>
        <v>0.3407</v>
      </c>
      <c r="J24" s="25"/>
      <c r="K24" s="198"/>
      <c r="L24" s="198"/>
      <c r="M24" s="198"/>
      <c r="N24" s="205"/>
      <c r="O24" s="205"/>
      <c r="P24" s="205"/>
      <c r="Q24" s="205">
        <f t="shared" si="0"/>
        <v>0.49639999999999995</v>
      </c>
      <c r="R24" s="205">
        <f t="shared" si="0"/>
        <v>0.47330000000000005</v>
      </c>
      <c r="S24" s="205">
        <f t="shared" si="0"/>
        <v>0.39390000000000003</v>
      </c>
      <c r="T24" s="205">
        <f t="shared" si="0"/>
        <v>0.41879999999999995</v>
      </c>
      <c r="U24" s="205">
        <f t="shared" si="0"/>
        <v>0.6593</v>
      </c>
      <c r="V24" s="205"/>
      <c r="W24" s="205"/>
      <c r="X24" s="205"/>
      <c r="Y24" s="205"/>
      <c r="Z24" s="205"/>
    </row>
    <row r="25" spans="1:26" x14ac:dyDescent="0.4">
      <c r="A25" s="76"/>
      <c r="B25" s="235" t="s">
        <v>28</v>
      </c>
      <c r="C25" s="25"/>
      <c r="D25" s="25"/>
      <c r="E25" s="34">
        <f>'BGS PTY19 Cost Alloc'!E25</f>
        <v>0.45889999999999997</v>
      </c>
      <c r="F25" s="34">
        <f>'BGS PTY19 Cost Alloc'!F25</f>
        <v>0.49099999999999999</v>
      </c>
      <c r="G25" s="34">
        <f>'BGS PTY19 Cost Alloc'!G25</f>
        <v>0.57220000000000004</v>
      </c>
      <c r="H25" s="34">
        <f>'BGS PTY19 Cost Alloc'!H25</f>
        <v>0.5423</v>
      </c>
      <c r="I25" s="34">
        <f>'BGS PTY19 Cost Alloc'!I25</f>
        <v>0.32469999999999999</v>
      </c>
      <c r="J25" s="25"/>
      <c r="K25" s="198"/>
      <c r="L25" s="198"/>
      <c r="M25" s="198"/>
      <c r="N25" s="205"/>
      <c r="O25" s="205"/>
      <c r="P25" s="205"/>
      <c r="Q25" s="205">
        <f t="shared" si="0"/>
        <v>0.54110000000000003</v>
      </c>
      <c r="R25" s="205">
        <f t="shared" si="0"/>
        <v>0.50900000000000001</v>
      </c>
      <c r="S25" s="205">
        <f t="shared" si="0"/>
        <v>0.42779999999999996</v>
      </c>
      <c r="T25" s="205">
        <f t="shared" si="0"/>
        <v>0.4577</v>
      </c>
      <c r="U25" s="205">
        <f t="shared" si="0"/>
        <v>0.67530000000000001</v>
      </c>
      <c r="V25" s="205"/>
      <c r="W25" s="205"/>
      <c r="X25" s="205"/>
      <c r="Y25" s="205"/>
      <c r="Z25" s="205"/>
    </row>
    <row r="26" spans="1:26" x14ac:dyDescent="0.4">
      <c r="A26" s="76"/>
      <c r="B26" s="235" t="s">
        <v>29</v>
      </c>
      <c r="C26" s="25"/>
      <c r="D26" s="25"/>
      <c r="E26" s="34">
        <f>'BGS PTY19 Cost Alloc'!E26</f>
        <v>0.44529999999999997</v>
      </c>
      <c r="F26" s="34">
        <f>'BGS PTY19 Cost Alloc'!F26</f>
        <v>0.46700000000000003</v>
      </c>
      <c r="G26" s="34">
        <f>'BGS PTY19 Cost Alloc'!G26</f>
        <v>0.54069999999999996</v>
      </c>
      <c r="H26" s="34">
        <f>'BGS PTY19 Cost Alloc'!H26</f>
        <v>0.51339999999999997</v>
      </c>
      <c r="I26" s="34">
        <f>'BGS PTY19 Cost Alloc'!I26</f>
        <v>0.31390000000000001</v>
      </c>
      <c r="J26" s="25"/>
      <c r="K26" s="198"/>
      <c r="L26" s="198"/>
      <c r="M26" s="198"/>
      <c r="N26" s="205"/>
      <c r="O26" s="205"/>
      <c r="P26" s="205"/>
      <c r="Q26" s="205">
        <f t="shared" si="0"/>
        <v>0.55469999999999997</v>
      </c>
      <c r="R26" s="205">
        <f t="shared" si="0"/>
        <v>0.53299999999999992</v>
      </c>
      <c r="S26" s="205">
        <f t="shared" si="0"/>
        <v>0.45930000000000004</v>
      </c>
      <c r="T26" s="205">
        <f t="shared" si="0"/>
        <v>0.48660000000000003</v>
      </c>
      <c r="U26" s="205">
        <f t="shared" si="0"/>
        <v>0.68609999999999993</v>
      </c>
      <c r="V26" s="205"/>
      <c r="W26" s="205"/>
      <c r="X26" s="205"/>
      <c r="Y26" s="205"/>
      <c r="Z26" s="205"/>
    </row>
    <row r="27" spans="1:26" x14ac:dyDescent="0.4">
      <c r="A27" s="76"/>
      <c r="B27" s="235"/>
      <c r="C27" s="205"/>
      <c r="D27" s="205"/>
      <c r="E27" s="205"/>
      <c r="F27" s="205"/>
      <c r="G27" s="205"/>
      <c r="H27" s="205"/>
      <c r="I27" s="28"/>
      <c r="J27" s="28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</row>
    <row r="28" spans="1:26" x14ac:dyDescent="0.4">
      <c r="A28" s="76"/>
      <c r="B28" s="235"/>
      <c r="C28" s="205"/>
      <c r="D28" s="205"/>
      <c r="E28" s="205"/>
      <c r="F28" s="205"/>
      <c r="G28" s="205"/>
      <c r="H28" s="205"/>
      <c r="I28" s="28"/>
      <c r="J28" s="28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</row>
    <row r="29" spans="1:26" x14ac:dyDescent="0.4">
      <c r="A29" s="77" t="s">
        <v>30</v>
      </c>
      <c r="B29" s="83" t="s">
        <v>31</v>
      </c>
      <c r="C29" s="205"/>
      <c r="D29" s="205"/>
      <c r="E29" s="205"/>
      <c r="F29" s="10" t="s">
        <v>32</v>
      </c>
      <c r="G29" s="205"/>
      <c r="H29" s="205"/>
      <c r="I29" s="28"/>
      <c r="J29" s="28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</row>
    <row r="30" spans="1:26" ht="53.25" customHeight="1" x14ac:dyDescent="0.4">
      <c r="A30" s="76"/>
      <c r="C30" s="88"/>
      <c r="D30" s="88"/>
      <c r="E30" s="88" t="str">
        <f>'BGS PTY19 Cost Alloc'!$E$30</f>
        <v>2020 Forecasted Calendar Month Sales</v>
      </c>
      <c r="F30" s="88" t="s">
        <v>33</v>
      </c>
      <c r="G30" s="88" t="s">
        <v>33</v>
      </c>
      <c r="H30" s="88" t="str">
        <f>'BGS PTY19 Cost Alloc'!$E$30</f>
        <v>2020 Forecasted Calendar Month Sales</v>
      </c>
      <c r="I30" s="88" t="s">
        <v>33</v>
      </c>
      <c r="J30" s="88"/>
      <c r="K30" s="88"/>
      <c r="L30" s="88"/>
      <c r="M30" s="88"/>
      <c r="N30" s="79"/>
      <c r="O30" s="88"/>
      <c r="P30" s="88"/>
      <c r="Q30" s="88" t="str">
        <f>'BGS PTY19 Cost Alloc'!Q30</f>
        <v>2020 Forecasted Calendar Month Sales</v>
      </c>
      <c r="R30" s="88" t="s">
        <v>33</v>
      </c>
      <c r="S30" s="88" t="s">
        <v>33</v>
      </c>
      <c r="T30" s="88" t="str">
        <f>'BGS PTY19 Cost Alloc'!T30</f>
        <v>2020 Forecasted Calendar Month Sales</v>
      </c>
      <c r="U30" s="88" t="s">
        <v>33</v>
      </c>
      <c r="V30" s="88"/>
      <c r="W30" s="88"/>
      <c r="X30" s="88"/>
      <c r="Y30" s="88"/>
      <c r="Z30" s="88"/>
    </row>
    <row r="31" spans="1:26" x14ac:dyDescent="0.4">
      <c r="A31" s="76"/>
      <c r="B31" s="89" t="s">
        <v>12</v>
      </c>
      <c r="C31" s="80"/>
      <c r="D31" s="80"/>
      <c r="E31" s="80" t="str">
        <f>+E$13</f>
        <v>RT{1}</v>
      </c>
      <c r="F31" s="80" t="str">
        <f>+F$13</f>
        <v>RS{2}</v>
      </c>
      <c r="G31" s="80" t="str">
        <f>+G$13</f>
        <v>GS{3}</v>
      </c>
      <c r="H31" s="80" t="str">
        <f>+H$13</f>
        <v>GST</v>
      </c>
      <c r="I31" s="80" t="str">
        <f>+I$13</f>
        <v>OL/SL</v>
      </c>
      <c r="J31" s="80"/>
      <c r="K31" s="80"/>
      <c r="L31" s="80"/>
      <c r="M31" s="80"/>
      <c r="N31" s="90"/>
      <c r="O31" s="80"/>
      <c r="P31" s="80"/>
      <c r="Q31" s="80" t="str">
        <f>+Q$13</f>
        <v>RT{1}</v>
      </c>
      <c r="R31" s="80" t="str">
        <f>+R$13</f>
        <v>RS{2}</v>
      </c>
      <c r="S31" s="80" t="str">
        <f>+S$13</f>
        <v>GS{3}</v>
      </c>
      <c r="T31" s="80" t="str">
        <f>+T$13</f>
        <v>GST</v>
      </c>
      <c r="U31" s="80" t="str">
        <f>+U$13</f>
        <v>OL/SL</v>
      </c>
      <c r="V31" s="80"/>
      <c r="W31" s="80"/>
      <c r="X31" s="80"/>
      <c r="Y31" s="80"/>
      <c r="Z31" s="80"/>
    </row>
    <row r="32" spans="1:26" x14ac:dyDescent="0.4">
      <c r="A32" s="76"/>
    </row>
    <row r="33" spans="1:26" x14ac:dyDescent="0.4">
      <c r="A33" s="76"/>
      <c r="B33" s="235" t="s">
        <v>18</v>
      </c>
      <c r="C33" s="259"/>
      <c r="D33" s="260"/>
      <c r="E33" s="34">
        <f>'BGS PTY19 Cost Alloc'!E33</f>
        <v>0.35270000000000001</v>
      </c>
      <c r="F33" s="259" t="s">
        <v>34</v>
      </c>
      <c r="G33" s="259" t="s">
        <v>34</v>
      </c>
      <c r="H33" s="34">
        <f>'BGS PTY19 Cost Alloc'!H33</f>
        <v>0.42259999999999998</v>
      </c>
      <c r="I33" s="259" t="s">
        <v>34</v>
      </c>
      <c r="J33" s="259"/>
      <c r="K33" s="259"/>
      <c r="L33" s="205"/>
      <c r="M33" s="198"/>
      <c r="N33" s="205"/>
      <c r="O33" s="205"/>
      <c r="P33" s="205"/>
      <c r="Q33" s="205">
        <f t="shared" ref="Q33:Q44" si="1">1-E33</f>
        <v>0.64729999999999999</v>
      </c>
      <c r="R33" s="205"/>
      <c r="S33" s="205"/>
      <c r="T33" s="205">
        <f t="shared" ref="T33:T44" si="2">1-H33</f>
        <v>0.57740000000000002</v>
      </c>
      <c r="U33" s="205"/>
      <c r="V33" s="205"/>
      <c r="W33" s="205"/>
      <c r="X33" s="205"/>
      <c r="Y33" s="205"/>
      <c r="Z33" s="205"/>
    </row>
    <row r="34" spans="1:26" x14ac:dyDescent="0.4">
      <c r="A34" s="76"/>
      <c r="B34" s="235" t="s">
        <v>19</v>
      </c>
      <c r="C34" s="259"/>
      <c r="D34" s="260"/>
      <c r="E34" s="34">
        <f>'BGS PTY19 Cost Alloc'!E34</f>
        <v>0.34670000000000001</v>
      </c>
      <c r="F34" s="259" t="s">
        <v>34</v>
      </c>
      <c r="G34" s="259" t="s">
        <v>34</v>
      </c>
      <c r="H34" s="34">
        <f>'BGS PTY19 Cost Alloc'!H34</f>
        <v>0.43049999999999999</v>
      </c>
      <c r="I34" s="259" t="s">
        <v>34</v>
      </c>
      <c r="J34" s="259"/>
      <c r="K34" s="259"/>
      <c r="L34" s="205"/>
      <c r="M34" s="198"/>
      <c r="N34" s="205"/>
      <c r="O34" s="205"/>
      <c r="P34" s="205"/>
      <c r="Q34" s="205">
        <f t="shared" si="1"/>
        <v>0.65329999999999999</v>
      </c>
      <c r="R34" s="205"/>
      <c r="S34" s="205"/>
      <c r="T34" s="205">
        <f t="shared" si="2"/>
        <v>0.56950000000000001</v>
      </c>
      <c r="U34" s="205"/>
      <c r="V34" s="205"/>
      <c r="W34" s="205"/>
      <c r="X34" s="205"/>
      <c r="Y34" s="205"/>
      <c r="Z34" s="205"/>
    </row>
    <row r="35" spans="1:26" x14ac:dyDescent="0.4">
      <c r="A35" s="76"/>
      <c r="B35" s="235" t="s">
        <v>20</v>
      </c>
      <c r="C35" s="259"/>
      <c r="D35" s="260"/>
      <c r="E35" s="34">
        <f>'BGS PTY19 Cost Alloc'!E35</f>
        <v>0.34229999999999999</v>
      </c>
      <c r="F35" s="259" t="s">
        <v>34</v>
      </c>
      <c r="G35" s="259" t="s">
        <v>34</v>
      </c>
      <c r="H35" s="34">
        <f>'BGS PTY19 Cost Alloc'!H35</f>
        <v>0.43240000000000001</v>
      </c>
      <c r="I35" s="259" t="s">
        <v>34</v>
      </c>
      <c r="J35" s="259"/>
      <c r="K35" s="259"/>
      <c r="L35" s="205"/>
      <c r="M35" s="198"/>
      <c r="N35" s="205"/>
      <c r="O35" s="205"/>
      <c r="P35" s="205"/>
      <c r="Q35" s="205">
        <f t="shared" si="1"/>
        <v>0.65769999999999995</v>
      </c>
      <c r="R35" s="205"/>
      <c r="S35" s="205"/>
      <c r="T35" s="205">
        <f t="shared" si="2"/>
        <v>0.56759999999999999</v>
      </c>
      <c r="U35" s="205"/>
      <c r="V35" s="205"/>
      <c r="W35" s="205"/>
      <c r="X35" s="205"/>
      <c r="Y35" s="205"/>
      <c r="Z35" s="205"/>
    </row>
    <row r="36" spans="1:26" x14ac:dyDescent="0.4">
      <c r="A36" s="76"/>
      <c r="B36" s="235" t="s">
        <v>21</v>
      </c>
      <c r="C36" s="259"/>
      <c r="D36" s="260"/>
      <c r="E36" s="34">
        <f>'BGS PTY19 Cost Alloc'!E36</f>
        <v>0.34770000000000001</v>
      </c>
      <c r="F36" s="259" t="s">
        <v>34</v>
      </c>
      <c r="G36" s="259" t="s">
        <v>34</v>
      </c>
      <c r="H36" s="34">
        <f>'BGS PTY19 Cost Alloc'!H36</f>
        <v>0.44059999999999999</v>
      </c>
      <c r="I36" s="259" t="s">
        <v>34</v>
      </c>
      <c r="J36" s="259"/>
      <c r="K36" s="259"/>
      <c r="L36" s="205"/>
      <c r="M36" s="198"/>
      <c r="N36" s="205"/>
      <c r="O36" s="205"/>
      <c r="P36" s="205"/>
      <c r="Q36" s="205">
        <f t="shared" si="1"/>
        <v>0.65229999999999999</v>
      </c>
      <c r="R36" s="205"/>
      <c r="S36" s="205"/>
      <c r="T36" s="205">
        <f t="shared" si="2"/>
        <v>0.55940000000000001</v>
      </c>
      <c r="U36" s="205"/>
      <c r="V36" s="205"/>
      <c r="W36" s="205"/>
      <c r="X36" s="205"/>
      <c r="Y36" s="205"/>
      <c r="Z36" s="205"/>
    </row>
    <row r="37" spans="1:26" x14ac:dyDescent="0.4">
      <c r="A37" s="76"/>
      <c r="B37" s="235" t="s">
        <v>22</v>
      </c>
      <c r="C37" s="259"/>
      <c r="D37" s="260"/>
      <c r="E37" s="34">
        <f>'BGS PTY19 Cost Alloc'!E37</f>
        <v>0.36670000000000003</v>
      </c>
      <c r="F37" s="259" t="s">
        <v>34</v>
      </c>
      <c r="G37" s="259" t="s">
        <v>34</v>
      </c>
      <c r="H37" s="34">
        <f>'BGS PTY19 Cost Alloc'!H37</f>
        <v>0.44819999999999999</v>
      </c>
      <c r="I37" s="259" t="s">
        <v>34</v>
      </c>
      <c r="J37" s="259"/>
      <c r="K37" s="259"/>
      <c r="L37" s="205"/>
      <c r="M37" s="198"/>
      <c r="N37" s="205"/>
      <c r="O37" s="205"/>
      <c r="P37" s="205"/>
      <c r="Q37" s="205">
        <f t="shared" si="1"/>
        <v>0.63329999999999997</v>
      </c>
      <c r="R37" s="205"/>
      <c r="S37" s="205"/>
      <c r="T37" s="205">
        <f t="shared" si="2"/>
        <v>0.55180000000000007</v>
      </c>
      <c r="U37" s="205"/>
      <c r="V37" s="205"/>
      <c r="W37" s="205"/>
      <c r="X37" s="205"/>
      <c r="Y37" s="205"/>
      <c r="Z37" s="205"/>
    </row>
    <row r="38" spans="1:26" x14ac:dyDescent="0.4">
      <c r="A38" s="76"/>
      <c r="B38" s="235" t="s">
        <v>23</v>
      </c>
      <c r="C38" s="259"/>
      <c r="D38" s="260"/>
      <c r="E38" s="34">
        <f>'BGS PTY19 Cost Alloc'!E38</f>
        <v>0.3977</v>
      </c>
      <c r="F38" s="259" t="s">
        <v>34</v>
      </c>
      <c r="G38" s="259" t="s">
        <v>34</v>
      </c>
      <c r="H38" s="34">
        <f>'BGS PTY19 Cost Alloc'!H38</f>
        <v>0.46250000000000002</v>
      </c>
      <c r="I38" s="259" t="s">
        <v>34</v>
      </c>
      <c r="J38" s="259"/>
      <c r="K38" s="259"/>
      <c r="L38" s="205"/>
      <c r="M38" s="198"/>
      <c r="N38" s="205"/>
      <c r="O38" s="205"/>
      <c r="P38" s="205"/>
      <c r="Q38" s="205">
        <f t="shared" si="1"/>
        <v>0.60230000000000006</v>
      </c>
      <c r="R38" s="205"/>
      <c r="S38" s="205"/>
      <c r="T38" s="205">
        <f t="shared" si="2"/>
        <v>0.53749999999999998</v>
      </c>
      <c r="U38" s="205"/>
      <c r="V38" s="205"/>
      <c r="W38" s="205"/>
      <c r="X38" s="205"/>
      <c r="Y38" s="205"/>
      <c r="Z38" s="205"/>
    </row>
    <row r="39" spans="1:26" x14ac:dyDescent="0.4">
      <c r="A39" s="76"/>
      <c r="B39" s="235" t="s">
        <v>24</v>
      </c>
      <c r="C39" s="259"/>
      <c r="D39" s="260"/>
      <c r="E39" s="34">
        <f>'BGS PTY19 Cost Alloc'!E39</f>
        <v>0.41570000000000001</v>
      </c>
      <c r="F39" s="259" t="s">
        <v>34</v>
      </c>
      <c r="G39" s="259" t="s">
        <v>34</v>
      </c>
      <c r="H39" s="34">
        <f>'BGS PTY19 Cost Alloc'!H39</f>
        <v>0.46460000000000001</v>
      </c>
      <c r="I39" s="259" t="s">
        <v>34</v>
      </c>
      <c r="J39" s="259"/>
      <c r="K39" s="259"/>
      <c r="L39" s="205"/>
      <c r="M39" s="198"/>
      <c r="N39" s="205"/>
      <c r="O39" s="205"/>
      <c r="P39" s="205"/>
      <c r="Q39" s="205">
        <f t="shared" si="1"/>
        <v>0.58430000000000004</v>
      </c>
      <c r="R39" s="205"/>
      <c r="S39" s="205"/>
      <c r="T39" s="205">
        <f t="shared" si="2"/>
        <v>0.53539999999999999</v>
      </c>
      <c r="U39" s="205"/>
      <c r="V39" s="205"/>
      <c r="W39" s="205"/>
      <c r="X39" s="205"/>
      <c r="Y39" s="205"/>
      <c r="Z39" s="205"/>
    </row>
    <row r="40" spans="1:26" x14ac:dyDescent="0.4">
      <c r="A40" s="76"/>
      <c r="B40" s="235" t="s">
        <v>25</v>
      </c>
      <c r="C40" s="259"/>
      <c r="D40" s="260"/>
      <c r="E40" s="34">
        <f>'BGS PTY19 Cost Alloc'!E40</f>
        <v>0.41810000000000003</v>
      </c>
      <c r="F40" s="259" t="s">
        <v>34</v>
      </c>
      <c r="G40" s="259" t="s">
        <v>34</v>
      </c>
      <c r="H40" s="34">
        <f>'BGS PTY19 Cost Alloc'!H40</f>
        <v>0.46360000000000001</v>
      </c>
      <c r="I40" s="259" t="s">
        <v>34</v>
      </c>
      <c r="J40" s="259"/>
      <c r="K40" s="259"/>
      <c r="L40" s="205"/>
      <c r="M40" s="198"/>
      <c r="N40" s="205"/>
      <c r="O40" s="205"/>
      <c r="P40" s="205"/>
      <c r="Q40" s="205">
        <f t="shared" si="1"/>
        <v>0.58189999999999997</v>
      </c>
      <c r="R40" s="205"/>
      <c r="S40" s="205"/>
      <c r="T40" s="205">
        <f t="shared" si="2"/>
        <v>0.53639999999999999</v>
      </c>
      <c r="U40" s="205"/>
      <c r="V40" s="205"/>
      <c r="W40" s="205"/>
      <c r="X40" s="205"/>
      <c r="Y40" s="205"/>
      <c r="Z40" s="205"/>
    </row>
    <row r="41" spans="1:26" x14ac:dyDescent="0.4">
      <c r="A41" s="76"/>
      <c r="B41" s="235" t="s">
        <v>26</v>
      </c>
      <c r="C41" s="259"/>
      <c r="D41" s="260"/>
      <c r="E41" s="34">
        <f>'BGS PTY19 Cost Alloc'!E41</f>
        <v>0.40629999999999999</v>
      </c>
      <c r="F41" s="259" t="s">
        <v>34</v>
      </c>
      <c r="G41" s="259" t="s">
        <v>34</v>
      </c>
      <c r="H41" s="34">
        <f>'BGS PTY19 Cost Alloc'!H41</f>
        <v>0.45789999999999997</v>
      </c>
      <c r="I41" s="259" t="s">
        <v>34</v>
      </c>
      <c r="J41" s="259"/>
      <c r="K41" s="259"/>
      <c r="L41" s="205"/>
      <c r="M41" s="198"/>
      <c r="N41" s="205"/>
      <c r="O41" s="205"/>
      <c r="P41" s="205"/>
      <c r="Q41" s="205">
        <f t="shared" si="1"/>
        <v>0.59370000000000001</v>
      </c>
      <c r="R41" s="205"/>
      <c r="S41" s="205"/>
      <c r="T41" s="205">
        <f t="shared" si="2"/>
        <v>0.54210000000000003</v>
      </c>
      <c r="U41" s="205"/>
      <c r="V41" s="205"/>
      <c r="W41" s="205"/>
      <c r="X41" s="205"/>
      <c r="Y41" s="205"/>
      <c r="Z41" s="205"/>
    </row>
    <row r="42" spans="1:26" x14ac:dyDescent="0.4">
      <c r="A42" s="76"/>
      <c r="B42" s="235" t="s">
        <v>27</v>
      </c>
      <c r="C42" s="259"/>
      <c r="D42" s="260"/>
      <c r="E42" s="34">
        <f>'BGS PTY19 Cost Alloc'!E42</f>
        <v>0.37169999999999997</v>
      </c>
      <c r="F42" s="259" t="s">
        <v>34</v>
      </c>
      <c r="G42" s="259" t="s">
        <v>34</v>
      </c>
      <c r="H42" s="34">
        <f>'BGS PTY19 Cost Alloc'!H42</f>
        <v>0.46239999999999998</v>
      </c>
      <c r="I42" s="259" t="s">
        <v>34</v>
      </c>
      <c r="J42" s="259"/>
      <c r="K42" s="259"/>
      <c r="L42" s="205"/>
      <c r="M42" s="198"/>
      <c r="N42" s="205"/>
      <c r="O42" s="205"/>
      <c r="P42" s="205"/>
      <c r="Q42" s="205">
        <f t="shared" si="1"/>
        <v>0.62830000000000008</v>
      </c>
      <c r="R42" s="205"/>
      <c r="S42" s="205"/>
      <c r="T42" s="205">
        <f t="shared" si="2"/>
        <v>0.53760000000000008</v>
      </c>
      <c r="U42" s="205"/>
      <c r="V42" s="205"/>
      <c r="W42" s="205"/>
      <c r="X42" s="205"/>
      <c r="Y42" s="205"/>
      <c r="Z42" s="205"/>
    </row>
    <row r="43" spans="1:26" x14ac:dyDescent="0.4">
      <c r="A43" s="76"/>
      <c r="B43" s="235" t="s">
        <v>28</v>
      </c>
      <c r="C43" s="259"/>
      <c r="D43" s="260"/>
      <c r="E43" s="34">
        <f>'BGS PTY19 Cost Alloc'!E43</f>
        <v>0.35399999999999998</v>
      </c>
      <c r="F43" s="259" t="s">
        <v>34</v>
      </c>
      <c r="G43" s="259" t="s">
        <v>34</v>
      </c>
      <c r="H43" s="34">
        <f>'BGS PTY19 Cost Alloc'!H43</f>
        <v>0.44779999999999998</v>
      </c>
      <c r="I43" s="259" t="s">
        <v>34</v>
      </c>
      <c r="J43" s="259"/>
      <c r="K43" s="259"/>
      <c r="L43" s="205"/>
      <c r="M43" s="198"/>
      <c r="N43" s="205"/>
      <c r="O43" s="205"/>
      <c r="P43" s="205"/>
      <c r="Q43" s="205">
        <f t="shared" si="1"/>
        <v>0.64600000000000002</v>
      </c>
      <c r="R43" s="205"/>
      <c r="S43" s="205"/>
      <c r="T43" s="205">
        <f t="shared" si="2"/>
        <v>0.55220000000000002</v>
      </c>
      <c r="U43" s="205"/>
      <c r="V43" s="205"/>
      <c r="W43" s="205"/>
      <c r="X43" s="205"/>
      <c r="Y43" s="205"/>
      <c r="Z43" s="205"/>
    </row>
    <row r="44" spans="1:26" x14ac:dyDescent="0.4">
      <c r="A44" s="76"/>
      <c r="B44" s="235" t="s">
        <v>29</v>
      </c>
      <c r="C44" s="259"/>
      <c r="D44" s="260"/>
      <c r="E44" s="34">
        <f>'BGS PTY19 Cost Alloc'!E44</f>
        <v>0.35349999999999998</v>
      </c>
      <c r="F44" s="259" t="s">
        <v>34</v>
      </c>
      <c r="G44" s="259" t="s">
        <v>34</v>
      </c>
      <c r="H44" s="34">
        <f>'BGS PTY19 Cost Alloc'!H44</f>
        <v>0.4289</v>
      </c>
      <c r="I44" s="259" t="s">
        <v>34</v>
      </c>
      <c r="J44" s="259"/>
      <c r="K44" s="259"/>
      <c r="L44" s="205"/>
      <c r="M44" s="198"/>
      <c r="N44" s="205"/>
      <c r="O44" s="205"/>
      <c r="P44" s="205"/>
      <c r="Q44" s="205">
        <f t="shared" si="1"/>
        <v>0.64650000000000007</v>
      </c>
      <c r="R44" s="205"/>
      <c r="S44" s="205"/>
      <c r="T44" s="205">
        <f t="shared" si="2"/>
        <v>0.57109999999999994</v>
      </c>
      <c r="U44" s="205"/>
      <c r="V44" s="205"/>
      <c r="W44" s="205"/>
      <c r="X44" s="205"/>
      <c r="Y44" s="205"/>
      <c r="Z44" s="205"/>
    </row>
    <row r="45" spans="1:26" x14ac:dyDescent="0.4">
      <c r="A45" s="76"/>
      <c r="B45" s="235"/>
      <c r="C45" s="259"/>
      <c r="D45" s="259"/>
      <c r="E45" s="259"/>
      <c r="F45" s="259"/>
      <c r="G45" s="259"/>
      <c r="H45" s="259"/>
      <c r="I45" s="259"/>
      <c r="J45" s="259"/>
      <c r="K45" s="259"/>
      <c r="L45" s="205"/>
      <c r="M45" s="198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</row>
    <row r="46" spans="1:26" x14ac:dyDescent="0.4">
      <c r="A46" s="76"/>
      <c r="B46" s="274" t="s">
        <v>35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05"/>
      <c r="M46" s="198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</row>
    <row r="47" spans="1:26" x14ac:dyDescent="0.4">
      <c r="A47" s="76"/>
      <c r="B47" s="274" t="s">
        <v>36</v>
      </c>
      <c r="C47" s="205"/>
      <c r="D47" s="205"/>
      <c r="E47" s="205"/>
      <c r="F47" s="205"/>
      <c r="G47" s="205"/>
      <c r="H47" s="205"/>
      <c r="I47" s="28"/>
      <c r="J47" s="28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6" x14ac:dyDescent="0.4">
      <c r="A48" s="76"/>
      <c r="B48" s="274" t="s">
        <v>37</v>
      </c>
      <c r="C48" s="205"/>
      <c r="D48" s="205"/>
      <c r="E48" s="205"/>
      <c r="F48" s="205"/>
      <c r="G48" s="205"/>
      <c r="H48" s="205"/>
      <c r="I48" s="28"/>
      <c r="J48" s="28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</row>
    <row r="49" spans="1:33" x14ac:dyDescent="0.4">
      <c r="A49" s="76"/>
      <c r="B49" s="274" t="s">
        <v>38</v>
      </c>
      <c r="C49" s="205"/>
      <c r="D49" s="205"/>
      <c r="E49" s="205"/>
      <c r="F49" s="205"/>
      <c r="G49" s="205"/>
      <c r="H49" s="205"/>
      <c r="I49" s="28"/>
      <c r="J49" s="28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</row>
    <row r="50" spans="1:33" x14ac:dyDescent="0.4">
      <c r="A50" s="76"/>
      <c r="B50" s="274" t="s">
        <v>39</v>
      </c>
      <c r="C50" s="205"/>
      <c r="D50" s="205"/>
      <c r="E50" s="205"/>
      <c r="F50" s="205"/>
      <c r="G50" s="205"/>
      <c r="H50" s="205"/>
      <c r="I50" s="28"/>
      <c r="J50" s="28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</row>
    <row r="51" spans="1:33" x14ac:dyDescent="0.4">
      <c r="A51" s="76"/>
      <c r="B51" s="235"/>
      <c r="C51" s="205"/>
      <c r="D51" s="205"/>
      <c r="E51" s="205"/>
      <c r="F51" s="205"/>
      <c r="G51" s="205"/>
      <c r="H51" s="205"/>
      <c r="I51" s="28"/>
      <c r="J51" s="28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</row>
    <row r="52" spans="1:33" ht="15.35" x14ac:dyDescent="0.5">
      <c r="A52" s="76"/>
      <c r="B52" s="382" t="str">
        <f>$B$1</f>
        <v xml:space="preserve">Jersey Central Power &amp; Light </v>
      </c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</row>
    <row r="53" spans="1:33" ht="15.35" x14ac:dyDescent="0.5">
      <c r="A53" s="76"/>
      <c r="B53" s="382" t="str">
        <f>$B$2</f>
        <v>Attachment 2</v>
      </c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</row>
    <row r="54" spans="1:33" x14ac:dyDescent="0.4">
      <c r="A54" s="76"/>
      <c r="B54" s="235"/>
      <c r="C54" s="205"/>
      <c r="D54" s="205"/>
      <c r="E54" s="205"/>
      <c r="F54" s="205"/>
      <c r="G54" s="205"/>
      <c r="H54" s="205"/>
      <c r="I54" s="28"/>
      <c r="J54" s="28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</row>
    <row r="55" spans="1:33" x14ac:dyDescent="0.4">
      <c r="A55" s="76"/>
      <c r="B55" s="235"/>
      <c r="C55" s="205"/>
      <c r="D55" s="205"/>
      <c r="E55" s="205"/>
      <c r="F55" s="205"/>
      <c r="G55" s="205"/>
      <c r="H55" s="205"/>
      <c r="I55" s="28"/>
      <c r="J55" s="28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82" t="str">
        <f>'BGS PTY19 Cost Alloc'!Y55</f>
        <v>Forecast 2021 Delivery MWh</v>
      </c>
      <c r="X55" s="366"/>
      <c r="Y55" s="366"/>
      <c r="Z55" s="205"/>
    </row>
    <row r="56" spans="1:33" x14ac:dyDescent="0.4">
      <c r="A56" s="77" t="s">
        <v>40</v>
      </c>
      <c r="B56" s="82" t="s">
        <v>41</v>
      </c>
      <c r="E56" s="205"/>
      <c r="F56" s="205"/>
      <c r="G56" s="205"/>
      <c r="H56" s="205"/>
      <c r="I56" s="28"/>
      <c r="J56" s="28"/>
      <c r="O56" s="78"/>
      <c r="W56" s="78"/>
      <c r="X56" s="78"/>
      <c r="Z56" s="276" t="s">
        <v>42</v>
      </c>
    </row>
    <row r="57" spans="1:33" x14ac:dyDescent="0.4">
      <c r="A57" s="76"/>
      <c r="B57" s="91" t="str">
        <f>'BGS PTY19 Cost Alloc'!$B$57</f>
        <v>calendar month sales forecasted for 2021</v>
      </c>
      <c r="N57" s="277"/>
      <c r="O57" s="278"/>
      <c r="P57" s="278"/>
      <c r="Q57" s="278" t="s">
        <v>43</v>
      </c>
      <c r="R57" s="278"/>
      <c r="S57" s="278"/>
      <c r="T57" s="278"/>
      <c r="U57" s="279"/>
      <c r="W57" s="80" t="s">
        <v>44</v>
      </c>
    </row>
    <row r="58" spans="1:33" x14ac:dyDescent="0.4">
      <c r="A58" s="76"/>
      <c r="B58" s="79" t="s">
        <v>45</v>
      </c>
      <c r="C58" s="80"/>
      <c r="D58" s="80"/>
      <c r="E58" s="80" t="str">
        <f>+E$13</f>
        <v>RT{1}</v>
      </c>
      <c r="F58" s="80" t="str">
        <f>+F$13</f>
        <v>RS{2}</v>
      </c>
      <c r="G58" s="80" t="str">
        <f>+G$13</f>
        <v>GS{3}</v>
      </c>
      <c r="H58" s="80" t="s">
        <v>46</v>
      </c>
      <c r="I58" s="80" t="str">
        <f>+I$13</f>
        <v>OL/SL</v>
      </c>
      <c r="J58" s="80" t="s">
        <v>44</v>
      </c>
      <c r="K58" s="80"/>
      <c r="L58" s="80"/>
      <c r="M58" s="80" t="s">
        <v>47</v>
      </c>
      <c r="N58" s="92"/>
      <c r="O58" s="80"/>
      <c r="P58" s="80"/>
      <c r="Q58" s="80" t="str">
        <f>+Q$13</f>
        <v>RT{1}</v>
      </c>
      <c r="R58" s="80" t="str">
        <f>+R$13</f>
        <v>RS{2}</v>
      </c>
      <c r="S58" s="80" t="str">
        <f>+S$13</f>
        <v>GS{3}</v>
      </c>
      <c r="T58" s="80" t="str">
        <f>+T$13</f>
        <v>GST</v>
      </c>
      <c r="U58" s="93" t="str">
        <f>+U$13</f>
        <v>OL/SL</v>
      </c>
      <c r="V58" s="80"/>
      <c r="W58" s="80" t="s">
        <v>48</v>
      </c>
      <c r="X58" s="80" t="s">
        <v>49</v>
      </c>
      <c r="Y58" s="80" t="s">
        <v>50</v>
      </c>
      <c r="Z58" s="80" t="s">
        <v>51</v>
      </c>
      <c r="AA58" s="80" t="s">
        <v>52</v>
      </c>
      <c r="AB58" s="80" t="s">
        <v>53</v>
      </c>
      <c r="AC58" s="80" t="s">
        <v>54</v>
      </c>
      <c r="AD58" s="80" t="s">
        <v>54</v>
      </c>
      <c r="AG58" s="80" t="s">
        <v>16</v>
      </c>
    </row>
    <row r="59" spans="1:33" x14ac:dyDescent="0.4">
      <c r="A59" s="76"/>
      <c r="M59" s="78" t="s">
        <v>55</v>
      </c>
      <c r="N59" s="281"/>
      <c r="U59" s="282"/>
    </row>
    <row r="60" spans="1:33" x14ac:dyDescent="0.4">
      <c r="A60" s="76"/>
      <c r="B60" s="235" t="s">
        <v>18</v>
      </c>
      <c r="C60" s="226"/>
      <c r="D60" s="226"/>
      <c r="E60" s="226">
        <f>'BGS PTY19 Cost Alloc'!E60</f>
        <v>22142</v>
      </c>
      <c r="F60" s="226">
        <f>'BGS PTY19 Cost Alloc'!F60</f>
        <v>816952</v>
      </c>
      <c r="G60" s="226">
        <f>'BGS PTY19 Cost Alloc'!G60</f>
        <v>459648</v>
      </c>
      <c r="H60" s="226">
        <f>'BGS PTY19 Cost Alloc'!H60</f>
        <v>14965</v>
      </c>
      <c r="I60" s="226">
        <f>'BGS PTY19 Cost Alloc'!I60</f>
        <v>9591</v>
      </c>
      <c r="J60" s="226">
        <f t="shared" ref="J60:J72" si="3">SUM(E60:I60)</f>
        <v>1323298</v>
      </c>
      <c r="K60" s="226"/>
      <c r="L60" s="226"/>
      <c r="M60" s="226">
        <f t="shared" ref="M60:M71" si="4">E60-ROUND(SUM($W60/1000),0)</f>
        <v>21307</v>
      </c>
      <c r="N60" s="283" t="s">
        <v>56</v>
      </c>
      <c r="O60" s="284"/>
      <c r="P60" s="226"/>
      <c r="Q60" s="226">
        <f>SUM(E60:E64,E69:E71)</f>
        <v>134983</v>
      </c>
      <c r="R60" s="226">
        <f>SUM(F60:F64,F69:F71)</f>
        <v>5301746</v>
      </c>
      <c r="S60" s="226">
        <f>SUM(G60:G64,G69:G71)</f>
        <v>3476569</v>
      </c>
      <c r="T60" s="226">
        <f>SUM(H60:H64,H69:H71)</f>
        <v>125874</v>
      </c>
      <c r="U60" s="285">
        <f>SUM(I60:I64,I69:I71)</f>
        <v>76732</v>
      </c>
      <c r="V60" s="235">
        <f>'BGS PTY19 Cost Alloc'!V60</f>
        <v>44197</v>
      </c>
      <c r="W60" s="226">
        <f>'BGS PTY19 Cost Alloc'!W60</f>
        <v>835305.33333340008</v>
      </c>
      <c r="X60" s="226">
        <f>'BGS PTY19 Cost Alloc'!X60</f>
        <v>17031.333333400002</v>
      </c>
      <c r="Y60" s="226">
        <f t="shared" ref="Y60:Y71" si="5">W60-X60</f>
        <v>818274.00000000012</v>
      </c>
      <c r="Z60" s="226">
        <f>'BGS PTY19 Cost Alloc'!Z60</f>
        <v>1765042.4267481999</v>
      </c>
      <c r="AA60" s="226">
        <f>'BGS PTY19 Cost Alloc'!AA60</f>
        <v>21307.337336645403</v>
      </c>
      <c r="AB60" s="226">
        <f>'BGS PTY19 Cost Alloc'!AB60</f>
        <v>815187.26223660598</v>
      </c>
      <c r="AC60" s="226">
        <f>'BGS PTY19 Cost Alloc'!AC60</f>
        <v>459664.78718643199</v>
      </c>
      <c r="AD60" s="226">
        <f>'BGS PTY19 Cost Alloc'!AD60</f>
        <v>0</v>
      </c>
      <c r="AG60" s="226">
        <f>'BGS PTY19 Cost Alloc'!AG60</f>
        <v>14964.75863927</v>
      </c>
    </row>
    <row r="61" spans="1:33" x14ac:dyDescent="0.4">
      <c r="A61" s="76"/>
      <c r="B61" s="235" t="s">
        <v>19</v>
      </c>
      <c r="C61" s="226"/>
      <c r="D61" s="226"/>
      <c r="E61" s="226">
        <f>'BGS PTY19 Cost Alloc'!E61</f>
        <v>20768</v>
      </c>
      <c r="F61" s="226">
        <f>'BGS PTY19 Cost Alloc'!F61</f>
        <v>733590</v>
      </c>
      <c r="G61" s="226">
        <f>'BGS PTY19 Cost Alloc'!G61</f>
        <v>454143</v>
      </c>
      <c r="H61" s="226">
        <f>'BGS PTY19 Cost Alloc'!H61</f>
        <v>15573</v>
      </c>
      <c r="I61" s="226">
        <f>'BGS PTY19 Cost Alloc'!I61</f>
        <v>9591</v>
      </c>
      <c r="J61" s="226">
        <f t="shared" si="3"/>
        <v>1233665</v>
      </c>
      <c r="K61" s="226"/>
      <c r="L61" s="226"/>
      <c r="M61" s="226">
        <f t="shared" si="4"/>
        <v>19994</v>
      </c>
      <c r="N61" s="283"/>
      <c r="O61" s="284"/>
      <c r="P61" s="212" t="s">
        <v>57</v>
      </c>
      <c r="Q61" s="226">
        <f>SUMPRODUCT(E33:E37,M60:M64)+SUMPRODUCT(E42:E44,M69:M71)</f>
        <v>45543.3194</v>
      </c>
      <c r="S61" s="219" t="s">
        <v>58</v>
      </c>
      <c r="T61" s="226">
        <f>SUMPRODUCT(H33:H37,H60:H64)+SUMPRODUCT(H42:H44,H69:H71)</f>
        <v>55261.285100000001</v>
      </c>
      <c r="U61" s="282">
        <f>T61/T60</f>
        <v>0.43902064842620397</v>
      </c>
      <c r="V61" s="235">
        <f>'BGS PTY19 Cost Alloc'!V61</f>
        <v>44228</v>
      </c>
      <c r="W61" s="226">
        <f>'BGS PTY19 Cost Alloc'!W61</f>
        <v>773514.33333319996</v>
      </c>
      <c r="X61" s="226">
        <f>'BGS PTY19 Cost Alloc'!X61</f>
        <v>16190.666666599998</v>
      </c>
      <c r="Y61" s="226">
        <f t="shared" si="5"/>
        <v>757323.66666659992</v>
      </c>
      <c r="Z61" s="226">
        <f>'BGS PTY19 Cost Alloc'!Z61</f>
        <v>1695865.6894336999</v>
      </c>
      <c r="AA61" s="226">
        <f>'BGS PTY19 Cost Alloc'!AA61</f>
        <v>19994.198345899702</v>
      </c>
      <c r="AB61" s="226">
        <f>'BGS PTY19 Cost Alloc'!AB61</f>
        <v>731893.73229800106</v>
      </c>
      <c r="AC61" s="226">
        <f>'BGS PTY19 Cost Alloc'!AC61</f>
        <v>454159.32081368298</v>
      </c>
      <c r="AD61" s="226">
        <f>'BGS PTY19 Cost Alloc'!AD61</f>
        <v>0</v>
      </c>
      <c r="AG61" s="226">
        <f>'BGS PTY19 Cost Alloc'!AG61</f>
        <v>15572.745231027498</v>
      </c>
    </row>
    <row r="62" spans="1:33" x14ac:dyDescent="0.4">
      <c r="A62" s="76"/>
      <c r="B62" s="235" t="s">
        <v>20</v>
      </c>
      <c r="C62" s="226"/>
      <c r="D62" s="226"/>
      <c r="E62" s="226">
        <f>'BGS PTY19 Cost Alloc'!E62</f>
        <v>19458</v>
      </c>
      <c r="F62" s="226">
        <f>'BGS PTY19 Cost Alloc'!F62</f>
        <v>694392</v>
      </c>
      <c r="G62" s="226">
        <f>'BGS PTY19 Cost Alloc'!G62</f>
        <v>444625</v>
      </c>
      <c r="H62" s="226">
        <f>'BGS PTY19 Cost Alloc'!H62</f>
        <v>14660</v>
      </c>
      <c r="I62" s="226">
        <f>'BGS PTY19 Cost Alloc'!I62</f>
        <v>9591</v>
      </c>
      <c r="J62" s="226">
        <f t="shared" si="3"/>
        <v>1182726</v>
      </c>
      <c r="K62" s="226"/>
      <c r="L62" s="226"/>
      <c r="M62" s="226">
        <f t="shared" si="4"/>
        <v>18695</v>
      </c>
      <c r="N62" s="283"/>
      <c r="O62" s="284"/>
      <c r="P62" s="212" t="s">
        <v>59</v>
      </c>
      <c r="Q62" s="226">
        <f>SUMPRODUCT(Q33:Q37,M60:M64)+SUMPRODUCT(Q42:Q44,M69:M71)</f>
        <v>83561.680600000007</v>
      </c>
      <c r="S62" s="219" t="s">
        <v>60</v>
      </c>
      <c r="T62" s="226">
        <f>+T60-T61</f>
        <v>70612.714899999992</v>
      </c>
      <c r="U62" s="282"/>
      <c r="V62" s="235">
        <f>'BGS PTY19 Cost Alloc'!V62</f>
        <v>44256</v>
      </c>
      <c r="W62" s="226">
        <f>'BGS PTY19 Cost Alloc'!W62</f>
        <v>762524</v>
      </c>
      <c r="X62" s="226">
        <f>'BGS PTY19 Cost Alloc'!X62</f>
        <v>16807.333333299997</v>
      </c>
      <c r="Y62" s="226">
        <f t="shared" si="5"/>
        <v>745716.66666670004</v>
      </c>
      <c r="Z62" s="226">
        <f>'BGS PTY19 Cost Alloc'!Z62</f>
        <v>1518576.2878121</v>
      </c>
      <c r="AA62" s="226">
        <f>'BGS PTY19 Cost Alloc'!AA62</f>
        <v>18695.207039934798</v>
      </c>
      <c r="AB62" s="226">
        <f>'BGS PTY19 Cost Alloc'!AB62</f>
        <v>692873.01100558601</v>
      </c>
      <c r="AC62" s="226">
        <f>'BGS PTY19 Cost Alloc'!AC62</f>
        <v>444641.79602501</v>
      </c>
      <c r="AD62" s="226">
        <f>'BGS PTY19 Cost Alloc'!AD62</f>
        <v>0</v>
      </c>
      <c r="AG62" s="226">
        <f>'BGS PTY19 Cost Alloc'!AG62</f>
        <v>14659.9337027743</v>
      </c>
    </row>
    <row r="63" spans="1:33" x14ac:dyDescent="0.4">
      <c r="A63" s="76"/>
      <c r="B63" s="235" t="s">
        <v>21</v>
      </c>
      <c r="C63" s="226"/>
      <c r="D63" s="226"/>
      <c r="E63" s="226">
        <f>'BGS PTY19 Cost Alloc'!E63</f>
        <v>17588</v>
      </c>
      <c r="F63" s="226">
        <f>'BGS PTY19 Cost Alloc'!F63</f>
        <v>622304</v>
      </c>
      <c r="G63" s="226">
        <f>'BGS PTY19 Cost Alloc'!G63</f>
        <v>422724</v>
      </c>
      <c r="H63" s="226">
        <f>'BGS PTY19 Cost Alloc'!H63</f>
        <v>17191</v>
      </c>
      <c r="I63" s="226">
        <f>'BGS PTY19 Cost Alloc'!I63</f>
        <v>9591</v>
      </c>
      <c r="J63" s="226">
        <f t="shared" si="3"/>
        <v>1089398</v>
      </c>
      <c r="K63" s="226"/>
      <c r="L63" s="226"/>
      <c r="M63" s="226">
        <f t="shared" si="4"/>
        <v>16806</v>
      </c>
      <c r="N63" s="281"/>
      <c r="P63" s="212" t="s">
        <v>61</v>
      </c>
      <c r="Q63" s="226">
        <f>SUM(W60:W64,W69:W71)/1000</f>
        <v>5877.0313333332997</v>
      </c>
      <c r="U63" s="282"/>
      <c r="V63" s="235">
        <f>'BGS PTY19 Cost Alloc'!V63</f>
        <v>44287</v>
      </c>
      <c r="W63" s="226">
        <f>'BGS PTY19 Cost Alloc'!W63</f>
        <v>782029.66666670004</v>
      </c>
      <c r="X63" s="226">
        <f>'BGS PTY19 Cost Alloc'!X63</f>
        <v>15679.666666699999</v>
      </c>
      <c r="Y63" s="226">
        <f t="shared" si="5"/>
        <v>766350</v>
      </c>
      <c r="Z63" s="226">
        <f>'BGS PTY19 Cost Alloc'!Z63</f>
        <v>1254456.2899922</v>
      </c>
      <c r="AA63" s="226">
        <f>'BGS PTY19 Cost Alloc'!AA63</f>
        <v>16805.6496854457</v>
      </c>
      <c r="AB63" s="226">
        <f>'BGS PTY19 Cost Alloc'!AB63</f>
        <v>621050.23602456297</v>
      </c>
      <c r="AC63" s="226">
        <f>'BGS PTY19 Cost Alloc'!AC63</f>
        <v>422740.47596152505</v>
      </c>
      <c r="AD63" s="226">
        <f>'BGS PTY19 Cost Alloc'!AD63</f>
        <v>0</v>
      </c>
      <c r="AG63" s="226">
        <f>'BGS PTY19 Cost Alloc'!AG63</f>
        <v>17191.2134474013</v>
      </c>
    </row>
    <row r="64" spans="1:33" x14ac:dyDescent="0.4">
      <c r="A64" s="76"/>
      <c r="B64" s="235" t="s">
        <v>22</v>
      </c>
      <c r="C64" s="226"/>
      <c r="D64" s="226"/>
      <c r="E64" s="226">
        <f>'BGS PTY19 Cost Alloc'!E64</f>
        <v>13518</v>
      </c>
      <c r="F64" s="226">
        <f>'BGS PTY19 Cost Alloc'!F64</f>
        <v>575300</v>
      </c>
      <c r="G64" s="226">
        <f>'BGS PTY19 Cost Alloc'!G64</f>
        <v>402492</v>
      </c>
      <c r="H64" s="226">
        <f>'BGS PTY19 Cost Alloc'!H64</f>
        <v>16274</v>
      </c>
      <c r="I64" s="226">
        <f>'BGS PTY19 Cost Alloc'!I64</f>
        <v>9591</v>
      </c>
      <c r="J64" s="226">
        <f t="shared" si="3"/>
        <v>1017175</v>
      </c>
      <c r="K64" s="226"/>
      <c r="L64" s="226"/>
      <c r="M64" s="226">
        <f t="shared" si="4"/>
        <v>12764</v>
      </c>
      <c r="N64" s="283" t="s">
        <v>62</v>
      </c>
      <c r="O64" s="284"/>
      <c r="P64" s="226"/>
      <c r="Q64" s="226">
        <f>+SUM(E65:E68)</f>
        <v>66252</v>
      </c>
      <c r="R64" s="226">
        <f>+SUM(F65:F68)</f>
        <v>3771661</v>
      </c>
      <c r="S64" s="226">
        <f>+SUM(G65:G68)</f>
        <v>1976725</v>
      </c>
      <c r="T64" s="226">
        <f>+SUM(H65:H68)</f>
        <v>65745</v>
      </c>
      <c r="U64" s="285">
        <f>+SUM(I65:I68)</f>
        <v>38368</v>
      </c>
      <c r="V64" s="235">
        <f>'BGS PTY19 Cost Alloc'!V64</f>
        <v>44317</v>
      </c>
      <c r="W64" s="226">
        <f>'BGS PTY19 Cost Alloc'!W64</f>
        <v>753569.66666659992</v>
      </c>
      <c r="X64" s="226">
        <f>'BGS PTY19 Cost Alloc'!X64</f>
        <v>17137.333333299997</v>
      </c>
      <c r="Y64" s="226">
        <f t="shared" si="5"/>
        <v>736432.33333329996</v>
      </c>
      <c r="Z64" s="226">
        <f>'BGS PTY19 Cost Alloc'!Z64</f>
        <v>942306.53541420004</v>
      </c>
      <c r="AA64" s="226">
        <f>'BGS PTY19 Cost Alloc'!AA64</f>
        <v>12764.137949146099</v>
      </c>
      <c r="AB64" s="226">
        <f>'BGS PTY19 Cost Alloc'!AB64</f>
        <v>574358.45418210607</v>
      </c>
      <c r="AC64" s="226">
        <f>'BGS PTY19 Cost Alloc'!AC64</f>
        <v>402509.22522720497</v>
      </c>
      <c r="AD64" s="226">
        <f>'BGS PTY19 Cost Alloc'!AD64</f>
        <v>0</v>
      </c>
      <c r="AG64" s="226">
        <f>'BGS PTY19 Cost Alloc'!AG64</f>
        <v>16274.114462861105</v>
      </c>
    </row>
    <row r="65" spans="1:34" x14ac:dyDescent="0.4">
      <c r="A65" s="76"/>
      <c r="B65" s="235" t="s">
        <v>23</v>
      </c>
      <c r="C65" s="226"/>
      <c r="D65" s="226"/>
      <c r="E65" s="226">
        <f>'BGS PTY19 Cost Alloc'!E65</f>
        <v>14337</v>
      </c>
      <c r="F65" s="226">
        <f>'BGS PTY19 Cost Alloc'!F65</f>
        <v>723824</v>
      </c>
      <c r="G65" s="226">
        <f>'BGS PTY19 Cost Alloc'!G65</f>
        <v>450128</v>
      </c>
      <c r="H65" s="226">
        <f>'BGS PTY19 Cost Alloc'!H65</f>
        <v>16885</v>
      </c>
      <c r="I65" s="226">
        <f>'BGS PTY19 Cost Alloc'!I65</f>
        <v>9592</v>
      </c>
      <c r="J65" s="226">
        <f t="shared" si="3"/>
        <v>1214766</v>
      </c>
      <c r="K65" s="226"/>
      <c r="L65" s="226"/>
      <c r="M65" s="226">
        <f t="shared" si="4"/>
        <v>13623</v>
      </c>
      <c r="N65" s="283"/>
      <c r="O65" s="284"/>
      <c r="P65" s="290" t="s">
        <v>63</v>
      </c>
      <c r="Q65" s="226">
        <f>SUMPRODUCT(E38:E41,M65:M68)</f>
        <v>26180.203300000001</v>
      </c>
      <c r="R65" s="226">
        <f>'BGS PTY19 Cost Alloc'!R65</f>
        <v>2001184.2100860353</v>
      </c>
      <c r="S65" s="219" t="s">
        <v>58</v>
      </c>
      <c r="T65" s="226">
        <f>+SUMPRODUCT(H38:H41,H65:H68)</f>
        <v>30387.3639</v>
      </c>
      <c r="U65" s="367">
        <f>T65/T64</f>
        <v>0.46220037873602554</v>
      </c>
      <c r="V65" s="235">
        <f>'BGS PTY19 Cost Alloc'!V65</f>
        <v>44348</v>
      </c>
      <c r="W65" s="226">
        <f>'BGS PTY19 Cost Alloc'!W65</f>
        <v>714211.33333319984</v>
      </c>
      <c r="X65" s="226">
        <f>'BGS PTY19 Cost Alloc'!X65</f>
        <v>14597.666666599998</v>
      </c>
      <c r="Y65" s="226">
        <f t="shared" si="5"/>
        <v>699613.66666659981</v>
      </c>
      <c r="Z65" s="226">
        <f>'BGS PTY19 Cost Alloc'!Z65</f>
        <v>958170.39933430008</v>
      </c>
      <c r="AA65" s="226">
        <f>'BGS PTY19 Cost Alloc'!AA65</f>
        <v>12665.0697668962</v>
      </c>
      <c r="AB65" s="226">
        <f>'BGS PTY19 Cost Alloc'!AB65</f>
        <v>723823.84716710309</v>
      </c>
      <c r="AC65" s="226">
        <f>'BGS PTY19 Cost Alloc'!AC65</f>
        <v>450142.68585111602</v>
      </c>
      <c r="AD65" s="226">
        <f>'BGS PTY19 Cost Alloc'!AD65</f>
        <v>0</v>
      </c>
      <c r="AG65" s="226">
        <f>'BGS PTY19 Cost Alloc'!AG65</f>
        <v>16885.067081431895</v>
      </c>
    </row>
    <row r="66" spans="1:34" x14ac:dyDescent="0.4">
      <c r="A66" s="76"/>
      <c r="B66" s="235" t="s">
        <v>24</v>
      </c>
      <c r="C66" s="226"/>
      <c r="D66" s="226"/>
      <c r="E66" s="226">
        <f>'BGS PTY19 Cost Alloc'!E66</f>
        <v>17436</v>
      </c>
      <c r="F66" s="226">
        <f>'BGS PTY19 Cost Alloc'!F66</f>
        <v>1009661</v>
      </c>
      <c r="G66" s="226">
        <f>'BGS PTY19 Cost Alloc'!G66</f>
        <v>506831</v>
      </c>
      <c r="H66" s="226">
        <f>'BGS PTY19 Cost Alloc'!H66</f>
        <v>17003</v>
      </c>
      <c r="I66" s="226">
        <f>'BGS PTY19 Cost Alloc'!I66</f>
        <v>9592</v>
      </c>
      <c r="J66" s="226">
        <f t="shared" si="3"/>
        <v>1560523</v>
      </c>
      <c r="K66" s="226"/>
      <c r="L66" s="226"/>
      <c r="M66" s="226">
        <f t="shared" si="4"/>
        <v>16819</v>
      </c>
      <c r="N66" s="283"/>
      <c r="O66" s="284"/>
      <c r="P66" s="290" t="s">
        <v>64</v>
      </c>
      <c r="Q66" s="226">
        <f>SUMPRODUCT(Q38:Q41,M65:M68)</f>
        <v>37624.796700000006</v>
      </c>
      <c r="R66" s="226">
        <f>'BGS PTY19 Cost Alloc'!R66</f>
        <v>1770476.7899139645</v>
      </c>
      <c r="S66" s="219" t="s">
        <v>60</v>
      </c>
      <c r="T66" s="226">
        <f>+T64-T65</f>
        <v>35357.636100000003</v>
      </c>
      <c r="U66" s="282"/>
      <c r="V66" s="235">
        <f>'BGS PTY19 Cost Alloc'!V66</f>
        <v>44378</v>
      </c>
      <c r="W66" s="226">
        <f>'BGS PTY19 Cost Alloc'!W66</f>
        <v>616807.99999989988</v>
      </c>
      <c r="X66" s="226">
        <f>'BGS PTY19 Cost Alloc'!X66</f>
        <v>13290</v>
      </c>
      <c r="Y66" s="226">
        <f t="shared" si="5"/>
        <v>603517.99999989988</v>
      </c>
      <c r="Z66" s="226">
        <f>'BGS PTY19 Cost Alloc'!Z66</f>
        <v>1130406.3633818</v>
      </c>
      <c r="AA66" s="226">
        <f>'BGS PTY19 Cost Alloc'!AA66</f>
        <v>15689.100177203498</v>
      </c>
      <c r="AB66" s="226">
        <f>'BGS PTY19 Cost Alloc'!AB66</f>
        <v>1009660.73545941</v>
      </c>
      <c r="AC66" s="226">
        <f>'BGS PTY19 Cost Alloc'!AC66</f>
        <v>506843.750143855</v>
      </c>
      <c r="AD66" s="226">
        <f>'BGS PTY19 Cost Alloc'!AD66</f>
        <v>0</v>
      </c>
      <c r="AG66" s="226">
        <f>'BGS PTY19 Cost Alloc'!AG66</f>
        <v>17003.2696142565</v>
      </c>
    </row>
    <row r="67" spans="1:34" x14ac:dyDescent="0.4">
      <c r="A67" s="76"/>
      <c r="B67" s="235" t="s">
        <v>25</v>
      </c>
      <c r="C67" s="226"/>
      <c r="D67" s="226"/>
      <c r="E67" s="226">
        <f>'BGS PTY19 Cost Alloc'!E67</f>
        <v>18793</v>
      </c>
      <c r="F67" s="226">
        <f>'BGS PTY19 Cost Alloc'!F67</f>
        <v>1124675</v>
      </c>
      <c r="G67" s="226">
        <f>'BGS PTY19 Cost Alloc'!G67</f>
        <v>519909</v>
      </c>
      <c r="H67" s="226">
        <f>'BGS PTY19 Cost Alloc'!H67</f>
        <v>15989</v>
      </c>
      <c r="I67" s="226">
        <f>'BGS PTY19 Cost Alloc'!I67</f>
        <v>9592</v>
      </c>
      <c r="J67" s="226">
        <f t="shared" si="3"/>
        <v>1688958</v>
      </c>
      <c r="K67" s="226"/>
      <c r="L67" s="226"/>
      <c r="M67" s="226">
        <f t="shared" si="4"/>
        <v>18245</v>
      </c>
      <c r="N67" s="368"/>
      <c r="O67" s="295"/>
      <c r="P67" s="212" t="s">
        <v>61</v>
      </c>
      <c r="Q67" s="226">
        <f>SUM(W65:W68)/1000</f>
        <v>2446.2373333329997</v>
      </c>
      <c r="R67" s="296"/>
      <c r="S67" s="295"/>
      <c r="T67" s="295"/>
      <c r="U67" s="309"/>
      <c r="V67" s="235">
        <f>'BGS PTY19 Cost Alloc'!V67</f>
        <v>44409</v>
      </c>
      <c r="W67" s="226">
        <f>'BGS PTY19 Cost Alloc'!W67</f>
        <v>547708.33333329996</v>
      </c>
      <c r="X67" s="226">
        <f>'BGS PTY19 Cost Alloc'!X67</f>
        <v>10810</v>
      </c>
      <c r="Y67" s="226">
        <f t="shared" si="5"/>
        <v>536898.33333329996</v>
      </c>
      <c r="Z67" s="226">
        <f>'BGS PTY19 Cost Alloc'!Z67</f>
        <v>1189656.5865750001</v>
      </c>
      <c r="AA67" s="226">
        <f>'BGS PTY19 Cost Alloc'!AA67</f>
        <v>17056.286055908298</v>
      </c>
      <c r="AB67" s="226">
        <f>'BGS PTY19 Cost Alloc'!AB67</f>
        <v>1124674.67502419</v>
      </c>
      <c r="AC67" s="226">
        <f>'BGS PTY19 Cost Alloc'!AC67</f>
        <v>519920.18315931503</v>
      </c>
      <c r="AD67" s="226">
        <f>'BGS PTY19 Cost Alloc'!AD67</f>
        <v>0</v>
      </c>
      <c r="AG67" s="226">
        <f>'BGS PTY19 Cost Alloc'!AG67</f>
        <v>15988.8572911029</v>
      </c>
    </row>
    <row r="68" spans="1:34" x14ac:dyDescent="0.4">
      <c r="A68" s="76"/>
      <c r="B68" s="235" t="s">
        <v>26</v>
      </c>
      <c r="C68" s="226"/>
      <c r="D68" s="226"/>
      <c r="E68" s="226">
        <f>'BGS PTY19 Cost Alloc'!E68</f>
        <v>15686</v>
      </c>
      <c r="F68" s="226">
        <f>'BGS PTY19 Cost Alloc'!F68</f>
        <v>913501</v>
      </c>
      <c r="G68" s="226">
        <f>'BGS PTY19 Cost Alloc'!G68</f>
        <v>499857</v>
      </c>
      <c r="H68" s="226">
        <f>'BGS PTY19 Cost Alloc'!H68</f>
        <v>15868</v>
      </c>
      <c r="I68" s="226">
        <f>'BGS PTY19 Cost Alloc'!I68</f>
        <v>9592</v>
      </c>
      <c r="J68" s="226">
        <f t="shared" si="3"/>
        <v>1454504</v>
      </c>
      <c r="K68" s="226"/>
      <c r="L68" s="226"/>
      <c r="M68" s="226">
        <f t="shared" si="4"/>
        <v>15118</v>
      </c>
      <c r="N68" s="277"/>
      <c r="O68" s="278"/>
      <c r="P68" s="278"/>
      <c r="Q68" s="278" t="s">
        <v>65</v>
      </c>
      <c r="R68" s="278"/>
      <c r="S68" s="278"/>
      <c r="T68" s="278"/>
      <c r="U68" s="279"/>
      <c r="V68" s="235">
        <f>'BGS PTY19 Cost Alloc'!V68</f>
        <v>44440</v>
      </c>
      <c r="W68" s="226">
        <f>'BGS PTY19 Cost Alloc'!W68</f>
        <v>567509.66666659992</v>
      </c>
      <c r="X68" s="226">
        <f>'BGS PTY19 Cost Alloc'!X68</f>
        <v>10542.333333300001</v>
      </c>
      <c r="Y68" s="226">
        <f t="shared" si="5"/>
        <v>556967.33333329996</v>
      </c>
      <c r="Z68" s="226">
        <f>'BGS PTY19 Cost Alloc'!Z68</f>
        <v>978953.98121590004</v>
      </c>
      <c r="AA68" s="226">
        <f>'BGS PTY19 Cost Alloc'!AA68</f>
        <v>14140.466268611901</v>
      </c>
      <c r="AB68" s="226">
        <f>'BGS PTY19 Cost Alloc'!AB68</f>
        <v>913501.49541683996</v>
      </c>
      <c r="AC68" s="226">
        <f>'BGS PTY19 Cost Alloc'!AC68</f>
        <v>499868.34554450499</v>
      </c>
      <c r="AD68" s="226">
        <f>'BGS PTY19 Cost Alloc'!AD68</f>
        <v>0</v>
      </c>
      <c r="AG68" s="226">
        <f>'BGS PTY19 Cost Alloc'!AG68</f>
        <v>15868.042802519798</v>
      </c>
    </row>
    <row r="69" spans="1:34" x14ac:dyDescent="0.4">
      <c r="A69" s="76"/>
      <c r="B69" s="235" t="s">
        <v>27</v>
      </c>
      <c r="C69" s="226"/>
      <c r="D69" s="226"/>
      <c r="E69" s="226">
        <f>'BGS PTY19 Cost Alloc'!E69</f>
        <v>11029</v>
      </c>
      <c r="F69" s="226">
        <f>'BGS PTY19 Cost Alloc'!F69</f>
        <v>623412</v>
      </c>
      <c r="G69" s="226">
        <f>'BGS PTY19 Cost Alloc'!G69</f>
        <v>431510</v>
      </c>
      <c r="H69" s="226">
        <f>'BGS PTY19 Cost Alloc'!H69</f>
        <v>14974</v>
      </c>
      <c r="I69" s="226">
        <f>'BGS PTY19 Cost Alloc'!I69</f>
        <v>9592</v>
      </c>
      <c r="J69" s="226">
        <f t="shared" si="3"/>
        <v>1090517</v>
      </c>
      <c r="K69" s="226"/>
      <c r="L69" s="226"/>
      <c r="M69" s="226">
        <f t="shared" si="4"/>
        <v>10446</v>
      </c>
      <c r="N69" s="92"/>
      <c r="O69" s="80"/>
      <c r="P69" s="80"/>
      <c r="Q69" s="80" t="str">
        <f>+Q$13</f>
        <v>RT{1}</v>
      </c>
      <c r="R69" s="80"/>
      <c r="S69" s="80"/>
      <c r="T69" s="80" t="str">
        <f>+T$13</f>
        <v>GST</v>
      </c>
      <c r="U69" s="93"/>
      <c r="V69" s="235">
        <f>'BGS PTY19 Cost Alloc'!V69</f>
        <v>44470</v>
      </c>
      <c r="W69" s="226">
        <f>'BGS PTY19 Cost Alloc'!W69</f>
        <v>583154.33333339996</v>
      </c>
      <c r="X69" s="226">
        <f>'BGS PTY19 Cost Alloc'!X69</f>
        <v>14313.333333400002</v>
      </c>
      <c r="Y69" s="226">
        <f t="shared" si="5"/>
        <v>568841</v>
      </c>
      <c r="Z69" s="226">
        <f>'BGS PTY19 Cost Alloc'!Z69</f>
        <v>794832.41336419992</v>
      </c>
      <c r="AA69" s="226">
        <f>'BGS PTY19 Cost Alloc'!AA69</f>
        <v>10445.763041697901</v>
      </c>
      <c r="AB69" s="226">
        <f>'BGS PTY19 Cost Alloc'!AB69</f>
        <v>622617.13954493799</v>
      </c>
      <c r="AC69" s="226">
        <f>'BGS PTY19 Cost Alloc'!AC69</f>
        <v>431523.89872447902</v>
      </c>
      <c r="AD69" s="226">
        <f>'BGS PTY19 Cost Alloc'!AD69</f>
        <v>0</v>
      </c>
      <c r="AG69" s="226">
        <f>'BGS PTY19 Cost Alloc'!AG69</f>
        <v>14973.678700734197</v>
      </c>
    </row>
    <row r="70" spans="1:34" x14ac:dyDescent="0.4">
      <c r="A70" s="76"/>
      <c r="B70" s="235" t="s">
        <v>28</v>
      </c>
      <c r="C70" s="226"/>
      <c r="D70" s="226"/>
      <c r="E70" s="226">
        <f>'BGS PTY19 Cost Alloc'!E70</f>
        <v>12570</v>
      </c>
      <c r="F70" s="226">
        <f>'BGS PTY19 Cost Alloc'!F70</f>
        <v>551904</v>
      </c>
      <c r="G70" s="226">
        <f>'BGS PTY19 Cost Alloc'!G70</f>
        <v>406732</v>
      </c>
      <c r="H70" s="226">
        <f>'BGS PTY19 Cost Alloc'!H70</f>
        <v>14557</v>
      </c>
      <c r="I70" s="226">
        <f>'BGS PTY19 Cost Alloc'!I70</f>
        <v>9592</v>
      </c>
      <c r="J70" s="226">
        <f t="shared" si="3"/>
        <v>995355</v>
      </c>
      <c r="K70" s="226"/>
      <c r="L70" s="226"/>
      <c r="M70" s="226">
        <f t="shared" si="4"/>
        <v>11927</v>
      </c>
      <c r="N70" s="281"/>
      <c r="U70" s="282"/>
      <c r="V70" s="235">
        <f>'BGS PTY19 Cost Alloc'!V70</f>
        <v>44501</v>
      </c>
      <c r="W70" s="226">
        <f>'BGS PTY19 Cost Alloc'!W70</f>
        <v>642712.66666670004</v>
      </c>
      <c r="X70" s="226">
        <f>'BGS PTY19 Cost Alloc'!X70</f>
        <v>14152.666666700001</v>
      </c>
      <c r="Y70" s="226">
        <f t="shared" si="5"/>
        <v>628560</v>
      </c>
      <c r="Z70" s="226">
        <f>'BGS PTY19 Cost Alloc'!Z70</f>
        <v>1012227.7764767</v>
      </c>
      <c r="AA70" s="226">
        <f>'BGS PTY19 Cost Alloc'!AA70</f>
        <v>11927.184929167301</v>
      </c>
      <c r="AB70" s="226">
        <f>'BGS PTY19 Cost Alloc'!AB70</f>
        <v>550891.622294356</v>
      </c>
      <c r="AC70" s="226">
        <f>'BGS PTY19 Cost Alloc'!AC70</f>
        <v>406746.08655070502</v>
      </c>
      <c r="AD70" s="226">
        <f>'BGS PTY19 Cost Alloc'!AD70</f>
        <v>0</v>
      </c>
      <c r="AE70" s="211">
        <f>'BGS PTY19 Cost Alloc'!AE70</f>
        <v>0</v>
      </c>
      <c r="AG70" s="226">
        <f>'BGS PTY19 Cost Alloc'!AG70</f>
        <v>14556.948896446898</v>
      </c>
      <c r="AH70" s="211">
        <f>'BGS PTY19 Cost Alloc'!AH70</f>
        <v>0</v>
      </c>
    </row>
    <row r="71" spans="1:34" x14ac:dyDescent="0.4">
      <c r="A71" s="76"/>
      <c r="B71" s="235" t="s">
        <v>29</v>
      </c>
      <c r="C71" s="226"/>
      <c r="D71" s="226"/>
      <c r="E71" s="226">
        <f>'BGS PTY19 Cost Alloc'!E71</f>
        <v>17910</v>
      </c>
      <c r="F71" s="226">
        <f>'BGS PTY19 Cost Alloc'!F71</f>
        <v>683892</v>
      </c>
      <c r="G71" s="226">
        <f>'BGS PTY19 Cost Alloc'!G71</f>
        <v>454695</v>
      </c>
      <c r="H71" s="226">
        <f>'BGS PTY19 Cost Alloc'!H71</f>
        <v>17680</v>
      </c>
      <c r="I71" s="226">
        <f>'BGS PTY19 Cost Alloc'!I71</f>
        <v>9593</v>
      </c>
      <c r="J71" s="226">
        <f t="shared" si="3"/>
        <v>1183770</v>
      </c>
      <c r="K71" s="226"/>
      <c r="L71" s="226"/>
      <c r="M71" s="226">
        <f t="shared" si="4"/>
        <v>17166</v>
      </c>
      <c r="N71" s="283"/>
      <c r="O71" s="284"/>
      <c r="P71" s="290" t="s">
        <v>66</v>
      </c>
      <c r="Q71" s="226">
        <f>SUM(E60:E64,E69:E71)</f>
        <v>134983</v>
      </c>
      <c r="R71" s="226"/>
      <c r="S71" s="290" t="s">
        <v>66</v>
      </c>
      <c r="T71" s="226">
        <f>SUM(H60:H64,H69:H71)</f>
        <v>125874</v>
      </c>
      <c r="U71" s="285"/>
      <c r="V71" s="235">
        <f>'BGS PTY19 Cost Alloc'!V71</f>
        <v>44531</v>
      </c>
      <c r="W71" s="226">
        <f>'BGS PTY19 Cost Alloc'!W71</f>
        <v>744221.33333329984</v>
      </c>
      <c r="X71" s="226">
        <f>'BGS PTY19 Cost Alloc'!X71</f>
        <v>15457.666666599998</v>
      </c>
      <c r="Y71" s="226">
        <f t="shared" si="5"/>
        <v>728763.66666669981</v>
      </c>
      <c r="Z71" s="226">
        <f>'BGS PTY19 Cost Alloc'!Z71</f>
        <v>1464538.6911909999</v>
      </c>
      <c r="AA71" s="226">
        <f>'BGS PTY19 Cost Alloc'!AA71</f>
        <v>17165.9125120233</v>
      </c>
      <c r="AB71" s="226">
        <f>'BGS PTY19 Cost Alloc'!AB71</f>
        <v>682427.43413011893</v>
      </c>
      <c r="AC71" s="226">
        <f>'BGS PTY19 Cost Alloc'!AC71</f>
        <v>454709.83738743002</v>
      </c>
      <c r="AD71" s="226">
        <f>'BGS PTY19 Cost Alloc'!AD71</f>
        <v>0</v>
      </c>
      <c r="AE71" s="211">
        <f>'BGS PTY19 Cost Alloc'!AE71</f>
        <v>0</v>
      </c>
      <c r="AG71" s="226">
        <f>'BGS PTY19 Cost Alloc'!AG71</f>
        <v>17680.264571419106</v>
      </c>
      <c r="AH71" s="211">
        <f>'BGS PTY19 Cost Alloc'!AH71</f>
        <v>0</v>
      </c>
    </row>
    <row r="72" spans="1:34" x14ac:dyDescent="0.4">
      <c r="A72" s="76"/>
      <c r="B72" s="302" t="s">
        <v>44</v>
      </c>
      <c r="C72" s="226"/>
      <c r="D72" s="226"/>
      <c r="E72" s="226">
        <f>SUM(E60:E71)</f>
        <v>201235</v>
      </c>
      <c r="F72" s="226">
        <f>SUM(F60:F71)</f>
        <v>9073407</v>
      </c>
      <c r="G72" s="226">
        <f>SUM(G60:G71)</f>
        <v>5453294</v>
      </c>
      <c r="H72" s="226">
        <f>SUM(H60:H71)</f>
        <v>191619</v>
      </c>
      <c r="I72" s="226">
        <f>SUM(I60:I71)</f>
        <v>115100</v>
      </c>
      <c r="J72" s="226">
        <f t="shared" si="3"/>
        <v>15034655</v>
      </c>
      <c r="K72" s="226"/>
      <c r="L72" s="226"/>
      <c r="M72" s="226">
        <f>SUM(M60:M71)</f>
        <v>192910</v>
      </c>
      <c r="N72" s="283"/>
      <c r="O72" s="284"/>
      <c r="P72" s="212" t="s">
        <v>67</v>
      </c>
      <c r="Q72" s="226">
        <f>SUMPRODUCT(E15:E19,E60:E64)+SUMPRODUCT(E24:E26,E69:E71)</f>
        <v>64522.165199999996</v>
      </c>
      <c r="R72" s="211">
        <f>Q72/Q71</f>
        <v>0.47800215730869811</v>
      </c>
      <c r="S72" s="212" t="s">
        <v>58</v>
      </c>
      <c r="T72" s="226">
        <f>SUMPRODUCT(H15:H19,H60:H64)+SUMPRODUCT(H24:H26,H69:H71)</f>
        <v>69384.185700000002</v>
      </c>
      <c r="U72" s="282">
        <f>T72/T71</f>
        <v>0.55121935983602655</v>
      </c>
      <c r="W72" s="226">
        <f t="shared" ref="W72:AD72" si="6">SUM(W60:W71)</f>
        <v>8323268.6666662982</v>
      </c>
      <c r="X72" s="226">
        <f t="shared" si="6"/>
        <v>176009.9999999</v>
      </c>
      <c r="Y72" s="226">
        <f t="shared" si="6"/>
        <v>8147258.6666663997</v>
      </c>
      <c r="Z72" s="226">
        <f t="shared" si="6"/>
        <v>14705033.4409393</v>
      </c>
      <c r="AA72" s="226">
        <f t="shared" si="6"/>
        <v>188656.31310858007</v>
      </c>
      <c r="AB72" s="226">
        <f t="shared" si="6"/>
        <v>9062959.6447838172</v>
      </c>
      <c r="AC72" s="226">
        <f t="shared" si="6"/>
        <v>5453470.3925752603</v>
      </c>
      <c r="AD72" s="226">
        <f t="shared" si="6"/>
        <v>0</v>
      </c>
      <c r="AE72" s="211">
        <f>'BGS PTY19 Cost Alloc'!AE72</f>
        <v>0</v>
      </c>
      <c r="AG72" s="226">
        <f>SUM(AG60:AG71)</f>
        <v>191618.8944412455</v>
      </c>
      <c r="AH72" s="211">
        <f>'BGS PTY19 Cost Alloc'!AH72</f>
        <v>0</v>
      </c>
    </row>
    <row r="73" spans="1:34" x14ac:dyDescent="0.4">
      <c r="A73" s="76"/>
      <c r="B73" s="235"/>
      <c r="J73" s="303"/>
      <c r="N73" s="283"/>
      <c r="O73" s="284"/>
      <c r="P73" s="212" t="s">
        <v>68</v>
      </c>
      <c r="Q73" s="226">
        <f>+Q71-Q72</f>
        <v>70460.834800000011</v>
      </c>
      <c r="S73" s="212" t="s">
        <v>60</v>
      </c>
      <c r="T73" s="226">
        <f>+T71-T72</f>
        <v>56489.814299999998</v>
      </c>
      <c r="U73" s="282"/>
    </row>
    <row r="74" spans="1:34" ht="15.35" x14ac:dyDescent="0.5">
      <c r="A74" s="76"/>
      <c r="N74" s="281"/>
      <c r="U74" s="282"/>
      <c r="V74" s="219" t="s">
        <v>69</v>
      </c>
      <c r="W74" s="211" t="s">
        <v>70</v>
      </c>
      <c r="X74" s="211" t="s">
        <v>71</v>
      </c>
      <c r="Y74" s="211" t="s">
        <v>72</v>
      </c>
      <c r="Z74" s="211" t="s">
        <v>73</v>
      </c>
      <c r="AB74" s="211" t="s">
        <v>74</v>
      </c>
      <c r="AC74" s="211" t="s">
        <v>75</v>
      </c>
      <c r="AE74" s="86"/>
    </row>
    <row r="75" spans="1:34" x14ac:dyDescent="0.4">
      <c r="A75" s="77" t="s">
        <v>76</v>
      </c>
      <c r="B75" s="78" t="s">
        <v>77</v>
      </c>
      <c r="G75" s="94" t="s">
        <v>78</v>
      </c>
      <c r="H75" s="78" t="s">
        <v>79</v>
      </c>
      <c r="N75" s="283"/>
      <c r="O75" s="284"/>
      <c r="P75" s="212" t="s">
        <v>80</v>
      </c>
      <c r="Q75" s="226">
        <f>+SUM(E65:E68)</f>
        <v>66252</v>
      </c>
      <c r="R75" s="80"/>
      <c r="S75" s="212" t="s">
        <v>80</v>
      </c>
      <c r="T75" s="226">
        <f>+SUM(H65:H68)</f>
        <v>65745</v>
      </c>
      <c r="U75" s="93"/>
      <c r="V75" s="226">
        <f t="shared" ref="V75:V86" si="7">W60-W75</f>
        <v>320756.33333330014</v>
      </c>
      <c r="W75" s="226">
        <f t="shared" ref="W75:W86" si="8">SUM(X75:Z75)</f>
        <v>514549.00000009994</v>
      </c>
      <c r="X75" s="226">
        <f>'BGS PTY19 Cost Alloc'!X75</f>
        <v>14248.666666700001</v>
      </c>
      <c r="Y75" s="226">
        <f>'BGS PTY19 Cost Alloc'!Y75</f>
        <v>495277.66666669998</v>
      </c>
      <c r="Z75" s="226">
        <f>'BGS PTY19 Cost Alloc'!Z75</f>
        <v>5022.6666667</v>
      </c>
      <c r="AA75" s="226"/>
      <c r="AB75" s="211">
        <f t="shared" ref="AB75:AB86" si="9">(V75*$AA$94+W75*$AA$95)/1000</f>
        <v>184.55137954062275</v>
      </c>
      <c r="AC75" s="211">
        <f t="shared" ref="AC75:AC86" si="10">(W60/1000)-AB75</f>
        <v>650.75395379277734</v>
      </c>
    </row>
    <row r="76" spans="1:34" x14ac:dyDescent="0.4">
      <c r="A76" s="76"/>
      <c r="B76" s="79" t="s">
        <v>81</v>
      </c>
      <c r="H76" s="83" t="s">
        <v>82</v>
      </c>
      <c r="N76" s="283"/>
      <c r="O76" s="284"/>
      <c r="P76" s="212" t="s">
        <v>67</v>
      </c>
      <c r="Q76" s="226">
        <f>+SUMPRODUCT(E20:E23,E65:E68)</f>
        <v>33888.873700000004</v>
      </c>
      <c r="R76" s="211">
        <f>Q76/Q75</f>
        <v>0.51151472710257806</v>
      </c>
      <c r="S76" s="219" t="s">
        <v>58</v>
      </c>
      <c r="T76" s="226">
        <f>+SUMPRODUCT(H20:H23,H65:H68)</f>
        <v>36853.0075</v>
      </c>
      <c r="U76" s="282">
        <f>T76/T75</f>
        <v>0.5605446421781124</v>
      </c>
      <c r="V76" s="226">
        <f t="shared" si="7"/>
        <v>297719.66666659992</v>
      </c>
      <c r="W76" s="226">
        <f t="shared" si="8"/>
        <v>475794.66666660004</v>
      </c>
      <c r="X76" s="226">
        <f>'BGS PTY19 Cost Alloc'!X76</f>
        <v>12657.333333299999</v>
      </c>
      <c r="Y76" s="226">
        <f>'BGS PTY19 Cost Alloc'!Y76</f>
        <v>458632.33333330002</v>
      </c>
      <c r="Z76" s="226">
        <f>'BGS PTY19 Cost Alloc'!Z76</f>
        <v>4505</v>
      </c>
      <c r="AA76" s="226"/>
      <c r="AB76" s="211">
        <f t="shared" si="9"/>
        <v>170.78505036627348</v>
      </c>
      <c r="AC76" s="211">
        <f t="shared" si="10"/>
        <v>602.72928296692646</v>
      </c>
    </row>
    <row r="77" spans="1:34" x14ac:dyDescent="0.4">
      <c r="A77" s="76"/>
      <c r="C77" s="80" t="s">
        <v>83</v>
      </c>
      <c r="D77" s="80" t="s">
        <v>84</v>
      </c>
      <c r="E77" s="80" t="s">
        <v>83</v>
      </c>
      <c r="F77" s="80" t="s">
        <v>84</v>
      </c>
      <c r="G77" s="80"/>
      <c r="N77" s="305"/>
      <c r="O77" s="306"/>
      <c r="P77" s="307" t="s">
        <v>68</v>
      </c>
      <c r="Q77" s="296">
        <f>Q75-Q76</f>
        <v>32363.126299999996</v>
      </c>
      <c r="R77" s="295"/>
      <c r="S77" s="308" t="s">
        <v>60</v>
      </c>
      <c r="T77" s="296">
        <f>T75-T76</f>
        <v>28891.9925</v>
      </c>
      <c r="U77" s="309"/>
      <c r="V77" s="226">
        <f t="shared" si="7"/>
        <v>292376.33333330002</v>
      </c>
      <c r="W77" s="226">
        <f t="shared" si="8"/>
        <v>470147.66666669998</v>
      </c>
      <c r="X77" s="226">
        <f>'BGS PTY19 Cost Alloc'!X77</f>
        <v>13409.333333299999</v>
      </c>
      <c r="Y77" s="226">
        <f>'BGS PTY19 Cost Alloc'!Y77</f>
        <v>451983.66666669998</v>
      </c>
      <c r="Z77" s="226">
        <f>'BGS PTY19 Cost Alloc'!Z77</f>
        <v>4754.6666667</v>
      </c>
      <c r="AA77" s="226"/>
      <c r="AB77" s="211">
        <f t="shared" si="9"/>
        <v>168.54262114622043</v>
      </c>
      <c r="AC77" s="211">
        <f t="shared" si="10"/>
        <v>593.98137885377957</v>
      </c>
      <c r="AD77" s="226">
        <f>SUM(AB65:AB68)</f>
        <v>3771660.7530675433</v>
      </c>
    </row>
    <row r="78" spans="1:34" x14ac:dyDescent="0.4">
      <c r="A78" s="76"/>
      <c r="C78" s="80" t="s">
        <v>85</v>
      </c>
      <c r="D78" s="80" t="s">
        <v>85</v>
      </c>
      <c r="E78" s="80" t="s">
        <v>86</v>
      </c>
      <c r="F78" s="80" t="s">
        <v>86</v>
      </c>
      <c r="H78" s="80" t="s">
        <v>85</v>
      </c>
      <c r="I78" s="80" t="s">
        <v>86</v>
      </c>
      <c r="N78" s="281"/>
      <c r="Q78" s="211" t="s">
        <v>87</v>
      </c>
      <c r="U78" s="282"/>
      <c r="V78" s="226">
        <f t="shared" si="7"/>
        <v>305576.00000000006</v>
      </c>
      <c r="W78" s="226">
        <f t="shared" si="8"/>
        <v>476453.66666669998</v>
      </c>
      <c r="X78" s="226">
        <f>'BGS PTY19 Cost Alloc'!X78</f>
        <v>12400</v>
      </c>
      <c r="Y78" s="226">
        <f>'BGS PTY19 Cost Alloc'!Y78</f>
        <v>459671.66666669998</v>
      </c>
      <c r="Z78" s="226">
        <f>'BGS PTY19 Cost Alloc'!Z78</f>
        <v>4382</v>
      </c>
      <c r="AA78" s="226"/>
      <c r="AB78" s="211">
        <f t="shared" si="9"/>
        <v>171.90778407357479</v>
      </c>
      <c r="AC78" s="211">
        <f t="shared" si="10"/>
        <v>610.12188259312518</v>
      </c>
    </row>
    <row r="79" spans="1:34" x14ac:dyDescent="0.4">
      <c r="A79" s="76"/>
      <c r="B79" s="235" t="s">
        <v>18</v>
      </c>
      <c r="C79" s="310">
        <v>53.62</v>
      </c>
      <c r="D79" s="312">
        <f>ROUND(C79*$H$326,3)</f>
        <v>59.988</v>
      </c>
      <c r="E79" s="312">
        <v>41.783000000000001</v>
      </c>
      <c r="F79" s="312">
        <f>ROUND(E79*$H$326,3)</f>
        <v>46.744999999999997</v>
      </c>
      <c r="H79" s="28">
        <v>0.89737928961232749</v>
      </c>
      <c r="I79" s="28">
        <v>0.91688492871560512</v>
      </c>
      <c r="L79" s="226"/>
      <c r="N79" s="92"/>
      <c r="O79" s="80"/>
      <c r="P79" s="80"/>
      <c r="Q79" s="80" t="str">
        <f>+Q$13</f>
        <v>RT{1}</v>
      </c>
      <c r="R79" s="80"/>
      <c r="S79" s="80"/>
      <c r="T79" s="80" t="str">
        <f>+T$13</f>
        <v>GST</v>
      </c>
      <c r="U79" s="93"/>
      <c r="V79" s="226">
        <f t="shared" si="7"/>
        <v>297743.3333332999</v>
      </c>
      <c r="W79" s="226">
        <f t="shared" si="8"/>
        <v>455826.33333330002</v>
      </c>
      <c r="X79" s="226">
        <f>'BGS PTY19 Cost Alloc'!X79</f>
        <v>13980.333333299999</v>
      </c>
      <c r="Y79" s="226">
        <f>'BGS PTY19 Cost Alloc'!Y79</f>
        <v>437747</v>
      </c>
      <c r="Z79" s="226">
        <f>'BGS PTY19 Cost Alloc'!Z79</f>
        <v>4099</v>
      </c>
      <c r="AA79" s="226"/>
      <c r="AB79" s="211">
        <f t="shared" si="9"/>
        <v>165.10777300822832</v>
      </c>
      <c r="AC79" s="211">
        <f t="shared" si="10"/>
        <v>588.46189365837154</v>
      </c>
    </row>
    <row r="80" spans="1:34" x14ac:dyDescent="0.4">
      <c r="A80" s="76"/>
      <c r="B80" s="235" t="s">
        <v>19</v>
      </c>
      <c r="C80" s="310">
        <v>50.88</v>
      </c>
      <c r="D80" s="312">
        <f>ROUND(C80*$H$326,3)</f>
        <v>56.923000000000002</v>
      </c>
      <c r="E80" s="312">
        <v>39.648000000000003</v>
      </c>
      <c r="F80" s="312">
        <f>ROUND(E80*$H$326,3)</f>
        <v>44.356999999999999</v>
      </c>
      <c r="H80" s="28">
        <f>H79</f>
        <v>0.89737928961232749</v>
      </c>
      <c r="I80" s="28">
        <f>I79</f>
        <v>0.91688492871560512</v>
      </c>
      <c r="L80" s="25"/>
      <c r="N80" s="281"/>
      <c r="U80" s="282"/>
      <c r="V80" s="226">
        <f t="shared" si="7"/>
        <v>289509.66666659981</v>
      </c>
      <c r="W80" s="226">
        <f t="shared" si="8"/>
        <v>424701.66666660004</v>
      </c>
      <c r="X80" s="226">
        <f>'BGS PTY19 Cost Alloc'!X80</f>
        <v>11440.333333299999</v>
      </c>
      <c r="Y80" s="226">
        <f>'BGS PTY19 Cost Alloc'!Y80</f>
        <v>409653</v>
      </c>
      <c r="Z80" s="226">
        <f>'BGS PTY19 Cost Alloc'!Z80</f>
        <v>3608.3333333</v>
      </c>
      <c r="AA80" s="226"/>
      <c r="AB80" s="211">
        <f t="shared" si="9"/>
        <v>155.27400354850786</v>
      </c>
      <c r="AC80" s="211">
        <f t="shared" si="10"/>
        <v>558.937329784692</v>
      </c>
    </row>
    <row r="81" spans="1:29" x14ac:dyDescent="0.4">
      <c r="A81" s="76"/>
      <c r="B81" s="235" t="s">
        <v>20</v>
      </c>
      <c r="C81" s="310">
        <v>40.380000000000003</v>
      </c>
      <c r="D81" s="312">
        <f>ROUND(C81*$H$326,3)</f>
        <v>45.176000000000002</v>
      </c>
      <c r="E81" s="312">
        <v>31.466000000000001</v>
      </c>
      <c r="F81" s="312">
        <f>ROUND(E81*$H$326,3)</f>
        <v>35.203000000000003</v>
      </c>
      <c r="H81" s="28">
        <f>H79</f>
        <v>0.89737928961232749</v>
      </c>
      <c r="I81" s="28">
        <f>I79</f>
        <v>0.91688492871560512</v>
      </c>
      <c r="L81" s="25"/>
      <c r="N81" s="283"/>
      <c r="O81" s="284"/>
      <c r="P81" s="290" t="s">
        <v>88</v>
      </c>
      <c r="Q81" s="226"/>
      <c r="R81" s="226"/>
      <c r="S81" s="290" t="s">
        <v>88</v>
      </c>
      <c r="T81" s="226"/>
      <c r="U81" s="285"/>
      <c r="V81" s="226">
        <f t="shared" si="7"/>
        <v>253672.33333329984</v>
      </c>
      <c r="W81" s="226">
        <f t="shared" si="8"/>
        <v>363135.66666660004</v>
      </c>
      <c r="X81" s="226">
        <f>'BGS PTY19 Cost Alloc'!X81</f>
        <v>10803.333333299999</v>
      </c>
      <c r="Y81" s="226">
        <f>'BGS PTY19 Cost Alloc'!Y81</f>
        <v>349101</v>
      </c>
      <c r="Z81" s="226">
        <f>'BGS PTY19 Cost Alloc'!Z81</f>
        <v>3231.3333333</v>
      </c>
      <c r="AA81" s="226"/>
      <c r="AB81" s="211">
        <f t="shared" si="9"/>
        <v>133.49488991908572</v>
      </c>
      <c r="AC81" s="211">
        <f t="shared" si="10"/>
        <v>483.31311008081411</v>
      </c>
    </row>
    <row r="82" spans="1:29" x14ac:dyDescent="0.4">
      <c r="A82" s="76"/>
      <c r="B82" s="235" t="s">
        <v>21</v>
      </c>
      <c r="C82" s="310">
        <v>35.29</v>
      </c>
      <c r="D82" s="312">
        <f>ROUND(C82*$H$326,3)</f>
        <v>39.481000000000002</v>
      </c>
      <c r="E82" s="312">
        <v>27.498999999999999</v>
      </c>
      <c r="F82" s="312">
        <f>ROUND(E82*$H$326,3)</f>
        <v>30.765000000000001</v>
      </c>
      <c r="H82" s="28">
        <f>H79</f>
        <v>0.89737928961232749</v>
      </c>
      <c r="I82" s="28">
        <f>I79</f>
        <v>0.91688492871560512</v>
      </c>
      <c r="L82" s="25"/>
      <c r="N82" s="283"/>
      <c r="O82" s="284"/>
      <c r="P82" s="212" t="s">
        <v>89</v>
      </c>
      <c r="Q82" s="226">
        <f>Q72-Q61</f>
        <v>18978.845799999996</v>
      </c>
      <c r="S82" s="212" t="s">
        <v>89</v>
      </c>
      <c r="T82" s="226">
        <f>T72-T61</f>
        <v>14122.900600000001</v>
      </c>
      <c r="U82" s="282"/>
      <c r="V82" s="226">
        <f t="shared" si="7"/>
        <v>224627.99999999994</v>
      </c>
      <c r="W82" s="226">
        <f t="shared" si="8"/>
        <v>323080.33333330002</v>
      </c>
      <c r="X82" s="226">
        <f>'BGS PTY19 Cost Alloc'!X82</f>
        <v>8673.3333332999991</v>
      </c>
      <c r="Y82" s="226">
        <f>'BGS PTY19 Cost Alloc'!Y82</f>
        <v>311620</v>
      </c>
      <c r="Z82" s="226">
        <f>'BGS PTY19 Cost Alloc'!Z82</f>
        <v>2787</v>
      </c>
      <c r="AA82" s="226"/>
      <c r="AB82" s="211">
        <f t="shared" si="9"/>
        <v>118.64328621030796</v>
      </c>
      <c r="AC82" s="211">
        <f t="shared" si="10"/>
        <v>429.06504712299198</v>
      </c>
    </row>
    <row r="83" spans="1:29" x14ac:dyDescent="0.4">
      <c r="A83" s="76"/>
      <c r="B83" s="235" t="s">
        <v>22</v>
      </c>
      <c r="C83" s="310">
        <v>35.19</v>
      </c>
      <c r="D83" s="312">
        <f>ROUND(C83*$H$326,3)</f>
        <v>39.369</v>
      </c>
      <c r="E83" s="312">
        <v>27.420999999999999</v>
      </c>
      <c r="F83" s="312">
        <f>ROUND(E83*$H$326,3)</f>
        <v>30.678000000000001</v>
      </c>
      <c r="H83" s="28">
        <f>H79</f>
        <v>0.89737928961232749</v>
      </c>
      <c r="I83" s="28">
        <f>I79</f>
        <v>0.91688492871560512</v>
      </c>
      <c r="L83" s="25"/>
      <c r="N83" s="283"/>
      <c r="O83" s="284"/>
      <c r="P83" s="212" t="s">
        <v>90</v>
      </c>
      <c r="Q83" s="313">
        <f>Q82*(E117-E118)</f>
        <v>180536.02728343324</v>
      </c>
      <c r="S83" s="212" t="s">
        <v>90</v>
      </c>
      <c r="T83" s="313">
        <f>T82*(H117-H118)</f>
        <v>128466.40215273027</v>
      </c>
      <c r="U83" s="282"/>
      <c r="V83" s="226">
        <f t="shared" si="7"/>
        <v>237751.99999999988</v>
      </c>
      <c r="W83" s="226">
        <f t="shared" si="8"/>
        <v>329757.66666660004</v>
      </c>
      <c r="X83" s="226">
        <f>'BGS PTY19 Cost Alloc'!X83</f>
        <v>8150.3333333</v>
      </c>
      <c r="Y83" s="226">
        <f>'BGS PTY19 Cost Alloc'!Y83</f>
        <v>318782.33333330002</v>
      </c>
      <c r="Z83" s="226">
        <f>'BGS PTY19 Cost Alloc'!Z83</f>
        <v>2825</v>
      </c>
      <c r="AA83" s="226"/>
      <c r="AB83" s="211">
        <f t="shared" si="9"/>
        <v>122.10506887208116</v>
      </c>
      <c r="AC83" s="211">
        <f t="shared" si="10"/>
        <v>445.40459779451879</v>
      </c>
    </row>
    <row r="84" spans="1:29" x14ac:dyDescent="0.4">
      <c r="A84" s="76"/>
      <c r="B84" s="249" t="s">
        <v>23</v>
      </c>
      <c r="C84" s="375">
        <v>35.76</v>
      </c>
      <c r="D84" s="369">
        <f>ROUND(C84*$H$325,3)</f>
        <v>49.75</v>
      </c>
      <c r="E84" s="369">
        <v>23.273</v>
      </c>
      <c r="F84" s="316">
        <f>ROUND(E84*$H$325,3)</f>
        <v>32.378</v>
      </c>
      <c r="H84" s="317">
        <v>0.93682383966970639</v>
      </c>
      <c r="I84" s="318">
        <v>0.88157773942706075</v>
      </c>
      <c r="L84" s="25"/>
      <c r="N84" s="281"/>
      <c r="Q84" s="319"/>
      <c r="T84" s="319"/>
      <c r="U84" s="282"/>
      <c r="V84" s="226">
        <f t="shared" si="7"/>
        <v>241361.66666669998</v>
      </c>
      <c r="W84" s="226">
        <f t="shared" si="8"/>
        <v>341792.66666669998</v>
      </c>
      <c r="X84" s="226">
        <f>'BGS PTY19 Cost Alloc'!X84</f>
        <v>11773.666666700001</v>
      </c>
      <c r="Y84" s="226">
        <f>'BGS PTY19 Cost Alloc'!Y84</f>
        <v>326971.66666669998</v>
      </c>
      <c r="Z84" s="226">
        <f>'BGS PTY19 Cost Alloc'!Z84</f>
        <v>3047.3333333</v>
      </c>
      <c r="AA84" s="226"/>
      <c r="AB84" s="211">
        <f t="shared" si="9"/>
        <v>125.95820856228451</v>
      </c>
      <c r="AC84" s="211">
        <f t="shared" si="10"/>
        <v>457.19612477111548</v>
      </c>
    </row>
    <row r="85" spans="1:29" x14ac:dyDescent="0.4">
      <c r="A85" s="76"/>
      <c r="B85" s="253" t="s">
        <v>24</v>
      </c>
      <c r="C85" s="310">
        <v>40.450000000000003</v>
      </c>
      <c r="D85" s="312">
        <f>ROUND(C85*$H$325,3)</f>
        <v>56.274000000000001</v>
      </c>
      <c r="E85" s="312">
        <v>26.326000000000001</v>
      </c>
      <c r="F85" s="321">
        <f>ROUND(E85*$H$325,3)</f>
        <v>36.625</v>
      </c>
      <c r="H85" s="322">
        <f>H84</f>
        <v>0.93682383966970639</v>
      </c>
      <c r="I85" s="323">
        <f>I84</f>
        <v>0.88157773942706075</v>
      </c>
      <c r="L85" s="25"/>
      <c r="N85" s="283"/>
      <c r="O85" s="284"/>
      <c r="P85" s="212" t="s">
        <v>91</v>
      </c>
      <c r="Q85" s="319"/>
      <c r="R85" s="80"/>
      <c r="S85" s="212" t="s">
        <v>91</v>
      </c>
      <c r="T85" s="319"/>
      <c r="U85" s="93"/>
      <c r="V85" s="226">
        <f t="shared" si="7"/>
        <v>260765.33333330008</v>
      </c>
      <c r="W85" s="226">
        <f t="shared" si="8"/>
        <v>381947.33333339996</v>
      </c>
      <c r="X85" s="226">
        <f>'BGS PTY19 Cost Alloc'!X85</f>
        <v>11407.666666700001</v>
      </c>
      <c r="Y85" s="226">
        <f>'BGS PTY19 Cost Alloc'!Y85</f>
        <v>367055</v>
      </c>
      <c r="Z85" s="226">
        <f>'BGS PTY19 Cost Alloc'!Z85</f>
        <v>3484.6666667</v>
      </c>
      <c r="AA85" s="226"/>
      <c r="AB85" s="211">
        <f t="shared" si="9"/>
        <v>139.69036973444722</v>
      </c>
      <c r="AC85" s="211">
        <f t="shared" si="10"/>
        <v>503.02229693225274</v>
      </c>
    </row>
    <row r="86" spans="1:29" x14ac:dyDescent="0.4">
      <c r="A86" s="76"/>
      <c r="B86" s="253" t="s">
        <v>25</v>
      </c>
      <c r="C86" s="310">
        <v>37.700000000000003</v>
      </c>
      <c r="D86" s="312">
        <f>ROUND(C86*$H$325,3)</f>
        <v>52.448999999999998</v>
      </c>
      <c r="E86" s="312">
        <v>24.536000000000001</v>
      </c>
      <c r="F86" s="321">
        <f>ROUND(E86*$H$325,3)</f>
        <v>34.134999999999998</v>
      </c>
      <c r="H86" s="322">
        <f>H84</f>
        <v>0.93682383966970639</v>
      </c>
      <c r="I86" s="323">
        <f>I84</f>
        <v>0.88157773942706075</v>
      </c>
      <c r="L86" s="25"/>
      <c r="N86" s="283"/>
      <c r="O86" s="284"/>
      <c r="P86" s="212" t="s">
        <v>89</v>
      </c>
      <c r="Q86" s="226">
        <f>Q76-Q65</f>
        <v>7708.6704000000027</v>
      </c>
      <c r="S86" s="212" t="s">
        <v>89</v>
      </c>
      <c r="T86" s="226">
        <f>T76-T65</f>
        <v>6465.6435999999994</v>
      </c>
      <c r="U86" s="282"/>
      <c r="V86" s="226">
        <f t="shared" si="7"/>
        <v>292150.99999999983</v>
      </c>
      <c r="W86" s="226">
        <f t="shared" si="8"/>
        <v>452070.33333330002</v>
      </c>
      <c r="X86" s="226">
        <f>'BGS PTY19 Cost Alloc'!X86</f>
        <v>12416.333333299999</v>
      </c>
      <c r="Y86" s="226">
        <f>'BGS PTY19 Cost Alloc'!Y86</f>
        <v>435429.66666669998</v>
      </c>
      <c r="Z86" s="226">
        <f>'BGS PTY19 Cost Alloc'!Z86</f>
        <v>4224.3333333</v>
      </c>
      <c r="AA86" s="226"/>
      <c r="AB86" s="211">
        <f t="shared" si="9"/>
        <v>163.37360557843982</v>
      </c>
      <c r="AC86" s="211">
        <f t="shared" si="10"/>
        <v>580.84772775485999</v>
      </c>
    </row>
    <row r="87" spans="1:29" x14ac:dyDescent="0.4">
      <c r="A87" s="76"/>
      <c r="B87" s="255" t="s">
        <v>26</v>
      </c>
      <c r="C87" s="376">
        <v>36.58</v>
      </c>
      <c r="D87" s="370">
        <f>ROUND(C87*$H$325,3)</f>
        <v>50.89</v>
      </c>
      <c r="E87" s="370">
        <v>23.806999999999999</v>
      </c>
      <c r="F87" s="326">
        <f>ROUND(E87*$H$325,3)</f>
        <v>33.121000000000002</v>
      </c>
      <c r="H87" s="327">
        <f>H84</f>
        <v>0.93682383966970639</v>
      </c>
      <c r="I87" s="328">
        <f>I84</f>
        <v>0.88157773942706075</v>
      </c>
      <c r="L87" s="25"/>
      <c r="N87" s="305"/>
      <c r="O87" s="306"/>
      <c r="P87" s="307" t="s">
        <v>90</v>
      </c>
      <c r="Q87" s="329">
        <f>Q86*(E113-E114)</f>
        <v>164673.00570954892</v>
      </c>
      <c r="R87" s="295"/>
      <c r="S87" s="307" t="s">
        <v>90</v>
      </c>
      <c r="T87" s="329">
        <f>T86*(H113-H114)</f>
        <v>137188.96528774154</v>
      </c>
      <c r="U87" s="309"/>
      <c r="AA87" s="226"/>
    </row>
    <row r="88" spans="1:29" x14ac:dyDescent="0.4">
      <c r="A88" s="76"/>
      <c r="B88" s="235" t="s">
        <v>27</v>
      </c>
      <c r="C88" s="310">
        <v>34.380000000000003</v>
      </c>
      <c r="D88" s="312">
        <f>ROUND(C88*$H$326,3)</f>
        <v>38.463000000000001</v>
      </c>
      <c r="E88" s="312">
        <v>26.79</v>
      </c>
      <c r="F88" s="312">
        <f>ROUND(E88*$H$326,3)</f>
        <v>29.972000000000001</v>
      </c>
      <c r="H88" s="28">
        <f>H79</f>
        <v>0.89737928961232749</v>
      </c>
      <c r="I88" s="28">
        <f>I79</f>
        <v>0.91688492871560512</v>
      </c>
      <c r="L88" s="25"/>
    </row>
    <row r="89" spans="1:29" x14ac:dyDescent="0.4">
      <c r="A89" s="76"/>
      <c r="B89" s="235" t="s">
        <v>28</v>
      </c>
      <c r="C89" s="310">
        <v>34.450000000000003</v>
      </c>
      <c r="D89" s="312">
        <f>ROUND(C89*$H$326,3)</f>
        <v>38.540999999999997</v>
      </c>
      <c r="E89" s="312">
        <v>26.844999999999999</v>
      </c>
      <c r="F89" s="312">
        <f>ROUND(E89*$H$326,3)</f>
        <v>30.033000000000001</v>
      </c>
      <c r="H89" s="28">
        <f>H79</f>
        <v>0.89737928961232749</v>
      </c>
      <c r="I89" s="28">
        <f>I79</f>
        <v>0.91688492871560512</v>
      </c>
      <c r="L89" s="25"/>
    </row>
    <row r="90" spans="1:29" x14ac:dyDescent="0.4">
      <c r="A90" s="76"/>
      <c r="B90" s="235" t="s">
        <v>29</v>
      </c>
      <c r="C90" s="310">
        <v>38</v>
      </c>
      <c r="D90" s="312">
        <f>ROUND(C90*$H$326,3)</f>
        <v>42.512999999999998</v>
      </c>
      <c r="E90" s="312">
        <v>29.611000000000001</v>
      </c>
      <c r="F90" s="312">
        <f>ROUND(E90*$H$326,3)</f>
        <v>33.128</v>
      </c>
      <c r="G90" s="28"/>
      <c r="H90" s="28">
        <f>H79</f>
        <v>0.89737928961232749</v>
      </c>
      <c r="I90" s="28">
        <f>I79</f>
        <v>0.91688492871560512</v>
      </c>
      <c r="L90" s="25"/>
    </row>
    <row r="91" spans="1:29" x14ac:dyDescent="0.4">
      <c r="A91" s="76"/>
      <c r="B91" s="235"/>
      <c r="C91" s="310"/>
      <c r="D91" s="310"/>
      <c r="G91" s="28"/>
      <c r="K91" s="28"/>
      <c r="X91" s="211" t="s">
        <v>92</v>
      </c>
    </row>
    <row r="92" spans="1:29" x14ac:dyDescent="0.4">
      <c r="A92" s="77" t="s">
        <v>93</v>
      </c>
      <c r="B92" s="82" t="s">
        <v>94</v>
      </c>
      <c r="C92" s="80"/>
      <c r="D92" s="80"/>
      <c r="E92" s="80" t="str">
        <f>+E$13</f>
        <v>RT{1}</v>
      </c>
      <c r="F92" s="80" t="str">
        <f>+F$13</f>
        <v>RS{2}</v>
      </c>
      <c r="G92" s="80" t="str">
        <f>+G$13</f>
        <v>GS{3}</v>
      </c>
      <c r="H92" s="80" t="str">
        <f>+H$58</f>
        <v>GST {4}</v>
      </c>
      <c r="I92" s="80" t="str">
        <f>+I$13</f>
        <v>OL/SL</v>
      </c>
      <c r="J92" s="80"/>
      <c r="K92" s="80"/>
      <c r="L92" s="80"/>
      <c r="M92" s="80"/>
      <c r="X92" s="211" t="s">
        <v>95</v>
      </c>
      <c r="Y92" s="219" t="s">
        <v>44</v>
      </c>
      <c r="Z92" s="219" t="s">
        <v>44</v>
      </c>
      <c r="AA92" s="219" t="s">
        <v>96</v>
      </c>
    </row>
    <row r="93" spans="1:29" x14ac:dyDescent="0.4">
      <c r="A93" s="76"/>
      <c r="C93" s="219"/>
      <c r="D93" s="219"/>
      <c r="E93" s="219"/>
      <c r="F93" s="219"/>
      <c r="X93" s="95" t="s">
        <v>97</v>
      </c>
      <c r="Y93" s="96" t="s">
        <v>96</v>
      </c>
      <c r="Z93" s="96" t="s">
        <v>98</v>
      </c>
      <c r="AA93" s="96" t="s">
        <v>99</v>
      </c>
    </row>
    <row r="94" spans="1:29" x14ac:dyDescent="0.4">
      <c r="A94" s="76"/>
      <c r="B94" s="235" t="s">
        <v>100</v>
      </c>
      <c r="C94" s="330"/>
      <c r="D94" s="330"/>
      <c r="E94" s="330">
        <f>'BGS PTY19 Cost Alloc'!E94</f>
        <v>0.105545</v>
      </c>
      <c r="F94" s="330">
        <f>'BGS PTY19 Cost Alloc'!F94</f>
        <v>0.105545</v>
      </c>
      <c r="G94" s="330">
        <f>'BGS PTY19 Cost Alloc'!G94</f>
        <v>0.105545</v>
      </c>
      <c r="H94" s="330">
        <f>'BGS PTY19 Cost Alloc'!H94</f>
        <v>0.105545</v>
      </c>
      <c r="I94" s="330">
        <f>'BGS PTY19 Cost Alloc'!I94</f>
        <v>0.105545</v>
      </c>
      <c r="J94" s="330"/>
      <c r="K94" s="330"/>
      <c r="L94" s="330"/>
      <c r="M94" s="330"/>
      <c r="W94" s="211" t="s">
        <v>69</v>
      </c>
      <c r="X94" s="211">
        <v>4</v>
      </c>
      <c r="Y94" s="211">
        <f>X94*365*5/7</f>
        <v>1042.8571428571429</v>
      </c>
      <c r="Z94" s="211">
        <f>365*24</f>
        <v>8760</v>
      </c>
      <c r="AA94" s="211">
        <f>Y94/Z94</f>
        <v>0.11904761904761905</v>
      </c>
    </row>
    <row r="95" spans="1:29" x14ac:dyDescent="0.4">
      <c r="A95" s="76"/>
      <c r="B95" s="211" t="s">
        <v>101</v>
      </c>
      <c r="C95" s="291"/>
      <c r="D95" s="291"/>
      <c r="E95" s="291">
        <f>1/(1-E94)</f>
        <v>1.1179992285805322</v>
      </c>
      <c r="F95" s="291">
        <f>1/(1-F94)</f>
        <v>1.1179992285805322</v>
      </c>
      <c r="G95" s="291">
        <f>1/(1-G94)</f>
        <v>1.1179992285805322</v>
      </c>
      <c r="H95" s="291">
        <f>1/(1-H94)</f>
        <v>1.1179992285805322</v>
      </c>
      <c r="I95" s="291">
        <f>1/(1-I94)</f>
        <v>1.1179992285805322</v>
      </c>
      <c r="J95" s="291"/>
      <c r="K95" s="291"/>
      <c r="L95" s="291"/>
      <c r="M95" s="291"/>
      <c r="W95" s="211" t="s">
        <v>102</v>
      </c>
      <c r="X95" s="211">
        <f>(9*23+10*29)/52</f>
        <v>9.5576923076923084</v>
      </c>
      <c r="Y95" s="211">
        <f>X95*365*5/7</f>
        <v>2491.8269230769229</v>
      </c>
      <c r="Z95" s="211">
        <f>365*24</f>
        <v>8760</v>
      </c>
      <c r="AA95" s="211">
        <f>Y95/Z95</f>
        <v>0.28445512820512819</v>
      </c>
    </row>
    <row r="96" spans="1:29" x14ac:dyDescent="0.4">
      <c r="A96" s="76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</row>
    <row r="97" spans="1:29" x14ac:dyDescent="0.4">
      <c r="A97" s="76"/>
      <c r="B97" s="211" t="s">
        <v>103</v>
      </c>
      <c r="C97" s="291"/>
      <c r="D97" s="291"/>
      <c r="E97" s="22">
        <f>ROUND(1-1/E98,6)</f>
        <v>9.8737000000000005E-2</v>
      </c>
      <c r="F97" s="22">
        <f t="shared" ref="F97:I97" si="11">ROUND(1-1/F98,6)</f>
        <v>9.8737000000000005E-2</v>
      </c>
      <c r="G97" s="22">
        <f t="shared" si="11"/>
        <v>9.8737000000000005E-2</v>
      </c>
      <c r="H97" s="22">
        <f t="shared" si="11"/>
        <v>9.8737000000000005E-2</v>
      </c>
      <c r="I97" s="22">
        <f t="shared" si="11"/>
        <v>9.8737000000000005E-2</v>
      </c>
      <c r="J97" s="291"/>
      <c r="K97" s="291"/>
      <c r="L97" s="291"/>
      <c r="M97" s="291"/>
    </row>
    <row r="98" spans="1:29" x14ac:dyDescent="0.4">
      <c r="A98" s="76"/>
      <c r="B98" s="211" t="s">
        <v>104</v>
      </c>
      <c r="C98" s="291"/>
      <c r="D98" s="291"/>
      <c r="E98" s="291">
        <f>E95*(1-AC116)</f>
        <v>1.1095543166709658</v>
      </c>
      <c r="F98" s="291">
        <f>$E98</f>
        <v>1.1095543166709658</v>
      </c>
      <c r="G98" s="291">
        <f>$E98</f>
        <v>1.1095543166709658</v>
      </c>
      <c r="H98" s="291">
        <f>$E98</f>
        <v>1.1095543166709658</v>
      </c>
      <c r="I98" s="291">
        <f>$E98</f>
        <v>1.1095543166709658</v>
      </c>
      <c r="J98" s="291"/>
      <c r="K98" s="291"/>
      <c r="L98" s="291"/>
      <c r="M98" s="217"/>
      <c r="N98" s="217"/>
      <c r="O98" s="217"/>
      <c r="P98" s="217"/>
      <c r="Q98" s="218"/>
      <c r="R98" s="218"/>
      <c r="S98" s="218"/>
      <c r="T98" s="218"/>
      <c r="U98" s="217"/>
      <c r="V98" s="217"/>
    </row>
    <row r="99" spans="1:29" x14ac:dyDescent="0.4">
      <c r="A99" s="76"/>
      <c r="C99" s="291"/>
      <c r="D99" s="291"/>
      <c r="E99" s="291" t="s">
        <v>3</v>
      </c>
      <c r="F99" s="291"/>
      <c r="G99" s="291"/>
      <c r="H99" s="291"/>
      <c r="I99" s="291"/>
      <c r="J99" s="291"/>
      <c r="K99" s="291"/>
      <c r="L99" s="291"/>
      <c r="M99" s="217"/>
      <c r="N99" s="217"/>
      <c r="O99" s="217"/>
      <c r="P99" s="217"/>
      <c r="Q99" s="218"/>
      <c r="R99" s="218"/>
      <c r="S99" s="218"/>
      <c r="T99" s="218"/>
      <c r="U99" s="217"/>
      <c r="V99" s="217"/>
    </row>
    <row r="100" spans="1:29" x14ac:dyDescent="0.4">
      <c r="A100" s="76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</row>
    <row r="101" spans="1:29" x14ac:dyDescent="0.4">
      <c r="A101" s="76"/>
      <c r="B101" s="274" t="s">
        <v>421</v>
      </c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</row>
    <row r="102" spans="1:29" x14ac:dyDescent="0.4">
      <c r="A102" s="76"/>
      <c r="B102" s="274" t="str">
        <f>'BGS PTY19 Cost Alloc'!$B$102</f>
        <v xml:space="preserve"> </v>
      </c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</row>
    <row r="103" spans="1:29" ht="15.35" x14ac:dyDescent="0.5">
      <c r="A103" s="76"/>
      <c r="B103" s="382" t="str">
        <f>$B$1</f>
        <v xml:space="preserve">Jersey Central Power &amp; Light </v>
      </c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</row>
    <row r="104" spans="1:29" ht="15.35" x14ac:dyDescent="0.5">
      <c r="A104" s="76"/>
      <c r="B104" s="382" t="str">
        <f>$B$2</f>
        <v>Attachment 2</v>
      </c>
      <c r="C104" s="382"/>
      <c r="D104" s="382"/>
      <c r="E104" s="382"/>
      <c r="F104" s="382"/>
      <c r="G104" s="382"/>
      <c r="H104" s="382"/>
      <c r="I104" s="382"/>
      <c r="J104" s="382"/>
      <c r="K104" s="382"/>
      <c r="L104" s="382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</row>
    <row r="105" spans="1:29" x14ac:dyDescent="0.4">
      <c r="A105" s="76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</row>
    <row r="106" spans="1:29" x14ac:dyDescent="0.4">
      <c r="A106" s="76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</row>
    <row r="107" spans="1:29" x14ac:dyDescent="0.4">
      <c r="A107" s="77" t="s">
        <v>105</v>
      </c>
      <c r="B107" s="78" t="s">
        <v>106</v>
      </c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</row>
    <row r="108" spans="1:29" x14ac:dyDescent="0.4">
      <c r="A108" s="76"/>
      <c r="B108" s="79" t="s">
        <v>107</v>
      </c>
      <c r="M108" s="217"/>
      <c r="N108" s="217"/>
      <c r="O108" s="217"/>
      <c r="P108" s="217"/>
      <c r="Q108" s="217"/>
      <c r="R108" s="217"/>
      <c r="S108" s="332"/>
      <c r="T108" s="217"/>
      <c r="U108" s="217"/>
      <c r="V108" s="217"/>
    </row>
    <row r="109" spans="1:29" x14ac:dyDescent="0.4">
      <c r="A109" s="76"/>
      <c r="B109" s="79" t="s">
        <v>81</v>
      </c>
      <c r="M109" s="217"/>
      <c r="N109" s="217"/>
      <c r="O109" s="217"/>
      <c r="P109" s="217"/>
      <c r="Q109" s="217"/>
      <c r="R109" s="217"/>
      <c r="S109" s="229"/>
      <c r="T109" s="217"/>
      <c r="U109" s="217"/>
      <c r="V109" s="217"/>
      <c r="W109" s="211" t="s">
        <v>397</v>
      </c>
      <c r="AC109" s="330">
        <v>4.6610000000000002E-3</v>
      </c>
    </row>
    <row r="110" spans="1:29" x14ac:dyDescent="0.4">
      <c r="A110" s="76"/>
      <c r="B110" s="78"/>
      <c r="C110" s="80"/>
      <c r="D110" s="80"/>
      <c r="E110" s="80" t="str">
        <f>+E$13</f>
        <v>RT{1}</v>
      </c>
      <c r="F110" s="80" t="str">
        <f>+F$13</f>
        <v>RS{2}</v>
      </c>
      <c r="G110" s="80" t="str">
        <f>+G$13</f>
        <v>GS{3}</v>
      </c>
      <c r="H110" s="80" t="str">
        <f>+H$58</f>
        <v>GST {4}</v>
      </c>
      <c r="I110" s="80" t="str">
        <f>+I$13</f>
        <v>OL/SL</v>
      </c>
      <c r="J110" s="80"/>
      <c r="K110" s="80"/>
      <c r="L110" s="80"/>
      <c r="M110" s="97"/>
      <c r="N110" s="333"/>
      <c r="O110" s="217"/>
      <c r="P110" s="334"/>
      <c r="Q110" s="217"/>
      <c r="R110" s="217"/>
      <c r="S110" s="217"/>
      <c r="T110" s="217"/>
      <c r="U110" s="217"/>
      <c r="V110" s="217"/>
      <c r="W110" s="40"/>
      <c r="X110" s="217"/>
      <c r="Y110" s="217"/>
      <c r="Z110" s="217"/>
      <c r="AA110" s="217"/>
      <c r="AB110" s="217"/>
      <c r="AC110" s="107"/>
    </row>
    <row r="111" spans="1:29" x14ac:dyDescent="0.4">
      <c r="A111" s="76"/>
      <c r="M111" s="217"/>
      <c r="N111" s="217"/>
      <c r="O111" s="217"/>
      <c r="P111" s="217"/>
      <c r="Q111" s="217"/>
      <c r="R111" s="215"/>
      <c r="S111" s="84"/>
      <c r="T111" s="217"/>
      <c r="U111" s="217"/>
      <c r="V111" s="217"/>
      <c r="W111" s="97"/>
      <c r="X111" s="333"/>
      <c r="Y111" s="217"/>
      <c r="Z111" s="334"/>
      <c r="AA111" s="217"/>
      <c r="AB111" s="217"/>
      <c r="AC111" s="217"/>
    </row>
    <row r="112" spans="1:29" x14ac:dyDescent="0.4">
      <c r="A112" s="76"/>
      <c r="B112" s="235" t="s">
        <v>111</v>
      </c>
      <c r="C112" s="44"/>
      <c r="D112" s="44"/>
      <c r="E112" s="335">
        <f>(SUMPRODUCT(E20:E23,E65:E68,$D84:$D87,$H84:$H87)*E95+SUMPRODUCT(Q20:Q23,E65:E68,$F84:$F87,$I84:$I87)*E95)/SUM(E65:E68)</f>
        <v>44.585281724621296</v>
      </c>
      <c r="F112" s="335">
        <f>(SUMPRODUCT(F20:F23,F65:F68,$D84:$D87,$H84:$H87)*F95+SUMPRODUCT(R20:R23,F65:F68,$F84:$F87,$I84:$I87)*F95)/SUM(F65:F68)</f>
        <v>44.731468056084601</v>
      </c>
      <c r="G112" s="335">
        <f>(SUMPRODUCT(G20:G23,G65:G68,$D84:$D87,$H84:$H87)*G95+SUMPRODUCT(S20:S23,G65:G68,$F84:$F87,$I84:$I87)*G95)/SUM(G65:G68)</f>
        <v>45.921140517416596</v>
      </c>
      <c r="H112" s="335">
        <f>(SUMPRODUCT(H20:H23,H65:H68,$D84:$D87,$H84:$H87)*H95+SUMPRODUCT(T20:T23,H65:H68,$F84:$F87,$I84:$I87)*H95)/SUM(H65:H68)</f>
        <v>45.503109245594274</v>
      </c>
      <c r="I112" s="335">
        <f>(SUMPRODUCT(I20:I23,I65:I68,$D84:$D87,$H84:$H87)*I95+SUMPRODUCT(U20:U23,I65:I68,$F84:$F87,$I84:$I87)*I95)/SUM(I65:I68)</f>
        <v>39.797976634486048</v>
      </c>
      <c r="J112" s="336"/>
      <c r="K112" s="44"/>
      <c r="L112" s="44"/>
      <c r="M112" s="40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5"/>
      <c r="AC112" s="84"/>
    </row>
    <row r="113" spans="1:29" x14ac:dyDescent="0.4">
      <c r="A113" s="76"/>
      <c r="B113" s="236" t="s">
        <v>113</v>
      </c>
      <c r="C113" s="44"/>
      <c r="D113" s="44"/>
      <c r="E113" s="335">
        <f>(SUMPRODUCT(E20:E23,E65:E68,$D84:$D87,$H84:$H87)*E95)/SUMPRODUCT(E20:E23,E65:E68)</f>
        <v>55.020328750742387</v>
      </c>
      <c r="F113" s="335">
        <f>(SUMPRODUCT(F20:F23,F65:F68,$D84:$D87,$H84:$H87)*F95)/SUMPRODUCT(F20:F23,F65:F68)</f>
        <v>55.085662712182263</v>
      </c>
      <c r="G113" s="335">
        <f>(SUMPRODUCT(G20:G23,G65:G68,$D84:$D87,$H84:$H87)*G95)/SUMPRODUCT(G20:G23,G65:G68)</f>
        <v>54.894574546449078</v>
      </c>
      <c r="H113" s="335">
        <f>(SUMPRODUCT(H20:H23,H65:H68,$D84:$D87,$H84:$H87)*H95)/SUMPRODUCT(H20:H23,H65:H68)</f>
        <v>54.827536875619998</v>
      </c>
      <c r="I113" s="335">
        <f>(SUMPRODUCT(I20:I23,I65:I68,$D84:$D87,$H84:$H87)*I95)/SUMPRODUCT(I20:I23,I65:I68)</f>
        <v>54.775458357750921</v>
      </c>
      <c r="J113" s="336"/>
      <c r="K113" s="44"/>
      <c r="L113" s="44"/>
      <c r="M113" s="40"/>
      <c r="N113" s="217"/>
      <c r="O113" s="217"/>
      <c r="P113" s="217"/>
      <c r="Q113" s="217"/>
      <c r="R113" s="217"/>
      <c r="S113" s="10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</row>
    <row r="114" spans="1:29" x14ac:dyDescent="0.4">
      <c r="A114" s="76"/>
      <c r="B114" s="236" t="s">
        <v>114</v>
      </c>
      <c r="C114" s="44"/>
      <c r="D114" s="44"/>
      <c r="E114" s="335">
        <f>(SUMPRODUCT(Q20:Q23,E65:E68,$F84:$F87,$I84:$I87)*E95)/SUMPRODUCT(Q20:Q23,E65:E68)</f>
        <v>33.658278336763232</v>
      </c>
      <c r="F114" s="335">
        <f>(SUMPRODUCT(R20:R23,F65:F68,$F84:$F87,$I84:$I87)*F95)/SUMPRODUCT(R20:R23,F65:F68)</f>
        <v>33.714575798307244</v>
      </c>
      <c r="G114" s="335">
        <f>(SUMPRODUCT(S20:S23,G65:G68,$F84:$F87,$I84:$I87)*G95)/SUMPRODUCT(S20:S23,G65:G68)</f>
        <v>33.633663356812953</v>
      </c>
      <c r="H114" s="335">
        <f>(SUMPRODUCT(T20:T23,H65:H68,$F84:$F87,$I84:$I87)*H95)/SUMPRODUCT(T20:T23,H65:H68)</f>
        <v>33.609391587231144</v>
      </c>
      <c r="I114" s="335">
        <f>(SUMPRODUCT(U20:U23,I65:I68,$F84:$F87,$I84:$I87)*I95)/SUMPRODUCT(U20:U23,I65:I68)</f>
        <v>33.585656464404096</v>
      </c>
      <c r="J114" s="336"/>
      <c r="K114" s="44"/>
      <c r="L114" s="44"/>
      <c r="M114" s="97"/>
      <c r="N114" s="333"/>
      <c r="O114" s="217"/>
      <c r="P114" s="334"/>
      <c r="Q114" s="217"/>
      <c r="R114" s="217"/>
      <c r="S114" s="217"/>
      <c r="T114" s="217"/>
      <c r="U114" s="217"/>
      <c r="V114" s="217"/>
      <c r="W114" s="32" t="s">
        <v>430</v>
      </c>
      <c r="AC114" s="339">
        <v>1.2179386381919144E-2</v>
      </c>
    </row>
    <row r="115" spans="1:29" ht="13" thickBot="1" x14ac:dyDescent="0.45">
      <c r="A115" s="76"/>
      <c r="C115" s="32"/>
      <c r="D115" s="32"/>
      <c r="E115" s="337"/>
      <c r="F115" s="337"/>
      <c r="G115" s="337"/>
      <c r="H115" s="337"/>
      <c r="I115" s="337"/>
      <c r="J115" s="336"/>
      <c r="K115" s="32"/>
      <c r="L115" s="32"/>
      <c r="M115" s="217"/>
      <c r="N115" s="217"/>
      <c r="O115" s="217"/>
      <c r="P115" s="217"/>
      <c r="Q115" s="217"/>
      <c r="R115" s="215"/>
      <c r="S115" s="84"/>
      <c r="T115" s="217"/>
      <c r="U115" s="217"/>
      <c r="V115" s="217"/>
      <c r="W115" s="98" t="s">
        <v>3</v>
      </c>
      <c r="X115" s="340">
        <v>1</v>
      </c>
      <c r="Y115" s="211" t="s">
        <v>108</v>
      </c>
      <c r="Z115" s="341">
        <v>1</v>
      </c>
      <c r="AB115" s="211" t="s">
        <v>109</v>
      </c>
    </row>
    <row r="116" spans="1:29" ht="13" thickBot="1" x14ac:dyDescent="0.45">
      <c r="A116" s="76"/>
      <c r="B116" s="235" t="s">
        <v>115</v>
      </c>
      <c r="C116" s="44"/>
      <c r="D116" s="44"/>
      <c r="E116" s="335">
        <f>(SUMPRODUCT(E15:E19,E60:E64,$D79:$D83,$H79:$H83)*E95+SUMPRODUCT(Q15:Q19,E60:E64,$F79:$F83,$I79:$I83)*E95+SUMPRODUCT(E24:E26,E69:E71,$D88:$D90,$H88:$H90)*E95+SUMPRODUCT(Q24:Q26,E69:E71,$F88:$F90,$I88:$I90)*E95)/SUM(E60:E64,E69:E71)</f>
        <v>41.750490588601949</v>
      </c>
      <c r="F116" s="335">
        <f>(SUMPRODUCT(F15:F19,F60:F64,$D79:$D83,$H79:$H83)*F95+SUMPRODUCT(R15:R19,F60:F64,$F79:$F83,$I79:$I83)*F95+SUMPRODUCT(F24:F26,F69:F71,$D88:$D90,$H88:$H90)*F95+SUMPRODUCT(R24:R26,F69:F71,$F88:$F90,$I88:$I90)*F95)/SUM(F60:F64,F69:F71)</f>
        <v>41.44665092998013</v>
      </c>
      <c r="G116" s="335">
        <f>(SUMPRODUCT(G15:G19,G60:G64,$D79:$D83,$H79:$H83)*G95+SUMPRODUCT(S15:S19,G60:G64,$F79:$F83,$I79:$I83)*G95+SUMPRODUCT(G24:G26,G69:G71,$D88:$D90,$H88:$H90)*G95+SUMPRODUCT(S24:S26,G69:G71,$F88:$F90,$I88:$I90)*G95)/SUM(G60:G64,G69:G71)</f>
        <v>41.586720188002126</v>
      </c>
      <c r="H116" s="335">
        <f>(SUMPRODUCT(H15:H19,H60:H64,$D79:$D83,$H79:$H83)*H95+SUMPRODUCT(T15:T19,H60:H64,$F79:$F83,$I79:$I83)*H95+SUMPRODUCT(H24:H26,H69:H71,$D88:$D90,$H88:$H90)*H95+SUMPRODUCT(T24:T26,H69:H71,$F88:$F90,$I88:$I90)*H95)/SUM(H60:H64,H69:H71)</f>
        <v>40.941132534232828</v>
      </c>
      <c r="I116" s="335">
        <f>(SUMPRODUCT(I15:I19,I60:I64,$D79:$D83,$H79:$H83)*I95+SUMPRODUCT(U15:U19,I60:I64,$F79:$F83,$I79:$I83)*I95+SUMPRODUCT(I24:I26,I69:I71,$D88:$D90,$H88:$H90)*I95+SUMPRODUCT(U24:U26,I69:I71,$F88:$F90,$I88:$I90)*I95)/SUM(I60:I64,I69:I71)</f>
        <v>38.910836753605032</v>
      </c>
      <c r="J116" s="336"/>
      <c r="K116" s="44"/>
      <c r="L116" s="44"/>
      <c r="M116" s="338"/>
      <c r="N116" s="217"/>
      <c r="O116" s="217"/>
      <c r="P116" s="217"/>
      <c r="Q116" s="217"/>
      <c r="R116" s="217"/>
      <c r="S116" s="217"/>
      <c r="T116" s="217"/>
      <c r="U116" s="217"/>
      <c r="V116" s="217"/>
      <c r="W116" s="211" t="s">
        <v>112</v>
      </c>
      <c r="Z116" s="211" t="s">
        <v>116</v>
      </c>
      <c r="AB116" s="212" t="s">
        <v>110</v>
      </c>
      <c r="AC116" s="13">
        <f>1-(1-AC114)/(1-$AC$109)</f>
        <v>7.5535936820713134E-3</v>
      </c>
    </row>
    <row r="117" spans="1:29" x14ac:dyDescent="0.4">
      <c r="A117" s="76"/>
      <c r="B117" s="236" t="s">
        <v>113</v>
      </c>
      <c r="C117" s="44"/>
      <c r="D117" s="44"/>
      <c r="E117" s="335">
        <f>(SUMPRODUCT(E15:E19,E60:E64,$D79:$D83,$H79:$H83)*E95+SUMPRODUCT(E24:E26,E69:E71,$D88:$D90,$H88:$H90)*E95)/(SUMPRODUCT(E15:E19,E60:E64)+SUMPRODUCT(E24:E26,E69:E71))</f>
        <v>46.715988372983034</v>
      </c>
      <c r="F117" s="335">
        <f>(SUMPRODUCT(F15:F19,F60:F64,$D79:$D83,$H79:$H83)*F95+SUMPRODUCT(F24:F26,F69:F71,$D88:$D90,$H88:$H90)*F95)/(SUMPRODUCT(F15:F19,F60:F64)+SUMPRODUCT(F24:F26,F69:F71))</f>
        <v>46.118731286491787</v>
      </c>
      <c r="G117" s="335">
        <f>(SUMPRODUCT(G15:G19,G60:G64,$D79:$D83,$H79:$H83)*G95+SUMPRODUCT(G24:G26,G69:G71,$D88:$D90,$H88:$H90)*G95)/(SUMPRODUCT(G15:G19,G60:G64)+SUMPRODUCT(G24:G26,G69:G71))</f>
        <v>45.403069513758687</v>
      </c>
      <c r="H117" s="335">
        <f>(SUMPRODUCT(H15:H19,H60:H64,$D79:$D83,$H79:$H83)*H95+SUMPRODUCT(H24:H26,H69:H71,$D88:$D90,$H88:$H90)*H95)/(SUMPRODUCT(H15:H19,H60:H64)+SUMPRODUCT(H24:H26,H69:H71))</f>
        <v>45.02338417860571</v>
      </c>
      <c r="I117" s="335">
        <f>(SUMPRODUCT(I15:I19,I60:I64,$D79:$D83,$H79:$H83)*I95+SUMPRODUCT(I24:I26,I69:I71,$D88:$D90,$H88:$H90)*I95)/(SUMPRODUCT(I15:I19,I60:I64)+SUMPRODUCT(I24:I26,I69:I71))</f>
        <v>45.23273650818232</v>
      </c>
      <c r="J117" s="336"/>
      <c r="K117" s="44"/>
      <c r="L117" s="44"/>
      <c r="M117" s="40"/>
      <c r="N117" s="217"/>
      <c r="O117" s="217"/>
      <c r="P117" s="217"/>
      <c r="Q117" s="217"/>
      <c r="R117" s="217"/>
      <c r="S117" s="107"/>
      <c r="T117" s="217"/>
      <c r="U117" s="217"/>
      <c r="V117" s="217"/>
    </row>
    <row r="118" spans="1:29" x14ac:dyDescent="0.4">
      <c r="A118" s="76"/>
      <c r="B118" s="236" t="s">
        <v>114</v>
      </c>
      <c r="C118" s="44"/>
      <c r="D118" s="44"/>
      <c r="E118" s="335">
        <f>(SUMPRODUCT(Q15:Q19,E60:E64,$F79:$F83,$I79:$I83)*E95+SUMPRODUCT(Q24:Q26,E69:E71,$F88:$F90,$I88:$I90)*E95)/(SUMPRODUCT(Q15:Q19,E60:E64)+SUMPRODUCT(Q24:Q26,E69:E71))</f>
        <v>37.203501197212141</v>
      </c>
      <c r="F118" s="335">
        <f>(SUMPRODUCT(R15:R19,F60:F64,$F79:$F83,$I79:$I83)*F95+SUMPRODUCT(R24:R26,F69:F71,$F88:$F90,$I88:$I90)*F95)/(SUMPRODUCT(R15:R19,F60:F64)+SUMPRODUCT(R24:R26,F69:F71))</f>
        <v>36.707884075687069</v>
      </c>
      <c r="G118" s="335">
        <f>(SUMPRODUCT(S15:S19,G60:G64,$F79:$F83,$I79:$I83)*G95+SUMPRODUCT(S24:S26,G69:G71,$F88:$F90,$I88:$I90)*G95)/(SUMPRODUCT(S15:S19,G60:G64)+SUMPRODUCT(S24:S26,G69:G71))</f>
        <v>36.322403324448544</v>
      </c>
      <c r="H118" s="335">
        <f>(SUMPRODUCT(T15:T19,H60:H64,$F79:$F83,$I79:$I83)*H95+SUMPRODUCT(T24:T26,H69:H71,$F88:$F90,$I88:$I90)*H95)/(SUMPRODUCT(T15:T19,H60:H64)+SUMPRODUCT(T24:T26,H69:H71))</f>
        <v>35.92706566789338</v>
      </c>
      <c r="I118" s="335">
        <f>(SUMPRODUCT(U15:U19,I60:I64,$F79:$F83,$I79:$I83)*I95+SUMPRODUCT(U24:U26,I69:I71,$F88:$F90,$I88:$I90)*I95)/(SUMPRODUCT(U15:U19,I60:I64)+SUMPRODUCT(U24:U26,I69:I71))</f>
        <v>35.979704341693719</v>
      </c>
      <c r="J118" s="336"/>
      <c r="K118" s="44"/>
      <c r="L118" s="44"/>
      <c r="M118" s="97"/>
      <c r="N118" s="333"/>
      <c r="O118" s="217"/>
      <c r="P118" s="334"/>
      <c r="Q118" s="217"/>
      <c r="R118" s="217"/>
      <c r="S118" s="217"/>
      <c r="T118" s="217"/>
      <c r="U118" s="217"/>
      <c r="V118" s="217"/>
    </row>
    <row r="119" spans="1:29" x14ac:dyDescent="0.4">
      <c r="A119" s="76"/>
      <c r="C119" s="32"/>
      <c r="D119" s="32"/>
      <c r="E119" s="337"/>
      <c r="F119" s="337"/>
      <c r="G119" s="337"/>
      <c r="H119" s="337"/>
      <c r="I119" s="337"/>
      <c r="J119" s="336"/>
      <c r="K119" s="32"/>
      <c r="L119" s="32"/>
      <c r="M119" s="217"/>
      <c r="N119" s="217"/>
      <c r="O119" s="217"/>
      <c r="P119" s="217"/>
      <c r="Q119" s="217"/>
      <c r="R119" s="215"/>
      <c r="S119" s="84"/>
      <c r="T119" s="217"/>
      <c r="U119" s="217"/>
      <c r="V119" s="217"/>
    </row>
    <row r="120" spans="1:29" x14ac:dyDescent="0.4">
      <c r="A120" s="76"/>
      <c r="B120" s="211" t="s">
        <v>117</v>
      </c>
      <c r="C120" s="44"/>
      <c r="D120" s="32"/>
      <c r="E120" s="337">
        <f>(E112*SUM(E65:E68)+E116*SUM(E60:E64,E69:E71))/E72</f>
        <v>42.683780435515025</v>
      </c>
      <c r="F120" s="337">
        <f>(F112*SUM(F65:F68)+F116*SUM(F60:F64,F69:F71))/F72</f>
        <v>42.812093552212367</v>
      </c>
      <c r="G120" s="337">
        <f>(G112*SUM(G65:G68)+G116*SUM(G60:G64,G69:G71))/G72</f>
        <v>43.157872784150769</v>
      </c>
      <c r="H120" s="337">
        <f>(H112*SUM(H65:H68)+H116*SUM(H60:H64,H69:H71))/H72</f>
        <v>42.506359150009231</v>
      </c>
      <c r="I120" s="337">
        <f>(I112*SUM(I65:I68)+I116*SUM(I60:I64,I69:I71))/I72</f>
        <v>39.206560323975516</v>
      </c>
      <c r="J120" s="336"/>
      <c r="K120" s="32"/>
      <c r="L120" s="32"/>
      <c r="M120" s="40"/>
      <c r="N120" s="217"/>
      <c r="O120" s="217"/>
      <c r="P120" s="217"/>
      <c r="Q120" s="217"/>
      <c r="R120" s="217"/>
      <c r="S120" s="217"/>
      <c r="T120" s="217"/>
      <c r="U120" s="217"/>
      <c r="V120" s="217"/>
    </row>
    <row r="121" spans="1:29" x14ac:dyDescent="0.4">
      <c r="A121" s="76"/>
      <c r="C121" s="44"/>
      <c r="D121" s="32"/>
      <c r="E121" s="32"/>
      <c r="F121" s="32"/>
      <c r="G121" s="32"/>
      <c r="H121" s="32"/>
      <c r="I121" s="32"/>
      <c r="J121" s="32"/>
      <c r="K121" s="32"/>
      <c r="L121" s="32"/>
      <c r="M121" s="40"/>
      <c r="N121" s="217"/>
      <c r="O121" s="217"/>
      <c r="P121" s="217"/>
      <c r="Q121" s="217"/>
      <c r="R121" s="217"/>
      <c r="S121" s="107"/>
      <c r="T121" s="217"/>
      <c r="U121" s="217"/>
      <c r="V121" s="217"/>
    </row>
    <row r="122" spans="1:29" x14ac:dyDescent="0.4">
      <c r="A122" s="76"/>
      <c r="B122" s="211" t="s">
        <v>118</v>
      </c>
      <c r="C122" s="44">
        <f>SUMPRODUCT(C120:I120,C72:I72)/SUM(C72:I72)</f>
        <v>42.904296088674286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97"/>
      <c r="N122" s="333"/>
      <c r="O122" s="217"/>
      <c r="P122" s="334"/>
      <c r="Q122" s="217"/>
      <c r="R122" s="217"/>
      <c r="S122" s="217"/>
      <c r="T122" s="217"/>
      <c r="U122" s="217"/>
      <c r="V122" s="217"/>
    </row>
    <row r="123" spans="1:29" x14ac:dyDescent="0.4">
      <c r="A123" s="76"/>
      <c r="C123" s="44"/>
      <c r="D123" s="32"/>
      <c r="E123" s="32"/>
      <c r="F123" s="32"/>
      <c r="G123" s="32"/>
      <c r="H123" s="32"/>
      <c r="I123" s="32"/>
      <c r="J123" s="32"/>
      <c r="K123" s="32"/>
      <c r="L123" s="32"/>
      <c r="M123" s="217"/>
      <c r="N123" s="217"/>
      <c r="O123" s="217"/>
      <c r="P123" s="217"/>
      <c r="Q123" s="217"/>
      <c r="R123" s="215"/>
      <c r="S123" s="84"/>
      <c r="T123" s="217"/>
      <c r="U123" s="217"/>
      <c r="V123" s="217"/>
    </row>
    <row r="124" spans="1:29" x14ac:dyDescent="0.4">
      <c r="A124" s="76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40"/>
      <c r="N124" s="217"/>
      <c r="O124" s="217"/>
      <c r="P124" s="217"/>
      <c r="Q124" s="217"/>
      <c r="R124" s="217"/>
      <c r="S124" s="217"/>
      <c r="T124" s="217"/>
      <c r="U124" s="217"/>
      <c r="V124" s="217"/>
    </row>
    <row r="125" spans="1:29" x14ac:dyDescent="0.4">
      <c r="A125" s="77" t="s">
        <v>119</v>
      </c>
      <c r="B125" s="78" t="s">
        <v>120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40"/>
      <c r="N125" s="217"/>
      <c r="O125" s="217"/>
      <c r="P125" s="217"/>
      <c r="Q125" s="217"/>
      <c r="R125" s="217"/>
      <c r="S125" s="107"/>
      <c r="T125" s="217"/>
      <c r="U125" s="217"/>
      <c r="V125" s="217"/>
    </row>
    <row r="126" spans="1:29" x14ac:dyDescent="0.4">
      <c r="A126" s="76"/>
      <c r="B126" s="79" t="s">
        <v>121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97"/>
      <c r="N126" s="333"/>
      <c r="O126" s="217"/>
      <c r="P126" s="334"/>
      <c r="Q126" s="217"/>
      <c r="R126" s="217"/>
      <c r="S126" s="217"/>
      <c r="T126" s="217"/>
      <c r="U126" s="217"/>
      <c r="V126" s="217"/>
    </row>
    <row r="127" spans="1:29" x14ac:dyDescent="0.4">
      <c r="A127" s="76"/>
      <c r="B127" s="79" t="s">
        <v>122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217"/>
      <c r="N127" s="217"/>
      <c r="O127" s="217"/>
      <c r="P127" s="217"/>
      <c r="Q127" s="217"/>
      <c r="R127" s="215"/>
      <c r="S127" s="84"/>
      <c r="T127" s="217"/>
      <c r="U127" s="217"/>
      <c r="V127" s="217"/>
    </row>
    <row r="128" spans="1:29" x14ac:dyDescent="0.4">
      <c r="A128" s="76"/>
      <c r="B128" s="78"/>
      <c r="C128" s="80"/>
      <c r="D128" s="80"/>
      <c r="E128" s="80" t="str">
        <f>+E$13</f>
        <v>RT{1}</v>
      </c>
      <c r="F128" s="80" t="str">
        <f>+F$13</f>
        <v>RS{2}</v>
      </c>
      <c r="G128" s="80" t="str">
        <f>+G$13</f>
        <v>GS{3}</v>
      </c>
      <c r="H128" s="80" t="str">
        <f>+H$58</f>
        <v>GST {4}</v>
      </c>
      <c r="I128" s="80" t="str">
        <f>+I$13</f>
        <v>OL/SL</v>
      </c>
      <c r="J128" s="80" t="s">
        <v>44</v>
      </c>
      <c r="K128" s="80"/>
      <c r="L128" s="80"/>
      <c r="M128" s="97"/>
      <c r="N128" s="217"/>
      <c r="O128" s="217"/>
      <c r="P128" s="217"/>
      <c r="Q128" s="217"/>
      <c r="R128" s="217"/>
      <c r="S128" s="217"/>
      <c r="T128" s="217"/>
      <c r="U128" s="217"/>
      <c r="V128" s="217"/>
    </row>
    <row r="129" spans="1:22" x14ac:dyDescent="0.4">
      <c r="A129" s="76"/>
      <c r="C129" s="319"/>
      <c r="M129" s="40"/>
      <c r="N129" s="217"/>
      <c r="O129" s="217"/>
      <c r="P129" s="217"/>
      <c r="Q129" s="217"/>
      <c r="R129" s="217"/>
      <c r="S129" s="107"/>
      <c r="T129" s="217"/>
      <c r="U129" s="217"/>
      <c r="V129" s="217"/>
    </row>
    <row r="130" spans="1:22" x14ac:dyDescent="0.4">
      <c r="A130" s="76"/>
      <c r="B130" s="235" t="s">
        <v>111</v>
      </c>
      <c r="C130" s="336"/>
      <c r="D130" s="336"/>
      <c r="E130" s="336">
        <f>SUM(E65:E68)*E112/1000</f>
        <v>2953.8640848196101</v>
      </c>
      <c r="F130" s="336">
        <f>SUM(F65:F68)*F112/1000</f>
        <v>168711.93353988009</v>
      </c>
      <c r="G130" s="336">
        <f>SUM(G65:G68)*G112/1000</f>
        <v>90773.466489290324</v>
      </c>
      <c r="H130" s="336">
        <f>SUM(H65:H68)*H112/1000</f>
        <v>2991.6019173515956</v>
      </c>
      <c r="I130" s="336">
        <f>SUM(I65:I68)*I112/1000</f>
        <v>1526.9687675119606</v>
      </c>
      <c r="J130" s="336">
        <f>SUM(E130:I130)</f>
        <v>266957.83479885355</v>
      </c>
      <c r="K130" s="336"/>
      <c r="L130" s="336"/>
      <c r="M130" s="97"/>
      <c r="N130" s="333"/>
      <c r="O130" s="217"/>
      <c r="P130" s="334"/>
      <c r="Q130" s="217"/>
      <c r="R130" s="217"/>
      <c r="S130" s="217"/>
      <c r="T130" s="217"/>
      <c r="U130" s="217"/>
      <c r="V130" s="217"/>
    </row>
    <row r="131" spans="1:22" x14ac:dyDescent="0.4">
      <c r="A131" s="76"/>
      <c r="B131" s="236" t="s">
        <v>113</v>
      </c>
      <c r="C131" s="336"/>
      <c r="D131" s="336"/>
      <c r="E131" s="336">
        <f>SUMPRODUCT(E65:E68,E20:E23)*E113/1000</f>
        <v>1864.5769719663876</v>
      </c>
      <c r="F131" s="336">
        <f>SUMPRODUCT(F65:F68,F20:F23)*F113/1000</f>
        <v>107103.51432361931</v>
      </c>
      <c r="G131" s="336">
        <f>SUMPRODUCT(G65:G68,G20:G23)*G113/1000</f>
        <v>62712.848668732979</v>
      </c>
      <c r="H131" s="336">
        <f>SUMPRODUCT(H65:H68,H20:H23)*H113/1000</f>
        <v>2020.5596276837503</v>
      </c>
      <c r="I131" s="336">
        <f>SUMPRODUCT(I65:I68,I20:I23)*I113/1000</f>
        <v>616.14384671476216</v>
      </c>
      <c r="J131" s="336">
        <f>SUM(E131:I131)</f>
        <v>174317.64343871718</v>
      </c>
      <c r="K131" s="336"/>
      <c r="L131" s="336"/>
      <c r="M131" s="217"/>
      <c r="N131" s="217"/>
      <c r="O131" s="217"/>
      <c r="P131" s="217"/>
      <c r="Q131" s="217"/>
      <c r="R131" s="215"/>
      <c r="S131" s="84"/>
      <c r="T131" s="217"/>
      <c r="U131" s="217"/>
      <c r="V131" s="217"/>
    </row>
    <row r="132" spans="1:22" x14ac:dyDescent="0.4">
      <c r="A132" s="76"/>
      <c r="B132" s="236" t="s">
        <v>114</v>
      </c>
      <c r="C132" s="336"/>
      <c r="D132" s="336"/>
      <c r="E132" s="336">
        <f>SUMPRODUCT(E65:E68,Q20:Q23)*E114/1000</f>
        <v>1089.2871128532222</v>
      </c>
      <c r="F132" s="336">
        <f>SUMPRODUCT(F65:F68,R20:R23)*F114/1000</f>
        <v>61608.419216260772</v>
      </c>
      <c r="G132" s="336">
        <f>SUMPRODUCT(G65:G68,S20:S23)*G114/1000</f>
        <v>28060.617820557349</v>
      </c>
      <c r="H132" s="336">
        <f>SUMPRODUCT(H65:H68,T20:T23)*H114/1000</f>
        <v>971.04228966784535</v>
      </c>
      <c r="I132" s="336">
        <f>SUMPRODUCT(I65:I68,U20:U23)*I114/1000</f>
        <v>910.82492079719873</v>
      </c>
      <c r="J132" s="336">
        <f>SUM(E132:I132)</f>
        <v>92640.191360136392</v>
      </c>
      <c r="K132" s="336"/>
      <c r="L132" s="336"/>
      <c r="M132" s="342"/>
      <c r="N132" s="217"/>
      <c r="O132" s="217"/>
      <c r="P132" s="217"/>
      <c r="Q132" s="217"/>
      <c r="R132" s="217"/>
      <c r="S132" s="217"/>
      <c r="T132" s="217"/>
      <c r="U132" s="217"/>
      <c r="V132" s="217"/>
    </row>
    <row r="133" spans="1:22" x14ac:dyDescent="0.4">
      <c r="A133" s="76"/>
      <c r="C133" s="21"/>
      <c r="D133" s="21"/>
      <c r="E133" s="21"/>
      <c r="F133" s="21"/>
      <c r="G133" s="21"/>
      <c r="H133" s="21"/>
      <c r="I133" s="21"/>
      <c r="J133" s="336"/>
      <c r="K133" s="21"/>
      <c r="L133" s="21"/>
      <c r="M133" s="40"/>
      <c r="N133" s="217"/>
      <c r="O133" s="217"/>
      <c r="P133" s="217"/>
      <c r="Q133" s="217"/>
      <c r="R133" s="217"/>
      <c r="S133" s="107"/>
      <c r="T133" s="217"/>
      <c r="U133" s="217"/>
      <c r="V133" s="217"/>
    </row>
    <row r="134" spans="1:22" x14ac:dyDescent="0.4">
      <c r="A134" s="76"/>
      <c r="B134" s="235" t="s">
        <v>115</v>
      </c>
      <c r="C134" s="21"/>
      <c r="D134" s="21"/>
      <c r="E134" s="21">
        <f>SUM(E60:E64,E69:E71)*E116/1000</f>
        <v>5635.6064711212575</v>
      </c>
      <c r="F134" s="21">
        <f>SUM(F60:F64,F69:F71)*F116/1000</f>
        <v>219739.61578141846</v>
      </c>
      <c r="G134" s="21">
        <f>SUM(G60:G64,G69:G71)*G116/1000</f>
        <v>144579.10221728234</v>
      </c>
      <c r="H134" s="21">
        <f>SUM(H60:H64,H69:H71)*H116/1000</f>
        <v>5153.4241166140237</v>
      </c>
      <c r="I134" s="21">
        <f>SUM(I60:I64,I69:I71)*I116/1000</f>
        <v>2985.7063257776213</v>
      </c>
      <c r="J134" s="336">
        <f>SUM(E134:I134)</f>
        <v>378093.45491221373</v>
      </c>
      <c r="K134" s="21"/>
      <c r="L134" s="21"/>
      <c r="M134" s="97"/>
      <c r="N134" s="333"/>
      <c r="O134" s="217"/>
      <c r="P134" s="334"/>
      <c r="Q134" s="217"/>
      <c r="R134" s="217"/>
      <c r="S134" s="217"/>
      <c r="T134" s="217"/>
      <c r="U134" s="217"/>
      <c r="V134" s="217"/>
    </row>
    <row r="135" spans="1:22" x14ac:dyDescent="0.4">
      <c r="A135" s="76"/>
      <c r="B135" s="236" t="s">
        <v>113</v>
      </c>
      <c r="C135" s="336"/>
      <c r="D135" s="336"/>
      <c r="E135" s="336">
        <f>(SUMPRODUCT(E60:E64,E15:E19)+SUMPRODUCT(E69:E71,E24:E26))*E117/1000</f>
        <v>3014.2167192828902</v>
      </c>
      <c r="F135" s="336">
        <f>(SUMPRODUCT(F60:F64,F15:F19)+SUMPRODUCT(F69:F71,F24:F26))*F117/1000</f>
        <v>123121.21381640743</v>
      </c>
      <c r="G135" s="336">
        <f>(SUMPRODUCT(G60:G64,G15:G19)+SUMPRODUCT(G69:G71,G24:G26))*G117/1000</f>
        <v>91508.277161512815</v>
      </c>
      <c r="H135" s="336">
        <f>(SUMPRODUCT(H60:H64,H15:H19)+SUMPRODUCT(H69:H71,H24:H26))*H117/1000</f>
        <v>3123.9108486908203</v>
      </c>
      <c r="I135" s="336">
        <f>(SUMPRODUCT(I60:I64,I15:I19)+SUMPRODUCT(I69:I71,I24:I26))*I117/1000</f>
        <v>1099.4633240138633</v>
      </c>
      <c r="J135" s="336">
        <f>SUM(E135:I135)</f>
        <v>221867.08186990782</v>
      </c>
      <c r="K135" s="336"/>
      <c r="L135" s="336"/>
      <c r="M135" s="217"/>
      <c r="N135" s="217"/>
      <c r="O135" s="217"/>
      <c r="P135" s="217"/>
      <c r="Q135" s="217"/>
      <c r="R135" s="215"/>
      <c r="S135" s="84"/>
      <c r="T135" s="217"/>
      <c r="U135" s="217"/>
      <c r="V135" s="217"/>
    </row>
    <row r="136" spans="1:22" x14ac:dyDescent="0.4">
      <c r="A136" s="76"/>
      <c r="B136" s="236" t="s">
        <v>114</v>
      </c>
      <c r="C136" s="336"/>
      <c r="D136" s="336"/>
      <c r="E136" s="336">
        <f>+(SUMPRODUCT(E60:E64,Q15:Q19)+SUMPRODUCT(E69:E71,Q24:Q26))*E118/1000</f>
        <v>2621.3897518383674</v>
      </c>
      <c r="F136" s="336">
        <f>+(SUMPRODUCT(F60:F64,R15:R19)+SUMPRODUCT(F69:F71,R24:R26))*F118/1000</f>
        <v>96618.401965010999</v>
      </c>
      <c r="G136" s="336">
        <f>+(SUMPRODUCT(G60:G64,S15:S19)+SUMPRODUCT(G69:G71,S24:S26))*G118/1000</f>
        <v>53070.825055769521</v>
      </c>
      <c r="H136" s="336">
        <f>+(SUMPRODUCT(H60:H64,T15:T19)+SUMPRODUCT(H69:H71,T24:T26))*H118/1000</f>
        <v>2029.5132679232024</v>
      </c>
      <c r="I136" s="336">
        <f>+(SUMPRODUCT(I60:I64,U15:U19)+SUMPRODUCT(I69:I71,U24:U26))*I118/1000</f>
        <v>1886.2430017637582</v>
      </c>
      <c r="J136" s="336">
        <f>SUM(E136:I136)</f>
        <v>156226.37304230587</v>
      </c>
      <c r="K136" s="336"/>
      <c r="L136" s="336"/>
      <c r="M136" s="342"/>
      <c r="N136" s="217"/>
      <c r="O136" s="217"/>
      <c r="P136" s="217"/>
      <c r="Q136" s="217"/>
      <c r="R136" s="217"/>
      <c r="S136" s="217"/>
      <c r="T136" s="217"/>
      <c r="U136" s="217"/>
      <c r="V136" s="217"/>
    </row>
    <row r="137" spans="1:22" x14ac:dyDescent="0.4">
      <c r="A137" s="76"/>
      <c r="C137" s="32"/>
      <c r="D137" s="32"/>
      <c r="E137" s="32"/>
      <c r="F137" s="32"/>
      <c r="G137" s="32"/>
      <c r="H137" s="32"/>
      <c r="I137" s="32"/>
      <c r="J137" s="336"/>
      <c r="K137" s="32"/>
      <c r="L137" s="32"/>
      <c r="M137" s="40"/>
      <c r="N137" s="217"/>
      <c r="O137" s="217"/>
      <c r="P137" s="217"/>
      <c r="Q137" s="217"/>
      <c r="R137" s="217"/>
      <c r="S137" s="107"/>
      <c r="T137" s="217"/>
      <c r="U137" s="217"/>
      <c r="V137" s="217"/>
    </row>
    <row r="138" spans="1:22" x14ac:dyDescent="0.4">
      <c r="A138" s="76"/>
      <c r="B138" s="211" t="s">
        <v>117</v>
      </c>
      <c r="C138" s="21"/>
      <c r="D138" s="21"/>
      <c r="E138" s="21">
        <f>+E130+E134</f>
        <v>8589.4705559408685</v>
      </c>
      <c r="F138" s="21">
        <f>+F130+F134</f>
        <v>388451.54932129855</v>
      </c>
      <c r="G138" s="21">
        <f>+G130+G134</f>
        <v>235352.56870657267</v>
      </c>
      <c r="H138" s="21">
        <f>+H130+H134</f>
        <v>8145.0260339656197</v>
      </c>
      <c r="I138" s="21">
        <f>+I130+I134</f>
        <v>4512.675093289582</v>
      </c>
      <c r="J138" s="336">
        <f>SUM(E138:I138)</f>
        <v>645051.28971106734</v>
      </c>
      <c r="K138" s="21"/>
      <c r="L138" s="21"/>
      <c r="M138" s="97"/>
      <c r="N138" s="333"/>
      <c r="O138" s="217"/>
      <c r="P138" s="334"/>
      <c r="Q138" s="217"/>
      <c r="R138" s="217"/>
      <c r="S138" s="217"/>
      <c r="T138" s="217"/>
      <c r="U138" s="217"/>
      <c r="V138" s="217"/>
    </row>
    <row r="139" spans="1:22" x14ac:dyDescent="0.4">
      <c r="A139" s="76"/>
      <c r="M139" s="217"/>
      <c r="N139" s="217"/>
      <c r="O139" s="217"/>
      <c r="P139" s="217"/>
      <c r="Q139" s="217"/>
      <c r="R139" s="215"/>
      <c r="S139" s="84"/>
      <c r="T139" s="217"/>
      <c r="U139" s="217"/>
      <c r="V139" s="217"/>
    </row>
    <row r="140" spans="1:22" x14ac:dyDescent="0.4">
      <c r="A140" s="76"/>
      <c r="B140" s="211" t="s">
        <v>118</v>
      </c>
      <c r="C140" s="336">
        <f>SUM(C138:I138)</f>
        <v>645051.28971106734</v>
      </c>
      <c r="E140" s="343"/>
      <c r="F140" s="44"/>
    </row>
    <row r="141" spans="1:22" x14ac:dyDescent="0.4">
      <c r="A141" s="76"/>
    </row>
    <row r="142" spans="1:22" x14ac:dyDescent="0.4">
      <c r="A142" s="76"/>
    </row>
    <row r="143" spans="1:22" ht="15.35" x14ac:dyDescent="0.5">
      <c r="A143" s="76"/>
      <c r="B143" s="382" t="str">
        <f>$B$1</f>
        <v xml:space="preserve">Jersey Central Power &amp; Light </v>
      </c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</row>
    <row r="144" spans="1:22" ht="15.35" x14ac:dyDescent="0.5">
      <c r="A144" s="76"/>
      <c r="B144" s="382" t="str">
        <f>$B$2</f>
        <v>Attachment 2</v>
      </c>
      <c r="C144" s="382"/>
      <c r="D144" s="382"/>
      <c r="E144" s="382"/>
      <c r="F144" s="382"/>
      <c r="G144" s="382"/>
      <c r="H144" s="382"/>
      <c r="I144" s="382"/>
      <c r="J144" s="382"/>
      <c r="K144" s="382"/>
      <c r="L144" s="382"/>
    </row>
    <row r="145" spans="1:51" x14ac:dyDescent="0.4">
      <c r="A145" s="77" t="s">
        <v>123</v>
      </c>
      <c r="B145" s="78" t="s">
        <v>124</v>
      </c>
      <c r="C145" s="32"/>
      <c r="Q145" s="211" t="s">
        <v>125</v>
      </c>
      <c r="T145" s="211" t="s">
        <v>126</v>
      </c>
      <c r="W145" s="211" t="s">
        <v>127</v>
      </c>
      <c r="Z145" s="211" t="s">
        <v>128</v>
      </c>
    </row>
    <row r="146" spans="1:51" x14ac:dyDescent="0.4">
      <c r="A146" s="76"/>
      <c r="B146" s="79" t="s">
        <v>129</v>
      </c>
      <c r="C146" s="32"/>
      <c r="W146" s="211" t="s">
        <v>130</v>
      </c>
      <c r="Z146" s="211" t="s">
        <v>131</v>
      </c>
      <c r="AC146" s="211" t="s">
        <v>132</v>
      </c>
    </row>
    <row r="147" spans="1:51" x14ac:dyDescent="0.4">
      <c r="A147" s="76"/>
      <c r="B147" s="79" t="s">
        <v>81</v>
      </c>
      <c r="C147" s="32"/>
    </row>
    <row r="148" spans="1:51" x14ac:dyDescent="0.4">
      <c r="A148" s="76"/>
      <c r="B148" s="78"/>
      <c r="C148" s="80"/>
      <c r="D148" s="80"/>
      <c r="E148" s="80" t="str">
        <f>+E$13</f>
        <v>RT{1}</v>
      </c>
      <c r="F148" s="80" t="str">
        <f>+F$13</f>
        <v>RS{2}</v>
      </c>
      <c r="G148" s="80" t="str">
        <f>+G$13</f>
        <v>GS{3}</v>
      </c>
      <c r="H148" s="80" t="str">
        <f>+H$58</f>
        <v>GST {4}</v>
      </c>
      <c r="I148" s="80" t="str">
        <f>+I$13</f>
        <v>OL/SL</v>
      </c>
      <c r="J148" s="80"/>
      <c r="K148" s="80"/>
      <c r="L148" s="80"/>
      <c r="M148" s="80"/>
      <c r="Q148" s="80" t="str">
        <f>+$H148</f>
        <v>GST {4}</v>
      </c>
      <c r="R148" s="80"/>
      <c r="S148" s="80"/>
      <c r="T148" s="80" t="str">
        <f>+$H148</f>
        <v>GST {4}</v>
      </c>
      <c r="U148" s="80"/>
      <c r="V148" s="80"/>
      <c r="W148" s="80" t="str">
        <f>+$H148</f>
        <v>GST {4}</v>
      </c>
      <c r="X148" s="80"/>
      <c r="Z148" s="80" t="str">
        <f>+$H148</f>
        <v>GST {4}</v>
      </c>
      <c r="AA148" s="80"/>
      <c r="AC148" s="80" t="str">
        <f>+$H148</f>
        <v>GST {4}</v>
      </c>
      <c r="AD148" s="80"/>
      <c r="AU148" s="80"/>
      <c r="AV148" s="80"/>
      <c r="AW148" s="80"/>
      <c r="AX148" s="80"/>
      <c r="AY148" s="80"/>
    </row>
    <row r="149" spans="1:51" x14ac:dyDescent="0.4">
      <c r="A149" s="76"/>
      <c r="C149" s="319"/>
    </row>
    <row r="150" spans="1:51" x14ac:dyDescent="0.4">
      <c r="A150" s="76"/>
      <c r="B150" s="235" t="s">
        <v>111</v>
      </c>
      <c r="C150" s="44"/>
      <c r="D150" s="44"/>
      <c r="E150" s="335">
        <f>+E130/SUM(E65:E68)*1000</f>
        <v>44.585281724621296</v>
      </c>
      <c r="F150" s="335">
        <f>+F130/SUM(F65:F68)*1000</f>
        <v>44.731468056084601</v>
      </c>
      <c r="G150" s="335">
        <f>+G130/SUM(G65:G68)*1000</f>
        <v>45.921140517416596</v>
      </c>
      <c r="H150" s="335">
        <f>+H130/SUM(H65:H68)*1000</f>
        <v>45.503109245594274</v>
      </c>
      <c r="I150" s="335">
        <f>+I130/SUM(I65:I68)*1000</f>
        <v>39.797976634486048</v>
      </c>
      <c r="J150" s="44"/>
      <c r="K150" s="44"/>
      <c r="L150" s="44"/>
      <c r="M150" s="44"/>
      <c r="P150" s="95" t="s">
        <v>91</v>
      </c>
      <c r="AU150" s="226"/>
      <c r="AV150" s="226"/>
      <c r="AW150" s="226"/>
      <c r="AX150" s="226"/>
      <c r="AY150" s="226"/>
    </row>
    <row r="151" spans="1:51" x14ac:dyDescent="0.4">
      <c r="A151" s="76"/>
      <c r="B151" s="236" t="s">
        <v>133</v>
      </c>
      <c r="C151" s="336"/>
      <c r="D151" s="336"/>
      <c r="E151" s="335">
        <f>+(E131*1000-X163*AVERAGE(E$113,E$114))/R163</f>
        <v>57.661999472239636</v>
      </c>
      <c r="F151" s="335"/>
      <c r="G151" s="335"/>
      <c r="H151" s="335">
        <f>+(H131*1000-W151*AVERAGE(H$113,H$114))/Q151</f>
        <v>57.08487261785826</v>
      </c>
      <c r="I151" s="335"/>
      <c r="J151" s="336"/>
      <c r="K151" s="336"/>
      <c r="L151" s="44"/>
      <c r="M151" s="44"/>
      <c r="P151" s="211" t="s">
        <v>85</v>
      </c>
      <c r="Q151" s="226">
        <f>T65</f>
        <v>30387.3639</v>
      </c>
      <c r="R151" s="226"/>
      <c r="T151" s="226">
        <f>T76</f>
        <v>36853.0075</v>
      </c>
      <c r="U151" s="226"/>
      <c r="W151" s="226">
        <f>+T151-Q151</f>
        <v>6465.6435999999994</v>
      </c>
      <c r="X151" s="226"/>
      <c r="Z151" s="21">
        <f>+H151*Q151/1000</f>
        <v>1734.6587974240047</v>
      </c>
      <c r="AA151" s="21"/>
      <c r="AX151" s="226"/>
    </row>
    <row r="152" spans="1:51" ht="14.7" x14ac:dyDescent="0.7">
      <c r="A152" s="76"/>
      <c r="B152" s="236" t="s">
        <v>134</v>
      </c>
      <c r="C152" s="336"/>
      <c r="D152" s="336"/>
      <c r="E152" s="335">
        <f>+(E132*1000-X164*AVERAGE(E$113,E$114))/R164</f>
        <v>35.487434313123494</v>
      </c>
      <c r="F152" s="335"/>
      <c r="G152" s="335"/>
      <c r="H152" s="335">
        <f>+(H132*1000-W152*AVERAGE(H$113,H$114))/Q152</f>
        <v>35.549410497145509</v>
      </c>
      <c r="I152" s="335"/>
      <c r="J152" s="336"/>
      <c r="K152" s="336"/>
      <c r="L152" s="44"/>
      <c r="M152" s="44"/>
      <c r="P152" s="211" t="s">
        <v>86</v>
      </c>
      <c r="Q152" s="226">
        <f>T66</f>
        <v>35357.636100000003</v>
      </c>
      <c r="R152" s="226"/>
      <c r="T152" s="226">
        <f>T77</f>
        <v>28891.9925</v>
      </c>
      <c r="U152" s="226"/>
      <c r="W152" s="226">
        <f>+T152-Q152</f>
        <v>-6465.6436000000031</v>
      </c>
      <c r="X152" s="226"/>
      <c r="Z152" s="14">
        <f>+H152*Q152/1000</f>
        <v>1256.9431199275912</v>
      </c>
      <c r="AA152" s="14"/>
      <c r="AX152" s="226"/>
    </row>
    <row r="153" spans="1:51" x14ac:dyDescent="0.4">
      <c r="A153" s="76"/>
      <c r="C153" s="21"/>
      <c r="D153" s="21"/>
      <c r="E153" s="337"/>
      <c r="F153" s="337"/>
      <c r="G153" s="337"/>
      <c r="H153" s="337"/>
      <c r="I153" s="337"/>
      <c r="J153" s="21"/>
      <c r="K153" s="21"/>
      <c r="L153" s="21"/>
      <c r="M153" s="21"/>
      <c r="Q153" s="226"/>
      <c r="R153" s="226"/>
      <c r="T153" s="226"/>
      <c r="U153" s="226"/>
      <c r="W153" s="226"/>
      <c r="X153" s="226"/>
      <c r="Z153" s="21">
        <f>+Z152+Z151</f>
        <v>2991.6019173515961</v>
      </c>
      <c r="AA153" s="21"/>
      <c r="AC153" s="319">
        <f>+H130</f>
        <v>2991.6019173515956</v>
      </c>
      <c r="AD153" s="319"/>
    </row>
    <row r="154" spans="1:51" x14ac:dyDescent="0.4">
      <c r="A154" s="76"/>
      <c r="B154" s="235" t="s">
        <v>115</v>
      </c>
      <c r="C154" s="32"/>
      <c r="D154" s="32"/>
      <c r="E154" s="337">
        <f>+E134/SUM(E60:E64,E69:E71)*1000</f>
        <v>41.750490588601956</v>
      </c>
      <c r="F154" s="337">
        <f>+F134/SUM(F60:F64,F69:F71)*1000</f>
        <v>41.446650929980137</v>
      </c>
      <c r="G154" s="337">
        <f>+G134/SUM(G60:G64,G69:G71)*1000</f>
        <v>41.586720188002118</v>
      </c>
      <c r="H154" s="337">
        <f>+H134/SUM(H60:H64,H69:H71)*1000</f>
        <v>40.941132534232835</v>
      </c>
      <c r="I154" s="337">
        <f>+I134/SUM(I60:I64,I69:I71)*1000</f>
        <v>38.910836753605032</v>
      </c>
      <c r="J154" s="32"/>
      <c r="K154" s="32"/>
      <c r="L154" s="32"/>
      <c r="M154" s="32"/>
      <c r="P154" s="95" t="s">
        <v>88</v>
      </c>
      <c r="Q154" s="226"/>
      <c r="R154" s="226"/>
      <c r="T154" s="226"/>
      <c r="U154" s="226"/>
      <c r="W154" s="226"/>
      <c r="X154" s="226"/>
      <c r="Z154" s="21"/>
      <c r="AA154" s="21"/>
      <c r="AC154" s="319"/>
      <c r="AU154" s="226"/>
      <c r="AV154" s="226"/>
      <c r="AW154" s="226"/>
      <c r="AX154" s="226"/>
      <c r="AY154" s="226"/>
    </row>
    <row r="155" spans="1:51" x14ac:dyDescent="0.4">
      <c r="A155" s="76"/>
      <c r="B155" s="236" t="s">
        <v>133</v>
      </c>
      <c r="C155" s="336"/>
      <c r="D155" s="336"/>
      <c r="E155" s="335">
        <f>+(E135*1000-X168*AVERAGE(E$113,E$114))/R168</f>
        <v>47.553256596983573</v>
      </c>
      <c r="F155" s="335"/>
      <c r="G155" s="335"/>
      <c r="H155" s="335">
        <f>+(H135*1000-W155*AVERAGE(H$117,H$118))/Q155</f>
        <v>46.185738636344603</v>
      </c>
      <c r="I155" s="335"/>
      <c r="J155" s="336"/>
      <c r="K155" s="336"/>
      <c r="L155" s="44"/>
      <c r="M155" s="44"/>
      <c r="P155" s="211" t="s">
        <v>85</v>
      </c>
      <c r="Q155" s="226">
        <f>T61</f>
        <v>55261.285100000001</v>
      </c>
      <c r="R155" s="226"/>
      <c r="T155" s="226">
        <f>T72</f>
        <v>69384.185700000002</v>
      </c>
      <c r="U155" s="226"/>
      <c r="W155" s="226">
        <f>+T155-Q155</f>
        <v>14122.900600000001</v>
      </c>
      <c r="X155" s="226"/>
      <c r="Z155" s="21">
        <f>+H155*Q155/1000</f>
        <v>2552.2832703371246</v>
      </c>
      <c r="AA155" s="21"/>
      <c r="AC155" s="319"/>
      <c r="AX155" s="226"/>
    </row>
    <row r="156" spans="1:51" ht="14.7" x14ac:dyDescent="0.7">
      <c r="A156" s="76"/>
      <c r="B156" s="236" t="s">
        <v>134</v>
      </c>
      <c r="C156" s="336"/>
      <c r="D156" s="336"/>
      <c r="E156" s="335">
        <f>+(E136*1000-X169*AVERAGE(E$113,E$114))/R169</f>
        <v>38.586701010397022</v>
      </c>
      <c r="F156" s="335"/>
      <c r="G156" s="335"/>
      <c r="H156" s="335">
        <f>+(H136*1000-W156*AVERAGE(H$117,H$118))/Q156</f>
        <v>36.836720553239886</v>
      </c>
      <c r="I156" s="335"/>
      <c r="J156" s="336"/>
      <c r="K156" s="336"/>
      <c r="L156" s="44"/>
      <c r="M156" s="44"/>
      <c r="P156" s="211" t="s">
        <v>86</v>
      </c>
      <c r="Q156" s="226">
        <f>T62</f>
        <v>70612.714899999992</v>
      </c>
      <c r="R156" s="226"/>
      <c r="T156" s="226">
        <f>T73</f>
        <v>56489.814299999998</v>
      </c>
      <c r="U156" s="226"/>
      <c r="W156" s="226">
        <f>+T156-Q156</f>
        <v>-14122.900599999994</v>
      </c>
      <c r="X156" s="226"/>
      <c r="Z156" s="14">
        <f>+H156*Q156/1000</f>
        <v>2601.1408462768977</v>
      </c>
      <c r="AA156" s="14"/>
      <c r="AC156" s="319"/>
      <c r="AX156" s="226"/>
    </row>
    <row r="157" spans="1:51" x14ac:dyDescent="0.4">
      <c r="A157" s="76"/>
      <c r="C157" s="32"/>
      <c r="D157" s="32"/>
      <c r="E157" s="337"/>
      <c r="F157" s="337"/>
      <c r="G157" s="337"/>
      <c r="H157" s="337"/>
      <c r="I157" s="337"/>
      <c r="J157" s="32"/>
      <c r="K157" s="32"/>
      <c r="L157" s="32"/>
      <c r="M157" s="32"/>
      <c r="Z157" s="21">
        <f>+Z156+Z155</f>
        <v>5153.4241166140218</v>
      </c>
      <c r="AA157" s="21"/>
      <c r="AC157" s="319">
        <f>+H134</f>
        <v>5153.4241166140237</v>
      </c>
      <c r="AD157" s="319"/>
    </row>
    <row r="158" spans="1:51" x14ac:dyDescent="0.4">
      <c r="A158" s="76"/>
      <c r="B158" s="211" t="s">
        <v>135</v>
      </c>
      <c r="C158" s="44"/>
      <c r="D158" s="44"/>
      <c r="E158" s="335">
        <f>(E150*SUM(E65:E68)+E154*SUM(E60:E64,E69:E71))/E72</f>
        <v>42.68378043551504</v>
      </c>
      <c r="F158" s="335">
        <f>(F150*SUM(F65:F68)+F154*SUM(F60:F64,F69:F71))/F72</f>
        <v>42.812093552212374</v>
      </c>
      <c r="G158" s="335">
        <f>(G150*SUM(G65:G68)+G154*SUM(G60:G64,G69:G71))/G72</f>
        <v>43.157872784150761</v>
      </c>
      <c r="H158" s="335">
        <f>(H150*SUM(H65:H68)+H154*SUM(H60:H64,H69:H71))/H72</f>
        <v>42.506359150009231</v>
      </c>
      <c r="I158" s="335">
        <f>(I150*SUM(I65:I68)+I154*SUM(I60:I64,I69:I71))/I72</f>
        <v>39.206560323975516</v>
      </c>
      <c r="J158" s="44"/>
      <c r="K158" s="44"/>
      <c r="L158" s="44"/>
      <c r="M158" s="44"/>
      <c r="AU158" s="226"/>
      <c r="AV158" s="226"/>
      <c r="AW158" s="226"/>
      <c r="AX158" s="226"/>
      <c r="AY158" s="226"/>
    </row>
    <row r="159" spans="1:51" x14ac:dyDescent="0.4">
      <c r="A159" s="76"/>
      <c r="B159" s="211" t="s">
        <v>136</v>
      </c>
      <c r="C159" s="44">
        <f>+C140/SUM(C72:I72)*1000</f>
        <v>42.904296088674293</v>
      </c>
    </row>
    <row r="160" spans="1:51" x14ac:dyDescent="0.4">
      <c r="A160" s="76"/>
      <c r="Q160" s="80" t="str">
        <f>+$E148</f>
        <v>RT{1}</v>
      </c>
      <c r="R160" s="80"/>
      <c r="S160" s="80"/>
      <c r="T160" s="80" t="str">
        <f>+$E148</f>
        <v>RT{1}</v>
      </c>
      <c r="U160" s="80"/>
      <c r="V160" s="80"/>
      <c r="W160" s="80" t="str">
        <f>+$E148</f>
        <v>RT{1}</v>
      </c>
      <c r="X160" s="80"/>
      <c r="Z160" s="80" t="str">
        <f>+$E148</f>
        <v>RT{1}</v>
      </c>
      <c r="AA160" s="80"/>
      <c r="AC160" s="80" t="str">
        <f>+$E148</f>
        <v>RT{1}</v>
      </c>
    </row>
    <row r="161" spans="1:51" x14ac:dyDescent="0.4">
      <c r="A161" s="76"/>
    </row>
    <row r="162" spans="1:51" x14ac:dyDescent="0.4">
      <c r="A162" s="77" t="s">
        <v>137</v>
      </c>
      <c r="B162" s="78" t="s">
        <v>138</v>
      </c>
      <c r="P162" s="95" t="s">
        <v>91</v>
      </c>
      <c r="Q162" s="96" t="s">
        <v>139</v>
      </c>
      <c r="R162" s="96" t="s">
        <v>140</v>
      </c>
      <c r="T162" s="96" t="s">
        <v>139</v>
      </c>
      <c r="U162" s="96" t="s">
        <v>140</v>
      </c>
      <c r="W162" s="96" t="s">
        <v>139</v>
      </c>
      <c r="X162" s="96" t="s">
        <v>140</v>
      </c>
      <c r="Z162" s="96" t="s">
        <v>141</v>
      </c>
      <c r="AC162" s="96" t="s">
        <v>141</v>
      </c>
    </row>
    <row r="163" spans="1:51" x14ac:dyDescent="0.4">
      <c r="A163" s="76"/>
      <c r="B163" s="79" t="str">
        <f>'BGS PTY19 Cost Alloc'!$B$161</f>
        <v>obligations - annual average forecasted for 2021; costs are market estimates</v>
      </c>
      <c r="J163" s="80" t="s">
        <v>142</v>
      </c>
      <c r="P163" s="211" t="s">
        <v>85</v>
      </c>
      <c r="Q163" s="226">
        <f>SUMPRODUCT(E38:E41,M65:M68)</f>
        <v>26180.203300000001</v>
      </c>
      <c r="R163" s="226">
        <f>SUMPRODUCT(E38:E41,E65:E68)</f>
        <v>27180.5452</v>
      </c>
      <c r="T163" s="226">
        <f>Q76</f>
        <v>33888.873700000004</v>
      </c>
      <c r="U163" s="226">
        <f>T163-($Q$165*$Q163/($Q$163+$Q$164))</f>
        <v>32885.143730456744</v>
      </c>
      <c r="W163" s="226">
        <f>+T163-Q163</f>
        <v>7708.6704000000027</v>
      </c>
      <c r="X163" s="226">
        <f>-Q163+U163</f>
        <v>6704.9404304567433</v>
      </c>
      <c r="Z163" s="21">
        <f>+E151*Q163/1000</f>
        <v>1509.6028688677266</v>
      </c>
      <c r="AA163" s="21"/>
      <c r="AU163" s="21"/>
      <c r="AV163" s="21"/>
      <c r="AW163" s="21"/>
      <c r="AX163" s="21"/>
      <c r="AY163" s="21"/>
    </row>
    <row r="164" spans="1:51" ht="14.7" x14ac:dyDescent="0.7">
      <c r="A164" s="76"/>
      <c r="B164" s="79" t="s">
        <v>143</v>
      </c>
      <c r="C164" s="80"/>
      <c r="D164" s="80"/>
      <c r="E164" s="80" t="str">
        <f>+E$13</f>
        <v>RT{1}</v>
      </c>
      <c r="F164" s="80" t="str">
        <f>+F$13</f>
        <v>RS{2}</v>
      </c>
      <c r="G164" s="80" t="str">
        <f>+G$13</f>
        <v>GS{3}</v>
      </c>
      <c r="H164" s="80" t="str">
        <f>+H$58</f>
        <v>GST {4}</v>
      </c>
      <c r="I164" s="80" t="str">
        <f>+I$13</f>
        <v>OL/SL</v>
      </c>
      <c r="J164" s="80" t="s">
        <v>144</v>
      </c>
      <c r="K164" s="80"/>
      <c r="L164" s="80"/>
      <c r="M164" s="80"/>
      <c r="P164" s="211" t="s">
        <v>86</v>
      </c>
      <c r="Q164" s="226">
        <f>SUMPRODUCT(Q38:Q41,M65:M68)</f>
        <v>37624.796700000006</v>
      </c>
      <c r="R164" s="226">
        <f>SUMPRODUCT(Q38:Q41,E65:E68)</f>
        <v>39071.4548</v>
      </c>
      <c r="T164" s="226">
        <f>Q77</f>
        <v>32363.126299999996</v>
      </c>
      <c r="U164" s="226">
        <f>T164-($Q$165*$Q164/($Q$163+$Q$164))</f>
        <v>30920.61893621026</v>
      </c>
      <c r="W164" s="226">
        <f>+T164-Q164</f>
        <v>-5261.67040000001</v>
      </c>
      <c r="X164" s="226">
        <f>-Q164+U164</f>
        <v>-6704.1777637897467</v>
      </c>
      <c r="Z164" s="21">
        <f>+E152*Q164/1000</f>
        <v>1335.2075014358759</v>
      </c>
      <c r="AA164" s="14"/>
      <c r="AU164" s="21"/>
      <c r="AV164" s="21"/>
      <c r="AW164" s="21"/>
      <c r="AX164" s="21"/>
      <c r="AY164" s="21"/>
    </row>
    <row r="165" spans="1:51" ht="14.7" x14ac:dyDescent="0.7">
      <c r="A165" s="76"/>
      <c r="P165" s="211" t="s">
        <v>145</v>
      </c>
      <c r="Q165" s="226">
        <f>SUM(W65:W68)/1000</f>
        <v>2446.2373333329997</v>
      </c>
      <c r="R165" s="226"/>
      <c r="T165" s="226">
        <v>0</v>
      </c>
      <c r="U165" s="226">
        <v>0</v>
      </c>
      <c r="W165" s="226">
        <f>+T165-Q165</f>
        <v>-2446.2373333329997</v>
      </c>
      <c r="X165" s="226"/>
      <c r="Z165" s="14">
        <f>+E150*Q165/1000</f>
        <v>109.06618067193813</v>
      </c>
      <c r="AU165" s="21"/>
      <c r="AV165" s="21"/>
      <c r="AW165" s="21"/>
      <c r="AX165" s="21"/>
      <c r="AY165" s="21"/>
    </row>
    <row r="166" spans="1:51" x14ac:dyDescent="0.4">
      <c r="A166" s="76"/>
      <c r="B166" s="211" t="s">
        <v>146</v>
      </c>
      <c r="C166" s="344"/>
      <c r="D166" s="344"/>
      <c r="E166" s="344">
        <f>'BGS PTY19 Cost Alloc'!E164</f>
        <v>49.862481999999986</v>
      </c>
      <c r="F166" s="344">
        <f>'BGS PTY19 Cost Alloc'!F164</f>
        <v>3187.0982709999998</v>
      </c>
      <c r="G166" s="344">
        <f>'BGS PTY19 Cost Alloc'!G164</f>
        <v>1393.6537833999998</v>
      </c>
      <c r="H166" s="344">
        <f>'BGS PTY19 Cost Alloc'!H164</f>
        <v>24.347985000000016</v>
      </c>
      <c r="I166" s="344">
        <f>'BGS PTY19 Cost Alloc'!I164</f>
        <v>0.80814599999999992</v>
      </c>
      <c r="J166" s="344">
        <f>SUM(E166:I166)</f>
        <v>4655.7706674000001</v>
      </c>
      <c r="K166" s="344"/>
      <c r="L166" s="344"/>
      <c r="M166" s="344"/>
      <c r="Z166" s="21">
        <f>SUM(Z163:Z165)</f>
        <v>2953.8765509755403</v>
      </c>
      <c r="AA166" s="21"/>
      <c r="AC166" s="319">
        <f>+E130</f>
        <v>2953.8640848196101</v>
      </c>
      <c r="AU166" s="21"/>
      <c r="AV166" s="21"/>
      <c r="AW166" s="21"/>
      <c r="AX166" s="21"/>
      <c r="AY166" s="21"/>
    </row>
    <row r="167" spans="1:51" x14ac:dyDescent="0.4">
      <c r="A167" s="76"/>
      <c r="P167" s="95" t="s">
        <v>88</v>
      </c>
      <c r="Q167" s="226"/>
      <c r="R167" s="226"/>
      <c r="T167" s="226"/>
      <c r="U167" s="226"/>
      <c r="W167" s="226"/>
      <c r="X167" s="226"/>
      <c r="AU167" s="21"/>
      <c r="AV167" s="21"/>
      <c r="AW167" s="21"/>
      <c r="AX167" s="21"/>
      <c r="AY167" s="21"/>
    </row>
    <row r="168" spans="1:51" x14ac:dyDescent="0.4">
      <c r="A168" s="76"/>
      <c r="B168" s="211" t="s">
        <v>147</v>
      </c>
      <c r="C168" s="344" t="s">
        <v>148</v>
      </c>
      <c r="D168" s="344"/>
      <c r="E168" s="312"/>
      <c r="F168" s="312"/>
      <c r="G168" s="312"/>
      <c r="H168" s="312"/>
      <c r="I168" s="312"/>
      <c r="J168" s="344"/>
      <c r="K168" s="344"/>
      <c r="L168" s="344"/>
      <c r="M168" s="344"/>
      <c r="P168" s="211" t="s">
        <v>85</v>
      </c>
      <c r="Q168" s="226">
        <f>SUMPRODUCT(E33:E37,M60:M64)+SUMPRODUCT(E42:E44,M69:M71)</f>
        <v>45543.3194</v>
      </c>
      <c r="R168" s="226">
        <f>SUMPRODUCT(E33:E37,E60:E64)+SUMPRODUCT(E42:E44,E69:E71)</f>
        <v>47623.064899999998</v>
      </c>
      <c r="T168" s="226">
        <f>Q72</f>
        <v>64522.165199999996</v>
      </c>
      <c r="U168" s="226">
        <f>T168-($Q$170*$Q168/($Q$168+$Q$169))</f>
        <v>62448.972719942627</v>
      </c>
      <c r="W168" s="226">
        <f>+T168-Q168</f>
        <v>18978.845799999996</v>
      </c>
      <c r="X168" s="226">
        <f>-Q168+U168</f>
        <v>16905.653319942627</v>
      </c>
      <c r="Z168" s="21">
        <f>+E155*Q168/1000</f>
        <v>2165.7331537065797</v>
      </c>
      <c r="AA168" s="21"/>
      <c r="AC168" s="319"/>
      <c r="AU168" s="21"/>
      <c r="AV168" s="21"/>
      <c r="AW168" s="21"/>
      <c r="AX168" s="21"/>
      <c r="AY168" s="21"/>
    </row>
    <row r="169" spans="1:51" ht="14.7" x14ac:dyDescent="0.7">
      <c r="A169" s="76"/>
      <c r="C169" s="344"/>
      <c r="D169" s="344"/>
      <c r="E169" s="344"/>
      <c r="F169" s="344"/>
      <c r="G169" s="344"/>
      <c r="H169" s="344"/>
      <c r="I169" s="344"/>
      <c r="J169" s="344"/>
      <c r="K169" s="344"/>
      <c r="L169" s="344"/>
      <c r="M169" s="344"/>
      <c r="P169" s="211" t="s">
        <v>86</v>
      </c>
      <c r="Q169" s="226">
        <f>SUMPRODUCT(Q33:Q37,M60:M64)+SUMPRODUCT(Q42:Q44,M69:M71)</f>
        <v>83561.680600000007</v>
      </c>
      <c r="R169" s="226">
        <f>SUMPRODUCT(Q33:Q37,E60:E64)+SUMPRODUCT(Q42:Q44,E69:E71)</f>
        <v>87359.935100000002</v>
      </c>
      <c r="T169" s="226">
        <f>Q73</f>
        <v>70460.834800000011</v>
      </c>
      <c r="U169" s="226">
        <f>T169-($Q$170*$Q169/($Q$168+$Q$169))</f>
        <v>66656.995946724084</v>
      </c>
      <c r="W169" s="226">
        <f>+T169-Q169</f>
        <v>-13100.845799999996</v>
      </c>
      <c r="X169" s="226">
        <f>-Q169+U169</f>
        <v>-16904.684653275923</v>
      </c>
      <c r="Z169" s="21">
        <f>+E156*Q169/1000</f>
        <v>3224.3695852384935</v>
      </c>
      <c r="AA169" s="14"/>
      <c r="AC169" s="319"/>
      <c r="AU169" s="21"/>
      <c r="AV169" s="21"/>
      <c r="AW169" s="21"/>
      <c r="AX169" s="21"/>
      <c r="AY169" s="21"/>
    </row>
    <row r="170" spans="1:51" ht="14.7" x14ac:dyDescent="0.7">
      <c r="A170" s="76"/>
      <c r="B170" s="211" t="s">
        <v>149</v>
      </c>
      <c r="I170" s="344"/>
      <c r="J170" s="344"/>
      <c r="K170" s="344"/>
      <c r="L170" s="344"/>
      <c r="M170" s="344"/>
      <c r="P170" s="211" t="s">
        <v>145</v>
      </c>
      <c r="Q170" s="226">
        <f>SUM(W60:W64,W69:W71)/1000</f>
        <v>5877.0313333332997</v>
      </c>
      <c r="T170" s="211">
        <v>0</v>
      </c>
      <c r="U170" s="226">
        <v>0</v>
      </c>
      <c r="W170" s="226">
        <f>+T170-Q170</f>
        <v>-5877.0313333332997</v>
      </c>
      <c r="X170" s="226"/>
      <c r="Z170" s="14">
        <f>+E154*Q170/1000</f>
        <v>245.36894137125071</v>
      </c>
      <c r="AU170" s="21"/>
      <c r="AV170" s="21"/>
      <c r="AW170" s="21"/>
      <c r="AX170" s="21"/>
      <c r="AY170" s="21"/>
    </row>
    <row r="171" spans="1:51" x14ac:dyDescent="0.4">
      <c r="A171" s="76"/>
      <c r="D171" s="212" t="s">
        <v>150</v>
      </c>
      <c r="E171" s="211">
        <v>122</v>
      </c>
      <c r="G171" s="212" t="s">
        <v>151</v>
      </c>
      <c r="H171" s="211">
        <v>4</v>
      </c>
      <c r="I171" s="344"/>
      <c r="J171" s="344"/>
      <c r="K171" s="344"/>
      <c r="L171" s="344"/>
      <c r="M171" s="344"/>
      <c r="Q171" s="80"/>
      <c r="R171" s="80"/>
      <c r="S171" s="80"/>
      <c r="T171" s="80"/>
      <c r="U171" s="80"/>
      <c r="V171" s="80"/>
      <c r="W171" s="80"/>
      <c r="X171" s="80"/>
      <c r="Z171" s="21">
        <f>SUM(Z168:Z170)</f>
        <v>5635.4716803163246</v>
      </c>
      <c r="AA171" s="21"/>
      <c r="AC171" s="319">
        <f>+E134</f>
        <v>5635.6064711212575</v>
      </c>
      <c r="AU171" s="319"/>
      <c r="AV171" s="319"/>
      <c r="AW171" s="319"/>
      <c r="AX171" s="319"/>
      <c r="AY171" s="319"/>
    </row>
    <row r="172" spans="1:51" ht="14.7" x14ac:dyDescent="0.7">
      <c r="A172" s="76"/>
      <c r="D172" s="346" t="s">
        <v>152</v>
      </c>
      <c r="E172" s="211">
        <v>243</v>
      </c>
      <c r="G172" s="346" t="s">
        <v>153</v>
      </c>
      <c r="H172" s="211">
        <v>8</v>
      </c>
      <c r="I172" s="344"/>
      <c r="J172" s="344"/>
      <c r="K172" s="344"/>
      <c r="L172" s="344"/>
      <c r="M172" s="344"/>
      <c r="Q172" s="226"/>
      <c r="R172" s="226"/>
      <c r="T172" s="226"/>
      <c r="U172" s="226"/>
      <c r="W172" s="226"/>
      <c r="X172" s="226"/>
      <c r="Z172" s="14"/>
      <c r="AA172" s="14"/>
      <c r="AX172" s="319"/>
    </row>
    <row r="173" spans="1:51" x14ac:dyDescent="0.4">
      <c r="A173" s="76"/>
      <c r="G173" s="212" t="s">
        <v>154</v>
      </c>
      <c r="H173" s="211">
        <f>+H171+H172</f>
        <v>12</v>
      </c>
      <c r="I173" s="344"/>
      <c r="J173" s="344"/>
      <c r="K173" s="344"/>
      <c r="L173" s="344"/>
      <c r="M173" s="344"/>
      <c r="Q173" s="226"/>
      <c r="R173" s="226"/>
      <c r="T173" s="226"/>
      <c r="U173" s="226"/>
      <c r="W173" s="226"/>
      <c r="X173" s="226"/>
      <c r="Z173" s="21"/>
      <c r="AA173" s="21"/>
      <c r="AC173" s="319">
        <f>SUM(AC166:AC171)</f>
        <v>8589.4705559408685</v>
      </c>
    </row>
    <row r="174" spans="1:51" x14ac:dyDescent="0.4">
      <c r="A174" s="76"/>
      <c r="B174" s="211" t="s">
        <v>155</v>
      </c>
      <c r="C174" s="21"/>
      <c r="D174" s="349"/>
      <c r="K174" s="350"/>
      <c r="Q174" s="226"/>
      <c r="R174" s="226"/>
      <c r="T174" s="226"/>
      <c r="U174" s="226"/>
      <c r="W174" s="226"/>
      <c r="X174" s="226"/>
      <c r="Z174" s="21"/>
      <c r="AA174" s="21"/>
      <c r="AC174" s="319"/>
    </row>
    <row r="175" spans="1:51" x14ac:dyDescent="0.4">
      <c r="A175" s="76"/>
      <c r="C175" s="21"/>
      <c r="D175" s="349"/>
      <c r="K175" s="350"/>
      <c r="Q175" s="226"/>
      <c r="R175" s="226"/>
      <c r="T175" s="226"/>
      <c r="U175" s="226"/>
      <c r="W175" s="226"/>
      <c r="X175" s="226"/>
      <c r="Z175" s="21"/>
      <c r="AA175" s="21"/>
      <c r="AC175" s="319"/>
    </row>
    <row r="176" spans="1:51" x14ac:dyDescent="0.4">
      <c r="A176" s="76"/>
      <c r="D176" s="96" t="s">
        <v>83</v>
      </c>
      <c r="E176" s="96" t="s">
        <v>84</v>
      </c>
      <c r="Q176" s="226"/>
      <c r="R176" s="226"/>
      <c r="T176" s="226"/>
      <c r="U176" s="226"/>
      <c r="W176" s="226"/>
      <c r="X176" s="226"/>
      <c r="Z176" s="21"/>
      <c r="AA176" s="21"/>
      <c r="AC176" s="319"/>
    </row>
    <row r="177" spans="1:50" ht="14.7" x14ac:dyDescent="0.7">
      <c r="A177" s="76"/>
      <c r="B177" s="211" t="s">
        <v>156</v>
      </c>
      <c r="C177" s="211" t="s">
        <v>91</v>
      </c>
      <c r="D177" s="32">
        <v>115.68</v>
      </c>
      <c r="E177" s="312">
        <f>ROUND(D177*$H$326,3)</f>
        <v>129.41800000000001</v>
      </c>
      <c r="F177" s="349" t="s">
        <v>157</v>
      </c>
      <c r="G177" s="212" t="s">
        <v>158</v>
      </c>
      <c r="H177" s="319">
        <f>ROUND(E177*E171*J$166,0)</f>
        <v>73509944</v>
      </c>
      <c r="I177" s="212"/>
      <c r="J177" s="212"/>
      <c r="K177" s="32"/>
      <c r="Q177" s="226"/>
      <c r="R177" s="226"/>
      <c r="T177" s="226"/>
      <c r="U177" s="226"/>
      <c r="W177" s="226"/>
      <c r="X177" s="226"/>
      <c r="Z177" s="14"/>
      <c r="AA177" s="14"/>
      <c r="AC177" s="319"/>
    </row>
    <row r="178" spans="1:50" ht="14.7" x14ac:dyDescent="0.7">
      <c r="A178" s="76"/>
      <c r="C178" s="211" t="s">
        <v>88</v>
      </c>
      <c r="D178" s="32">
        <v>115.68</v>
      </c>
      <c r="E178" s="312">
        <f>ROUND(D178*$H$326,3)</f>
        <v>129.41800000000001</v>
      </c>
      <c r="F178" s="349" t="s">
        <v>157</v>
      </c>
      <c r="G178" s="99" t="s">
        <v>159</v>
      </c>
      <c r="H178" s="100">
        <f>ROUND(E178*E172*J$166,0)</f>
        <v>146417348</v>
      </c>
      <c r="I178" s="212"/>
      <c r="J178" s="212"/>
      <c r="K178" s="32"/>
      <c r="Z178" s="21"/>
      <c r="AA178" s="21"/>
      <c r="AC178" s="319"/>
    </row>
    <row r="179" spans="1:50" x14ac:dyDescent="0.4">
      <c r="A179" s="76"/>
      <c r="D179" s="32"/>
      <c r="E179" s="349"/>
      <c r="G179" s="212" t="s">
        <v>160</v>
      </c>
      <c r="H179" s="319">
        <f>SUM(H177:H178)</f>
        <v>219927292</v>
      </c>
      <c r="I179" s="212"/>
      <c r="J179" s="15">
        <f>H179/(C311*1000)</f>
        <v>0.16959300590127366</v>
      </c>
      <c r="K179" s="32"/>
    </row>
    <row r="180" spans="1:50" x14ac:dyDescent="0.4">
      <c r="A180" s="76"/>
      <c r="B180" s="211" t="s">
        <v>161</v>
      </c>
      <c r="I180" s="212"/>
      <c r="J180" s="212"/>
      <c r="K180" s="32"/>
    </row>
    <row r="181" spans="1:50" x14ac:dyDescent="0.4">
      <c r="A181" s="76"/>
      <c r="B181" s="79" t="s">
        <v>162</v>
      </c>
      <c r="I181" s="212"/>
      <c r="J181" s="212"/>
      <c r="K181" s="32"/>
    </row>
    <row r="182" spans="1:50" x14ac:dyDescent="0.4">
      <c r="A182" s="76"/>
      <c r="B182" s="79"/>
      <c r="C182" s="101" t="str">
        <f>" ---------- Rate "&amp;C30&amp;" ----------"</f>
        <v xml:space="preserve"> ---------- Rate  ----------</v>
      </c>
      <c r="D182" s="354"/>
      <c r="E182" s="354"/>
      <c r="I182" s="212"/>
      <c r="J182" s="212"/>
      <c r="K182" s="32"/>
    </row>
    <row r="183" spans="1:50" x14ac:dyDescent="0.4">
      <c r="A183" s="76"/>
      <c r="C183" s="96" t="s">
        <v>163</v>
      </c>
      <c r="E183" s="96" t="s">
        <v>164</v>
      </c>
      <c r="I183" s="212"/>
      <c r="J183" s="212"/>
      <c r="K183" s="32"/>
    </row>
    <row r="184" spans="1:50" x14ac:dyDescent="0.4">
      <c r="A184" s="76"/>
      <c r="B184" s="212" t="s">
        <v>165</v>
      </c>
      <c r="C184" s="311"/>
      <c r="E184" s="230">
        <f>SUM(R65/(R65+R66))</f>
        <v>0.53058432613271322</v>
      </c>
      <c r="F184" s="78"/>
      <c r="I184" s="212"/>
      <c r="J184" s="212"/>
      <c r="K184" s="32"/>
      <c r="AX184" s="230"/>
    </row>
    <row r="185" spans="1:50" x14ac:dyDescent="0.4">
      <c r="A185" s="76"/>
      <c r="B185" s="212" t="s">
        <v>166</v>
      </c>
      <c r="C185" s="95"/>
      <c r="E185" s="230">
        <f>1-E184</f>
        <v>0.46941567386728678</v>
      </c>
      <c r="G185" s="226"/>
      <c r="I185" s="212"/>
      <c r="J185" s="212"/>
      <c r="K185" s="32"/>
    </row>
    <row r="186" spans="1:50" x14ac:dyDescent="0.4">
      <c r="A186" s="76"/>
      <c r="B186" s="212" t="s">
        <v>167</v>
      </c>
      <c r="C186" s="311">
        <v>0.86519999999999997</v>
      </c>
      <c r="D186" s="211" t="s">
        <v>168</v>
      </c>
      <c r="J186" s="212"/>
      <c r="K186" s="32"/>
    </row>
    <row r="187" spans="1:50" x14ac:dyDescent="0.4">
      <c r="A187" s="211"/>
      <c r="J187" s="212"/>
      <c r="K187" s="32"/>
    </row>
    <row r="188" spans="1:50" x14ac:dyDescent="0.4">
      <c r="A188" s="77" t="s">
        <v>169</v>
      </c>
      <c r="B188" s="78" t="s">
        <v>170</v>
      </c>
      <c r="D188" s="96" t="s">
        <v>83</v>
      </c>
      <c r="E188" s="96" t="s">
        <v>84</v>
      </c>
    </row>
    <row r="189" spans="1:50" x14ac:dyDescent="0.4">
      <c r="A189" s="77"/>
      <c r="B189" s="79" t="s">
        <v>171</v>
      </c>
      <c r="D189" s="377">
        <v>2</v>
      </c>
      <c r="F189" s="211" t="s">
        <v>172</v>
      </c>
    </row>
    <row r="190" spans="1:50" x14ac:dyDescent="0.4">
      <c r="A190" s="77"/>
      <c r="B190" s="79" t="s">
        <v>173</v>
      </c>
      <c r="D190" s="378">
        <v>15.04</v>
      </c>
      <c r="F190" s="211" t="s">
        <v>172</v>
      </c>
    </row>
    <row r="191" spans="1:50" x14ac:dyDescent="0.4">
      <c r="A191" s="76"/>
      <c r="B191" s="79" t="s">
        <v>174</v>
      </c>
      <c r="D191" s="379">
        <f>D189+D190</f>
        <v>17.04</v>
      </c>
      <c r="E191" s="380">
        <f>ROUND(D191*$H$326,3)</f>
        <v>19.064</v>
      </c>
      <c r="F191" s="211" t="s">
        <v>172</v>
      </c>
    </row>
    <row r="192" spans="1:50" x14ac:dyDescent="0.4">
      <c r="A192" s="76"/>
      <c r="B192" s="79"/>
      <c r="F192" s="349"/>
    </row>
    <row r="193" spans="1:18" x14ac:dyDescent="0.4">
      <c r="A193" s="76"/>
      <c r="B193" s="78"/>
      <c r="E193" s="21"/>
      <c r="F193" s="349"/>
    </row>
    <row r="194" spans="1:18" x14ac:dyDescent="0.4">
      <c r="A194" s="77" t="s">
        <v>175</v>
      </c>
      <c r="B194" s="78" t="s">
        <v>176</v>
      </c>
    </row>
    <row r="195" spans="1:18" x14ac:dyDescent="0.4">
      <c r="A195" s="77"/>
      <c r="B195" s="78"/>
    </row>
    <row r="196" spans="1:18" x14ac:dyDescent="0.4">
      <c r="A196" s="77"/>
      <c r="B196" s="78"/>
      <c r="C196" s="80"/>
      <c r="D196" s="80"/>
      <c r="E196" s="80" t="str">
        <f>+E$13</f>
        <v>RT{1}</v>
      </c>
      <c r="F196" s="80" t="str">
        <f>+F$13</f>
        <v>RS{2}</v>
      </c>
      <c r="G196" s="80" t="str">
        <f>+G$13</f>
        <v>GS{3}</v>
      </c>
      <c r="H196" s="102" t="str">
        <f>+H$58</f>
        <v>GST {4}</v>
      </c>
      <c r="I196" s="80" t="str">
        <f>+I$13</f>
        <v>OL/SL</v>
      </c>
      <c r="J196" s="80"/>
    </row>
    <row r="197" spans="1:18" x14ac:dyDescent="0.4">
      <c r="A197" s="77"/>
      <c r="B197" s="78"/>
      <c r="M197" s="211" t="s">
        <v>141</v>
      </c>
    </row>
    <row r="198" spans="1:18" x14ac:dyDescent="0.4">
      <c r="A198" s="76"/>
      <c r="B198" s="212" t="s">
        <v>177</v>
      </c>
      <c r="C198" s="44"/>
      <c r="D198" s="44"/>
      <c r="E198" s="335">
        <v>7.4649999999999999</v>
      </c>
      <c r="F198" s="335">
        <v>7.4649999999999999</v>
      </c>
      <c r="G198" s="335">
        <v>7.4649999999999999</v>
      </c>
      <c r="H198" s="335">
        <v>7.4649999999999999</v>
      </c>
      <c r="I198" s="335">
        <v>0</v>
      </c>
      <c r="J198" s="44"/>
      <c r="K198" s="44" t="s">
        <v>178</v>
      </c>
      <c r="L198" s="44"/>
      <c r="M198" s="336">
        <f>H198*SUM(E255:H255)/1000000</f>
        <v>111374.47807500001</v>
      </c>
    </row>
    <row r="199" spans="1:18" x14ac:dyDescent="0.4">
      <c r="A199" s="76"/>
      <c r="B199" s="212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319">
        <f>J302-J276</f>
        <v>-111374.47807499999</v>
      </c>
    </row>
    <row r="200" spans="1:18" x14ac:dyDescent="0.4">
      <c r="A200" s="76"/>
      <c r="B200" s="212" t="s">
        <v>179</v>
      </c>
      <c r="C200" s="44"/>
      <c r="D200" s="44"/>
      <c r="E200" s="335">
        <f>$H$179*(E$166/$J$166)/E$72</f>
        <v>11.704636247295991</v>
      </c>
      <c r="F200" s="335">
        <f>$H$179*(F$166/$J$166)/F$72</f>
        <v>16.592529919798189</v>
      </c>
      <c r="G200" s="335">
        <f>$H$179*(G$166/$J$166)/G$72</f>
        <v>12.072119696476722</v>
      </c>
      <c r="H200" s="335">
        <f>$H$179*(H$166/$J$166)/H$72</f>
        <v>6.0022212911311748</v>
      </c>
      <c r="I200" s="335">
        <f>$H$179*(I$166/$J$166)/I$72</f>
        <v>0.33166683844869183</v>
      </c>
      <c r="J200" s="44"/>
      <c r="K200" s="44"/>
      <c r="L200" s="44"/>
      <c r="M200" s="44"/>
    </row>
    <row r="201" spans="1:18" x14ac:dyDescent="0.4">
      <c r="A201" s="76"/>
      <c r="B201" s="212" t="s">
        <v>180</v>
      </c>
      <c r="C201" s="44"/>
      <c r="D201" s="44"/>
      <c r="E201" s="335">
        <f>$H$177*(E$166/$J$166)/SUM(E65:E68)</f>
        <v>11.883090685377027</v>
      </c>
      <c r="F201" s="335">
        <f>$H$177*(F$166/$J$166)/SUM(F65:F68)</f>
        <v>13.341888772121125</v>
      </c>
      <c r="G201" s="335">
        <f>$H$177*(G$166/$J$166)/SUM(G65:G68)</f>
        <v>11.131742593649847</v>
      </c>
      <c r="H201" s="335"/>
      <c r="I201" s="335">
        <f>$H$177*(I$166/$J$166)/SUM(I65:I68)</f>
        <v>0.33256395653306531</v>
      </c>
      <c r="J201" s="44"/>
      <c r="K201" s="44"/>
      <c r="L201" s="44"/>
      <c r="M201" s="44"/>
    </row>
    <row r="202" spans="1:18" x14ac:dyDescent="0.4">
      <c r="A202" s="76"/>
      <c r="B202" s="212" t="s">
        <v>181</v>
      </c>
      <c r="C202" s="44"/>
      <c r="D202" s="44"/>
      <c r="E202" s="335">
        <f>$H$177*(E$166/$J$166)/R163</f>
        <v>28.964780444786619</v>
      </c>
      <c r="F202" s="335"/>
      <c r="G202" s="335"/>
      <c r="H202" s="335">
        <f>$H$177*(H$166/$J$166)/Q151</f>
        <v>12.650989954693253</v>
      </c>
      <c r="I202" s="335"/>
      <c r="J202" s="44"/>
      <c r="K202" s="44"/>
      <c r="L202" s="44"/>
      <c r="M202" s="44"/>
    </row>
    <row r="203" spans="1:18" x14ac:dyDescent="0.4">
      <c r="A203" s="76"/>
      <c r="B203" s="212" t="s">
        <v>182</v>
      </c>
      <c r="C203" s="44"/>
      <c r="D203" s="44"/>
      <c r="E203" s="335">
        <f>$H$178*(E$166/$J$166)/(E72-SUM(E65:E68))</f>
        <v>11.617047710726608</v>
      </c>
      <c r="F203" s="335">
        <f>$H$178*(F$166/$J$166)/(F72-SUM(F65:F68))</f>
        <v>18.905035355118709</v>
      </c>
      <c r="G203" s="335">
        <f>$H$178*(G$166/$J$166)/(G72-SUM(G65:G68))</f>
        <v>12.606804015581407</v>
      </c>
      <c r="H203" s="335"/>
      <c r="I203" s="335">
        <f>$H$178*(I$166/$J$166)/(I72-SUM(I65:I68))</f>
        <v>0.33121825602335114</v>
      </c>
      <c r="J203" s="44"/>
      <c r="K203" s="44"/>
      <c r="L203" s="44"/>
      <c r="M203" s="44"/>
    </row>
    <row r="204" spans="1:18" x14ac:dyDescent="0.4">
      <c r="A204" s="76"/>
      <c r="B204" s="212" t="s">
        <v>183</v>
      </c>
      <c r="C204" s="44"/>
      <c r="D204" s="44"/>
      <c r="E204" s="335">
        <f>$H$178*(E$166/$J$166)/R168</f>
        <v>32.927405122491599</v>
      </c>
      <c r="F204" s="358"/>
      <c r="G204" s="358"/>
      <c r="H204" s="335">
        <f>$H$178*(H$166/$J$166)/Q155</f>
        <v>13.856163582716901</v>
      </c>
      <c r="I204" s="335"/>
      <c r="J204" s="44"/>
      <c r="K204" s="44"/>
      <c r="L204" s="44"/>
      <c r="M204" s="44"/>
    </row>
    <row r="205" spans="1:18" x14ac:dyDescent="0.4">
      <c r="A205" s="76"/>
      <c r="B205" s="212"/>
      <c r="C205" s="44"/>
      <c r="D205" s="44"/>
      <c r="E205" s="335"/>
      <c r="F205" s="335"/>
      <c r="G205" s="335"/>
      <c r="H205" s="335"/>
      <c r="I205" s="335"/>
      <c r="J205" s="44"/>
      <c r="K205" s="44"/>
      <c r="L205" s="44"/>
      <c r="M205" s="44"/>
    </row>
    <row r="206" spans="1:18" ht="15.35" x14ac:dyDescent="0.5">
      <c r="A206" s="76"/>
      <c r="B206" s="382" t="str">
        <f>$B$1</f>
        <v xml:space="preserve">Jersey Central Power &amp; Light </v>
      </c>
      <c r="C206" s="382"/>
      <c r="D206" s="382"/>
      <c r="E206" s="382"/>
      <c r="F206" s="382"/>
      <c r="G206" s="382"/>
      <c r="H206" s="382"/>
      <c r="I206" s="382"/>
      <c r="J206" s="382"/>
      <c r="K206" s="382"/>
      <c r="L206" s="382"/>
      <c r="M206" s="44"/>
    </row>
    <row r="207" spans="1:18" ht="15.35" x14ac:dyDescent="0.5">
      <c r="A207" s="76"/>
      <c r="B207" s="382" t="str">
        <f>$B$2</f>
        <v>Attachment 2</v>
      </c>
      <c r="C207" s="382"/>
      <c r="D207" s="382"/>
      <c r="E207" s="382"/>
      <c r="F207" s="382"/>
      <c r="G207" s="382"/>
      <c r="H207" s="382"/>
      <c r="I207" s="382"/>
      <c r="J207" s="382"/>
      <c r="K207" s="382"/>
      <c r="L207" s="382"/>
      <c r="M207" s="44"/>
      <c r="N207" s="44"/>
      <c r="O207" s="44"/>
      <c r="P207" s="44"/>
      <c r="Q207" s="44"/>
      <c r="R207" s="44"/>
    </row>
    <row r="208" spans="1:18" x14ac:dyDescent="0.4">
      <c r="A208" s="76"/>
      <c r="E208" s="44"/>
      <c r="F208" s="44"/>
      <c r="G208" s="44"/>
      <c r="H208" s="44"/>
      <c r="K208" s="44"/>
      <c r="L208" s="44"/>
      <c r="M208" s="44"/>
      <c r="N208" s="44"/>
      <c r="O208" s="44"/>
      <c r="P208" s="44"/>
      <c r="Q208" s="44"/>
      <c r="R208" s="44"/>
    </row>
    <row r="209" spans="1:18" x14ac:dyDescent="0.4">
      <c r="A209" s="76"/>
      <c r="M209" s="44"/>
      <c r="N209" s="44"/>
      <c r="O209" s="44"/>
      <c r="P209" s="44"/>
      <c r="Q209" s="44"/>
      <c r="R209" s="44"/>
    </row>
    <row r="210" spans="1:18" x14ac:dyDescent="0.4">
      <c r="A210" s="77" t="s">
        <v>184</v>
      </c>
      <c r="B210" s="78" t="s">
        <v>185</v>
      </c>
      <c r="M210" s="44"/>
      <c r="N210" s="44"/>
      <c r="O210" s="44"/>
      <c r="P210" s="44"/>
      <c r="Q210" s="44"/>
      <c r="R210" s="44"/>
    </row>
    <row r="211" spans="1:18" x14ac:dyDescent="0.4">
      <c r="A211" s="76"/>
      <c r="B211" s="78"/>
      <c r="M211" s="44"/>
      <c r="N211" s="44"/>
      <c r="O211" s="44"/>
      <c r="P211" s="44"/>
      <c r="Q211" s="44"/>
      <c r="R211" s="44"/>
    </row>
    <row r="212" spans="1:18" x14ac:dyDescent="0.4">
      <c r="A212" s="76"/>
      <c r="B212" s="78" t="s">
        <v>186</v>
      </c>
      <c r="M212" s="44"/>
      <c r="N212" s="44"/>
      <c r="O212" s="44"/>
      <c r="P212" s="44"/>
      <c r="Q212" s="44"/>
      <c r="R212" s="44"/>
    </row>
    <row r="213" spans="1:18" x14ac:dyDescent="0.4">
      <c r="A213" s="76"/>
      <c r="B213" s="79" t="s">
        <v>187</v>
      </c>
      <c r="M213" s="44"/>
      <c r="N213" s="44"/>
      <c r="O213" s="44"/>
      <c r="P213" s="44"/>
      <c r="Q213" s="44"/>
      <c r="R213" s="44"/>
    </row>
    <row r="214" spans="1:18" x14ac:dyDescent="0.4">
      <c r="A214" s="76"/>
      <c r="B214" s="79" t="s">
        <v>81</v>
      </c>
      <c r="M214" s="44"/>
      <c r="N214" s="44"/>
      <c r="O214" s="44"/>
      <c r="P214" s="44"/>
      <c r="Q214" s="44"/>
      <c r="R214" s="44"/>
    </row>
    <row r="215" spans="1:18" x14ac:dyDescent="0.4">
      <c r="A215" s="76"/>
      <c r="C215" s="80"/>
      <c r="D215" s="80"/>
      <c r="E215" s="80" t="str">
        <f>+E$13</f>
        <v>RT{1}</v>
      </c>
      <c r="F215" s="80" t="str">
        <f>+F$13</f>
        <v>RS{2}</v>
      </c>
      <c r="G215" s="80" t="str">
        <f>+G$13</f>
        <v>GS{3}</v>
      </c>
      <c r="H215" s="102" t="str">
        <f>+H$58</f>
        <v>GST {4}</v>
      </c>
      <c r="I215" s="80" t="str">
        <f>+I$13</f>
        <v>OL/SL</v>
      </c>
      <c r="J215" s="80"/>
      <c r="M215" s="44"/>
      <c r="N215" s="44"/>
      <c r="O215" s="44"/>
      <c r="P215" s="44"/>
      <c r="Q215" s="44"/>
      <c r="R215" s="44"/>
    </row>
    <row r="216" spans="1:18" x14ac:dyDescent="0.4">
      <c r="A216" s="76"/>
      <c r="C216" s="80"/>
      <c r="D216" s="80"/>
      <c r="E216" s="44"/>
      <c r="F216" s="80"/>
      <c r="G216" s="80"/>
      <c r="M216" s="44"/>
      <c r="N216" s="44"/>
      <c r="O216" s="44"/>
      <c r="P216" s="44"/>
      <c r="Q216" s="44"/>
      <c r="R216" s="44"/>
    </row>
    <row r="217" spans="1:18" x14ac:dyDescent="0.4">
      <c r="A217" s="76"/>
      <c r="B217" s="235" t="s">
        <v>111</v>
      </c>
      <c r="C217" s="44"/>
      <c r="D217" s="44"/>
      <c r="E217" s="44">
        <f>+E150+(E$95*$E$191)+E$198+E201</f>
        <v>85.246909703657593</v>
      </c>
      <c r="F217" s="44">
        <f>+F150+(F$95*$E$191)+F$198+F201</f>
        <v>86.851894121864987</v>
      </c>
      <c r="G217" s="44">
        <f>+G150+(G$95*$E$191)+G$198+G201</f>
        <v>85.831420404725719</v>
      </c>
      <c r="H217" s="44"/>
      <c r="I217" s="44">
        <f>+I150+(I$95*$E$191)+I$198+I201</f>
        <v>61.444077884678379</v>
      </c>
      <c r="J217" s="44"/>
      <c r="K217" s="44"/>
      <c r="M217" s="44"/>
      <c r="N217" s="44"/>
      <c r="O217" s="44"/>
      <c r="P217" s="44"/>
      <c r="Q217" s="44"/>
      <c r="R217" s="44"/>
    </row>
    <row r="218" spans="1:18" x14ac:dyDescent="0.4">
      <c r="A218" s="76"/>
      <c r="B218" s="236" t="s">
        <v>133</v>
      </c>
      <c r="C218" s="44"/>
      <c r="D218" s="44"/>
      <c r="E218" s="44">
        <f>+E151+(E$95*$E$191)+E$198+E$202</f>
        <v>115.40531721068552</v>
      </c>
      <c r="F218" s="44"/>
      <c r="G218" s="44"/>
      <c r="H218" s="44">
        <f>+H151+(H$95*$E$191)+H$198+H$202</f>
        <v>98.51439986621078</v>
      </c>
      <c r="I218" s="44"/>
      <c r="J218" s="44"/>
      <c r="M218" s="44"/>
      <c r="N218" s="44"/>
      <c r="O218" s="44"/>
      <c r="P218" s="44"/>
      <c r="Q218" s="44"/>
      <c r="R218" s="44"/>
    </row>
    <row r="219" spans="1:18" x14ac:dyDescent="0.4">
      <c r="A219" s="76"/>
      <c r="B219" s="236" t="s">
        <v>134</v>
      </c>
      <c r="C219" s="44"/>
      <c r="D219" s="44"/>
      <c r="E219" s="44">
        <f>+E152+(E$95*$E$191)+E$198</f>
        <v>64.265971606782756</v>
      </c>
      <c r="F219" s="44"/>
      <c r="G219" s="44"/>
      <c r="H219" s="44">
        <f>+H152+(H$95*$E$191)+H$198</f>
        <v>64.327947790804771</v>
      </c>
      <c r="I219" s="44"/>
      <c r="J219" s="44"/>
      <c r="M219" s="44"/>
      <c r="N219" s="44"/>
      <c r="O219" s="44"/>
      <c r="P219" s="44"/>
      <c r="Q219" s="44"/>
      <c r="R219" s="44"/>
    </row>
    <row r="220" spans="1:18" x14ac:dyDescent="0.4">
      <c r="A220" s="76"/>
      <c r="B220" s="212" t="s">
        <v>165</v>
      </c>
      <c r="C220" s="44"/>
      <c r="D220" s="44"/>
      <c r="E220" s="44"/>
      <c r="F220" s="44">
        <f>(F217*SUM(F65:F68)-C186*10*E185*SUM(F65:F68))/SUM(F65:F68)</f>
        <v>82.790509711565221</v>
      </c>
      <c r="G220" s="44"/>
      <c r="H220" s="44"/>
      <c r="I220" s="44"/>
      <c r="J220" s="44"/>
      <c r="M220" s="44"/>
      <c r="N220" s="44"/>
      <c r="O220" s="44"/>
      <c r="P220" s="44"/>
      <c r="Q220" s="44"/>
      <c r="R220" s="44"/>
    </row>
    <row r="221" spans="1:18" x14ac:dyDescent="0.4">
      <c r="A221" s="76"/>
      <c r="B221" s="212" t="s">
        <v>166</v>
      </c>
      <c r="C221" s="44"/>
      <c r="D221" s="44"/>
      <c r="E221" s="44"/>
      <c r="F221" s="44">
        <f>+F220+C186*10</f>
        <v>91.442509711565222</v>
      </c>
      <c r="G221" s="237"/>
      <c r="H221" s="44"/>
      <c r="I221" s="44"/>
      <c r="J221" s="44"/>
      <c r="M221" s="44"/>
      <c r="N221" s="44"/>
      <c r="O221" s="44"/>
      <c r="P221" s="44"/>
      <c r="Q221" s="44"/>
      <c r="R221" s="44"/>
    </row>
    <row r="222" spans="1:18" x14ac:dyDescent="0.4">
      <c r="A222" s="76"/>
      <c r="C222" s="44"/>
      <c r="D222" s="44"/>
      <c r="E222" s="44"/>
      <c r="F222" s="44"/>
      <c r="G222" s="44"/>
      <c r="H222" s="44"/>
      <c r="I222" s="44"/>
      <c r="J222" s="44"/>
      <c r="M222" s="44"/>
      <c r="N222" s="44"/>
      <c r="O222" s="44"/>
      <c r="P222" s="44"/>
      <c r="Q222" s="44"/>
      <c r="R222" s="44"/>
    </row>
    <row r="223" spans="1:18" x14ac:dyDescent="0.4">
      <c r="A223" s="76"/>
      <c r="B223" s="235" t="s">
        <v>115</v>
      </c>
      <c r="C223" s="44"/>
      <c r="D223" s="44"/>
      <c r="E223" s="44">
        <f>+E154+(E$95*$E$191)+E$198+E203</f>
        <v>82.146075592987827</v>
      </c>
      <c r="F223" s="44">
        <f>+F154+(F$95*$E$191)+F$198+F203</f>
        <v>89.13022357875812</v>
      </c>
      <c r="G223" s="44">
        <f>+G154+(G$95*$E$191)+G$198+G203</f>
        <v>82.972061497242791</v>
      </c>
      <c r="H223" s="44"/>
      <c r="I223" s="44">
        <f>+I154+(I$95*$E$191)+I$198+I203</f>
        <v>60.555592303287646</v>
      </c>
      <c r="J223" s="44"/>
      <c r="K223" s="44"/>
      <c r="M223" s="44"/>
      <c r="N223" s="44"/>
      <c r="O223" s="44"/>
      <c r="P223" s="44"/>
      <c r="Q223" s="44"/>
      <c r="R223" s="44"/>
    </row>
    <row r="224" spans="1:18" x14ac:dyDescent="0.4">
      <c r="A224" s="76"/>
      <c r="B224" s="236" t="s">
        <v>133</v>
      </c>
      <c r="C224" s="44"/>
      <c r="D224" s="44"/>
      <c r="E224" s="44">
        <f>+E155+(E$95*$E$191)+E$198+E$204</f>
        <v>109.25919901313443</v>
      </c>
      <c r="F224" s="44"/>
      <c r="G224" s="44"/>
      <c r="H224" s="44">
        <f>+H155+(H$95*$E$191)+H$198+H$204</f>
        <v>88.820439512720782</v>
      </c>
      <c r="I224" s="44"/>
      <c r="J224" s="44"/>
      <c r="M224" s="44"/>
      <c r="N224" s="44"/>
      <c r="O224" s="44"/>
      <c r="P224" s="44"/>
      <c r="Q224" s="44"/>
      <c r="R224" s="44"/>
    </row>
    <row r="225" spans="1:18" x14ac:dyDescent="0.4">
      <c r="A225" s="76"/>
      <c r="B225" s="236" t="s">
        <v>134</v>
      </c>
      <c r="C225" s="44"/>
      <c r="D225" s="44"/>
      <c r="E225" s="44">
        <f>+E156+(E$95*$E$191)+E$198</f>
        <v>67.365238304056291</v>
      </c>
      <c r="F225" s="44"/>
      <c r="G225" s="44"/>
      <c r="H225" s="44">
        <f>+H156+(H$95*$E$191)+H$198</f>
        <v>65.615257846899155</v>
      </c>
      <c r="I225" s="44"/>
      <c r="J225" s="44"/>
      <c r="M225" s="44"/>
      <c r="N225" s="44"/>
      <c r="O225" s="44"/>
      <c r="P225" s="44"/>
      <c r="Q225" s="44"/>
      <c r="R225" s="44"/>
    </row>
    <row r="226" spans="1:18" x14ac:dyDescent="0.4">
      <c r="A226" s="76"/>
      <c r="C226" s="44"/>
      <c r="D226" s="44"/>
      <c r="E226" s="44"/>
      <c r="F226" s="44"/>
      <c r="G226" s="44"/>
      <c r="H226" s="44"/>
      <c r="I226" s="44"/>
      <c r="J226" s="44"/>
      <c r="M226" s="44"/>
      <c r="N226" s="44"/>
      <c r="O226" s="44"/>
      <c r="P226" s="44"/>
      <c r="Q226" s="44"/>
      <c r="R226" s="44"/>
    </row>
    <row r="227" spans="1:18" x14ac:dyDescent="0.4">
      <c r="A227" s="76"/>
      <c r="B227" s="211" t="s">
        <v>188</v>
      </c>
      <c r="C227" s="44"/>
      <c r="D227" s="44"/>
      <c r="E227" s="44">
        <f>+E158+(E$95*$E$191)+E$198+E200</f>
        <v>83.166953976470296</v>
      </c>
      <c r="F227" s="44">
        <f>+F158+(F$95*$E$191)+F$198+F200</f>
        <v>88.18316076566984</v>
      </c>
      <c r="G227" s="44">
        <f>+G158+(G$95*$E$191)+G$198+G200</f>
        <v>84.008529774286743</v>
      </c>
      <c r="H227" s="44">
        <f>((H218*SUMPRODUCT(H38:H41,H65:H68)+H219*SUMPRODUCT(T38:T41,H65:H68))+(H224*(SUMPRODUCT(H33:H37,H60:H64)+SUMPRODUCT(H42:H44,H69:H71))+H225*(SUMPRODUCT(T33:T37,H60:H64)+SUMPRODUCT(T42:T44,H69:H71))))/H72</f>
        <v>77.287117734799679</v>
      </c>
      <c r="I227" s="44">
        <f>+I158+(I$95*$E$191)+I$198+I200</f>
        <v>60.851764456083473</v>
      </c>
      <c r="J227" s="44"/>
      <c r="K227" s="44"/>
      <c r="M227" s="44"/>
      <c r="N227" s="44"/>
      <c r="O227" s="44"/>
      <c r="P227" s="44"/>
      <c r="Q227" s="44"/>
      <c r="R227" s="44"/>
    </row>
    <row r="228" spans="1:18" x14ac:dyDescent="0.4">
      <c r="A228" s="76"/>
      <c r="C228" s="44"/>
      <c r="D228" s="44"/>
      <c r="E228" s="44"/>
      <c r="F228" s="44"/>
      <c r="G228" s="44"/>
      <c r="H228" s="44"/>
      <c r="I228" s="44"/>
      <c r="J228" s="44"/>
      <c r="K228" s="44"/>
      <c r="M228" s="44"/>
      <c r="N228" s="44"/>
      <c r="O228" s="44"/>
      <c r="P228" s="44"/>
      <c r="Q228" s="44"/>
      <c r="R228" s="44"/>
    </row>
    <row r="229" spans="1:18" x14ac:dyDescent="0.4">
      <c r="A229" s="76"/>
      <c r="B229" s="78" t="s">
        <v>189</v>
      </c>
      <c r="M229" s="44"/>
      <c r="N229" s="44"/>
      <c r="O229" s="44"/>
      <c r="P229" s="44"/>
      <c r="Q229" s="44"/>
      <c r="R229" s="44"/>
    </row>
    <row r="230" spans="1:18" x14ac:dyDescent="0.4">
      <c r="A230" s="76"/>
      <c r="B230" s="79" t="s">
        <v>190</v>
      </c>
      <c r="M230" s="44"/>
      <c r="N230" s="44"/>
      <c r="O230" s="44"/>
      <c r="P230" s="44"/>
      <c r="Q230" s="44"/>
      <c r="R230" s="44"/>
    </row>
    <row r="231" spans="1:18" x14ac:dyDescent="0.4">
      <c r="A231" s="76"/>
      <c r="B231" s="79" t="s">
        <v>81</v>
      </c>
      <c r="M231" s="44"/>
      <c r="N231" s="44"/>
      <c r="O231" s="44"/>
      <c r="P231" s="44"/>
      <c r="Q231" s="44"/>
      <c r="R231" s="44"/>
    </row>
    <row r="232" spans="1:18" x14ac:dyDescent="0.4">
      <c r="A232" s="76"/>
      <c r="B232" s="236"/>
      <c r="C232" s="44"/>
      <c r="D232" s="44"/>
      <c r="I232" s="212"/>
      <c r="J232" s="44"/>
      <c r="K232" s="349"/>
      <c r="M232" s="44"/>
    </row>
    <row r="233" spans="1:18" x14ac:dyDescent="0.4">
      <c r="A233" s="76"/>
      <c r="C233" s="44"/>
      <c r="D233" s="44"/>
    </row>
    <row r="234" spans="1:18" x14ac:dyDescent="0.4">
      <c r="A234" s="76"/>
      <c r="B234" s="82" t="s">
        <v>191</v>
      </c>
      <c r="C234" s="44"/>
      <c r="D234" s="44"/>
      <c r="I234" s="103"/>
      <c r="K234" s="349"/>
    </row>
    <row r="235" spans="1:18" x14ac:dyDescent="0.4">
      <c r="A235" s="76"/>
      <c r="B235" s="236"/>
      <c r="C235" s="44"/>
      <c r="D235" s="44"/>
      <c r="I235" s="212"/>
      <c r="J235" s="32"/>
      <c r="K235" s="349"/>
    </row>
    <row r="236" spans="1:18" ht="15.35" x14ac:dyDescent="0.5">
      <c r="A236" s="76"/>
      <c r="B236" s="382" t="str">
        <f>$B$1</f>
        <v xml:space="preserve">Jersey Central Power &amp; Light </v>
      </c>
      <c r="C236" s="382"/>
      <c r="D236" s="382"/>
      <c r="E236" s="382"/>
      <c r="F236" s="382"/>
      <c r="G236" s="382"/>
      <c r="H236" s="382"/>
      <c r="I236" s="382"/>
      <c r="J236" s="382"/>
      <c r="K236" s="382"/>
      <c r="L236" s="382"/>
    </row>
    <row r="237" spans="1:18" ht="15.35" x14ac:dyDescent="0.5">
      <c r="A237" s="76"/>
      <c r="B237" s="382" t="str">
        <f>$B$2</f>
        <v>Attachment 2</v>
      </c>
      <c r="C237" s="382"/>
      <c r="D237" s="382"/>
      <c r="E237" s="382"/>
      <c r="F237" s="382"/>
      <c r="G237" s="382"/>
      <c r="H237" s="382"/>
      <c r="I237" s="382"/>
      <c r="J237" s="382"/>
      <c r="K237" s="382"/>
      <c r="L237" s="382"/>
    </row>
    <row r="238" spans="1:18" ht="15.35" x14ac:dyDescent="0.5">
      <c r="A238" s="7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1:18" ht="15.35" x14ac:dyDescent="0.5">
      <c r="A239" s="77" t="s">
        <v>192</v>
      </c>
      <c r="B239" s="78" t="s">
        <v>193</v>
      </c>
      <c r="C239" s="248"/>
      <c r="E239" s="104"/>
      <c r="F239" s="96"/>
      <c r="K239" s="116"/>
      <c r="L239" s="116"/>
    </row>
    <row r="240" spans="1:18" ht="15.35" x14ac:dyDescent="0.5">
      <c r="B240" s="211" t="s">
        <v>194</v>
      </c>
      <c r="K240" s="116"/>
      <c r="L240" s="116"/>
    </row>
    <row r="241" spans="1:12" ht="15.35" x14ac:dyDescent="0.5">
      <c r="E241" s="80" t="s">
        <v>13</v>
      </c>
      <c r="F241" s="80" t="s">
        <v>14</v>
      </c>
      <c r="G241" s="80" t="s">
        <v>15</v>
      </c>
      <c r="H241" s="80" t="s">
        <v>46</v>
      </c>
      <c r="I241" s="80" t="s">
        <v>17</v>
      </c>
      <c r="K241" s="116"/>
      <c r="L241" s="116"/>
    </row>
    <row r="242" spans="1:12" ht="15.35" x14ac:dyDescent="0.5">
      <c r="K242" s="116"/>
      <c r="L242" s="116"/>
    </row>
    <row r="243" spans="1:12" ht="15.35" x14ac:dyDescent="0.5">
      <c r="B243" s="235" t="s">
        <v>111</v>
      </c>
      <c r="E243" s="226">
        <f>'Composite Cost Allocation'!E106</f>
        <v>2446237.3333329996</v>
      </c>
      <c r="G243" s="226">
        <f>'Composite Cost Allocation'!G106</f>
        <v>1976725000</v>
      </c>
      <c r="I243" s="226">
        <f>'Composite Cost Allocation'!I106</f>
        <v>38368000</v>
      </c>
      <c r="K243" s="116"/>
      <c r="L243" s="116"/>
    </row>
    <row r="244" spans="1:12" ht="15.35" x14ac:dyDescent="0.5">
      <c r="B244" s="236" t="s">
        <v>133</v>
      </c>
      <c r="E244" s="226">
        <f>'Composite Cost Allocation'!E107</f>
        <v>26178933</v>
      </c>
      <c r="H244" s="226">
        <f>'Composite Cost Allocation'!H107</f>
        <v>30387363.899999999</v>
      </c>
      <c r="K244" s="116"/>
      <c r="L244" s="116"/>
    </row>
    <row r="245" spans="1:12" ht="15.35" x14ac:dyDescent="0.5">
      <c r="B245" s="236" t="s">
        <v>134</v>
      </c>
      <c r="E245" s="226">
        <f>'Composite Cost Allocation'!E108</f>
        <v>37626829.666666999</v>
      </c>
      <c r="H245" s="226">
        <f>'Composite Cost Allocation'!H108</f>
        <v>35357636.100000001</v>
      </c>
      <c r="K245" s="116"/>
      <c r="L245" s="116"/>
    </row>
    <row r="246" spans="1:12" ht="15.35" x14ac:dyDescent="0.5">
      <c r="B246" s="212" t="s">
        <v>165</v>
      </c>
      <c r="F246" s="226">
        <f>'Composite Cost Allocation'!F109</f>
        <v>2001184000</v>
      </c>
      <c r="K246" s="116"/>
      <c r="L246" s="116"/>
    </row>
    <row r="247" spans="1:12" ht="15.35" x14ac:dyDescent="0.5">
      <c r="B247" s="212" t="s">
        <v>166</v>
      </c>
      <c r="F247" s="226">
        <f>'Composite Cost Allocation'!F110</f>
        <v>1770477000</v>
      </c>
      <c r="K247" s="116"/>
      <c r="L247" s="116"/>
    </row>
    <row r="248" spans="1:12" ht="15.35" x14ac:dyDescent="0.5">
      <c r="K248" s="116"/>
      <c r="L248" s="116"/>
    </row>
    <row r="249" spans="1:12" ht="15.35" x14ac:dyDescent="0.5">
      <c r="B249" s="235" t="s">
        <v>115</v>
      </c>
      <c r="E249" s="226">
        <f>'Composite Cost Allocation'!E112</f>
        <v>5877031.3333332986</v>
      </c>
      <c r="F249" s="226">
        <f>'Composite Cost Allocation'!F112</f>
        <v>5301746000</v>
      </c>
      <c r="G249" s="226">
        <f>'Composite Cost Allocation'!G112</f>
        <v>3476569000</v>
      </c>
      <c r="I249" s="226">
        <f>'Composite Cost Allocation'!I112</f>
        <v>76732000</v>
      </c>
      <c r="K249" s="116"/>
      <c r="L249" s="116"/>
    </row>
    <row r="250" spans="1:12" ht="15.35" x14ac:dyDescent="0.5">
      <c r="B250" s="236" t="s">
        <v>133</v>
      </c>
      <c r="E250" s="226">
        <f>'Composite Cost Allocation'!E113</f>
        <v>45545243.856866822</v>
      </c>
      <c r="H250" s="226">
        <f>'Composite Cost Allocation'!H113</f>
        <v>55261285.100000001</v>
      </c>
      <c r="K250" s="116"/>
      <c r="L250" s="116"/>
    </row>
    <row r="251" spans="1:12" ht="15.35" x14ac:dyDescent="0.5">
      <c r="B251" s="236" t="s">
        <v>134</v>
      </c>
      <c r="E251" s="226">
        <f>'Composite Cost Allocation'!E114</f>
        <v>83560724.80979988</v>
      </c>
      <c r="H251" s="226">
        <f>'Composite Cost Allocation'!H114</f>
        <v>70612714.900000006</v>
      </c>
      <c r="K251" s="116"/>
      <c r="L251" s="116"/>
    </row>
    <row r="252" spans="1:12" ht="15.35" x14ac:dyDescent="0.5">
      <c r="J252" s="80" t="s">
        <v>44</v>
      </c>
      <c r="K252" s="116"/>
      <c r="L252" s="116"/>
    </row>
    <row r="253" spans="1:12" ht="15.35" x14ac:dyDescent="0.5">
      <c r="B253" s="212" t="s">
        <v>158</v>
      </c>
      <c r="E253" s="226">
        <f>SUM(E243:E247)</f>
        <v>66252000</v>
      </c>
      <c r="F253" s="226">
        <f>SUM(F243:F247)</f>
        <v>3771661000</v>
      </c>
      <c r="G253" s="226">
        <f>SUM(G243:G247)</f>
        <v>1976725000</v>
      </c>
      <c r="H253" s="226">
        <f>SUM(H243:H247)</f>
        <v>65745000</v>
      </c>
      <c r="I253" s="226">
        <f>SUM(I243:I247)</f>
        <v>38368000</v>
      </c>
      <c r="J253" s="226">
        <f>SUM(E253:I253)</f>
        <v>5918751000</v>
      </c>
      <c r="K253" s="116"/>
      <c r="L253" s="116"/>
    </row>
    <row r="254" spans="1:12" ht="15.35" x14ac:dyDescent="0.5">
      <c r="B254" s="212" t="s">
        <v>159</v>
      </c>
      <c r="E254" s="105">
        <f>SUM(E249:E251)</f>
        <v>134983000</v>
      </c>
      <c r="F254" s="105">
        <f>SUM(F249:F251)</f>
        <v>5301746000</v>
      </c>
      <c r="G254" s="19">
        <f>SUM(G249:G251)</f>
        <v>3476569000</v>
      </c>
      <c r="H254" s="95">
        <f>SUM(H249:H251)</f>
        <v>125874000</v>
      </c>
      <c r="I254" s="95">
        <f>SUM(I249:I251)</f>
        <v>76732000</v>
      </c>
      <c r="J254" s="105">
        <f>SUM(E254:I254)</f>
        <v>9115904000</v>
      </c>
      <c r="K254" s="116"/>
      <c r="L254" s="116"/>
    </row>
    <row r="255" spans="1:12" ht="15.35" x14ac:dyDescent="0.5">
      <c r="B255" s="212" t="s">
        <v>160</v>
      </c>
      <c r="E255" s="226">
        <f>SUM(E253:E254)</f>
        <v>201235000</v>
      </c>
      <c r="F255" s="226">
        <f>SUM(F253:F254)</f>
        <v>9073407000</v>
      </c>
      <c r="G255" s="226">
        <f>SUM(G253:G254)</f>
        <v>5453294000</v>
      </c>
      <c r="H255" s="226">
        <f>SUM(H253:H254)</f>
        <v>191619000</v>
      </c>
      <c r="I255" s="226">
        <f>SUM(I253:I254)</f>
        <v>115100000</v>
      </c>
      <c r="J255" s="226">
        <f>SUM(E255:I255)</f>
        <v>15034655000</v>
      </c>
      <c r="K255" s="116"/>
      <c r="L255" s="116"/>
    </row>
    <row r="256" spans="1:12" ht="15.35" x14ac:dyDescent="0.5">
      <c r="A256" s="7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1:15" ht="15.35" x14ac:dyDescent="0.5">
      <c r="A257" s="7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9" spans="1:15" x14ac:dyDescent="0.4">
      <c r="A259" s="77" t="s">
        <v>195</v>
      </c>
      <c r="B259" s="78" t="s">
        <v>196</v>
      </c>
    </row>
    <row r="260" spans="1:15" x14ac:dyDescent="0.4">
      <c r="A260" s="76"/>
      <c r="B260" s="78"/>
    </row>
    <row r="261" spans="1:15" x14ac:dyDescent="0.4">
      <c r="A261" s="76"/>
      <c r="C261" s="80"/>
      <c r="D261" s="80"/>
      <c r="E261" s="80" t="str">
        <f>+E$13</f>
        <v>RT{1}</v>
      </c>
      <c r="F261" s="80" t="str">
        <f>+F$13</f>
        <v>RS{2}</v>
      </c>
      <c r="G261" s="80" t="str">
        <f>+G$13</f>
        <v>GS{3}</v>
      </c>
      <c r="H261" s="102" t="str">
        <f>+H$58</f>
        <v>GST {4}</v>
      </c>
      <c r="I261" s="80" t="str">
        <f>+I$13</f>
        <v>OL/SL</v>
      </c>
      <c r="J261" s="80" t="s">
        <v>44</v>
      </c>
      <c r="K261" s="80"/>
      <c r="L261" s="80"/>
    </row>
    <row r="262" spans="1:15" x14ac:dyDescent="0.4">
      <c r="A262" s="76"/>
      <c r="B262" s="211" t="s">
        <v>197</v>
      </c>
    </row>
    <row r="263" spans="1:15" x14ac:dyDescent="0.4">
      <c r="A263" s="76"/>
      <c r="B263" s="235" t="s">
        <v>111</v>
      </c>
      <c r="C263" s="21"/>
      <c r="D263" s="21"/>
      <c r="E263" s="21">
        <f>+E217*E243/1000000</f>
        <v>208.53417306835436</v>
      </c>
      <c r="F263" s="21"/>
      <c r="G263" s="21">
        <f>+G217*G243/1000000</f>
        <v>169665.11449953142</v>
      </c>
      <c r="H263" s="21"/>
      <c r="I263" s="21">
        <f>+I217*I243/1000000</f>
        <v>2357.4863802793402</v>
      </c>
      <c r="J263" s="21"/>
      <c r="K263" s="21"/>
      <c r="L263" s="21"/>
    </row>
    <row r="264" spans="1:15" x14ac:dyDescent="0.4">
      <c r="A264" s="76"/>
      <c r="B264" s="236" t="s">
        <v>133</v>
      </c>
      <c r="C264" s="21"/>
      <c r="D264" s="21"/>
      <c r="E264" s="21">
        <f>+E218*E244/1000000</f>
        <v>3021.1880671022832</v>
      </c>
      <c r="F264" s="21"/>
      <c r="G264" s="21"/>
      <c r="H264" s="21">
        <f>+H218*H244/1000000</f>
        <v>2993.5929181246579</v>
      </c>
      <c r="I264" s="21"/>
      <c r="J264" s="21"/>
      <c r="K264" s="21"/>
      <c r="L264" s="21"/>
    </row>
    <row r="265" spans="1:15" x14ac:dyDescent="0.4">
      <c r="A265" s="76"/>
      <c r="B265" s="236" t="s">
        <v>134</v>
      </c>
      <c r="C265" s="21"/>
      <c r="D265" s="21"/>
      <c r="E265" s="21">
        <f>+E219*E245/1000000</f>
        <v>2418.1247670112725</v>
      </c>
      <c r="F265" s="21"/>
      <c r="G265" s="21"/>
      <c r="H265" s="21">
        <f>+H219*H245/1000000</f>
        <v>2274.4841690470744</v>
      </c>
      <c r="I265" s="21"/>
      <c r="J265" s="21"/>
      <c r="K265" s="319"/>
      <c r="L265" s="319"/>
      <c r="N265" s="319"/>
      <c r="O265" s="319"/>
    </row>
    <row r="266" spans="1:15" x14ac:dyDescent="0.4">
      <c r="A266" s="76"/>
      <c r="B266" s="212" t="s">
        <v>165</v>
      </c>
      <c r="C266" s="21"/>
      <c r="D266" s="21"/>
      <c r="E266" s="21"/>
      <c r="F266" s="21">
        <f>+F220*F246/1000000</f>
        <v>165679.04338662894</v>
      </c>
      <c r="G266" s="21"/>
      <c r="H266" s="21"/>
      <c r="I266" s="21"/>
      <c r="J266" s="21"/>
      <c r="K266" s="21"/>
      <c r="L266" s="21"/>
      <c r="M266" s="319"/>
    </row>
    <row r="267" spans="1:15" x14ac:dyDescent="0.4">
      <c r="A267" s="76"/>
      <c r="B267" s="212" t="s">
        <v>166</v>
      </c>
      <c r="C267" s="21"/>
      <c r="D267" s="21"/>
      <c r="E267" s="21"/>
      <c r="F267" s="21">
        <f>+F221*F247/1000000</f>
        <v>161896.86026660289</v>
      </c>
      <c r="G267" s="21"/>
      <c r="H267" s="21"/>
      <c r="I267" s="21"/>
      <c r="J267" s="21"/>
      <c r="K267" s="21"/>
      <c r="L267" s="21"/>
    </row>
    <row r="268" spans="1:15" x14ac:dyDescent="0.4">
      <c r="A268" s="76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5" x14ac:dyDescent="0.4">
      <c r="A269" s="76"/>
      <c r="B269" s="235" t="s">
        <v>115</v>
      </c>
      <c r="C269" s="21"/>
      <c r="D269" s="21"/>
      <c r="E269" s="21">
        <f>+E223*E249/1000000</f>
        <v>482.77506017035518</v>
      </c>
      <c r="F269" s="21">
        <f>+F223*F249/1000000</f>
        <v>472545.80633778655</v>
      </c>
      <c r="G269" s="21">
        <f>+G223*G249/1000000</f>
        <v>288458.0968674079</v>
      </c>
      <c r="I269" s="21">
        <f>+I223*I249/1000000</f>
        <v>4646.5517086158679</v>
      </c>
      <c r="J269" s="21"/>
      <c r="K269" s="21"/>
      <c r="L269" s="21"/>
    </row>
    <row r="270" spans="1:15" x14ac:dyDescent="0.4">
      <c r="A270" s="76"/>
      <c r="B270" s="236" t="s">
        <v>133</v>
      </c>
      <c r="C270" s="21"/>
      <c r="D270" s="21"/>
      <c r="E270" s="21">
        <f>+E224*E250/1000000</f>
        <v>4976.2368626591515</v>
      </c>
      <c r="F270" s="319"/>
      <c r="G270" s="319"/>
      <c r="H270" s="21">
        <f>+H224*H250/1000000</f>
        <v>4908.3316306197685</v>
      </c>
      <c r="I270" s="319"/>
      <c r="J270" s="21"/>
      <c r="K270" s="21"/>
      <c r="L270" s="21"/>
    </row>
    <row r="271" spans="1:15" x14ac:dyDescent="0.4">
      <c r="A271" s="76"/>
      <c r="B271" s="236" t="s">
        <v>134</v>
      </c>
      <c r="C271" s="319"/>
      <c r="D271" s="319"/>
      <c r="E271" s="21">
        <f>+E225*E251/1000000</f>
        <v>5629.0881396718378</v>
      </c>
      <c r="H271" s="21">
        <f>+H225*H251/1000000</f>
        <v>4633.2714954330777</v>
      </c>
      <c r="J271" s="21"/>
      <c r="K271" s="21"/>
      <c r="L271" s="21"/>
    </row>
    <row r="272" spans="1:15" x14ac:dyDescent="0.4">
      <c r="A272" s="76"/>
      <c r="B272" s="219"/>
    </row>
    <row r="273" spans="1:12" x14ac:dyDescent="0.4">
      <c r="A273" s="76"/>
      <c r="B273" s="211" t="s">
        <v>198</v>
      </c>
    </row>
    <row r="274" spans="1:12" x14ac:dyDescent="0.4">
      <c r="A274" s="76"/>
      <c r="B274" s="219" t="s">
        <v>91</v>
      </c>
      <c r="E274" s="319">
        <f>SUM(E263:E267)</f>
        <v>5647.8470071819102</v>
      </c>
      <c r="F274" s="319">
        <f>SUM(F263:F267)</f>
        <v>327575.9036532318</v>
      </c>
      <c r="G274" s="319">
        <f>SUM(G263:G267)</f>
        <v>169665.11449953142</v>
      </c>
      <c r="H274" s="319">
        <f>SUM(H263:H267)</f>
        <v>5268.0770871717323</v>
      </c>
      <c r="I274" s="319">
        <f>SUM(I263:I267)</f>
        <v>2357.4863802793402</v>
      </c>
      <c r="J274" s="360">
        <f>SUM(E274:I274)</f>
        <v>510514.42862739618</v>
      </c>
    </row>
    <row r="275" spans="1:12" x14ac:dyDescent="0.4">
      <c r="A275" s="76"/>
      <c r="B275" s="219" t="s">
        <v>88</v>
      </c>
      <c r="E275" s="319">
        <f>SUM(E269:E271)</f>
        <v>11088.100062501344</v>
      </c>
      <c r="F275" s="319">
        <f>SUM(F269:F271)</f>
        <v>472545.80633778655</v>
      </c>
      <c r="G275" s="319">
        <f>SUM(G269:G271)</f>
        <v>288458.0968674079</v>
      </c>
      <c r="H275" s="319">
        <f>SUM(H269:H271)</f>
        <v>9541.6031260528471</v>
      </c>
      <c r="I275" s="319">
        <f>SUM(I269:I271)</f>
        <v>4646.5517086158679</v>
      </c>
      <c r="J275" s="360">
        <f>SUM(E275:I275)</f>
        <v>786280.15810236451</v>
      </c>
    </row>
    <row r="276" spans="1:12" x14ac:dyDescent="0.4">
      <c r="A276" s="76"/>
      <c r="B276" s="219" t="s">
        <v>44</v>
      </c>
      <c r="E276" s="319">
        <f>SUM(E274:E275)</f>
        <v>16735.947069683254</v>
      </c>
      <c r="F276" s="319">
        <f>SUM(F274:F275)</f>
        <v>800121.70999101829</v>
      </c>
      <c r="G276" s="319">
        <f>SUM(G274:G275)</f>
        <v>458123.21136693936</v>
      </c>
      <c r="H276" s="319">
        <f>SUM(H274:H275)</f>
        <v>14809.680213224579</v>
      </c>
      <c r="I276" s="319">
        <f>SUM(I274:I275)</f>
        <v>7004.0380888952077</v>
      </c>
      <c r="J276" s="319">
        <f>SUM(E276:I276)</f>
        <v>1296794.5867297605</v>
      </c>
    </row>
    <row r="277" spans="1:12" x14ac:dyDescent="0.4">
      <c r="A277" s="76"/>
    </row>
    <row r="278" spans="1:12" x14ac:dyDescent="0.4">
      <c r="A278" s="76"/>
      <c r="B278" s="211" t="s">
        <v>199</v>
      </c>
    </row>
    <row r="279" spans="1:12" x14ac:dyDescent="0.4">
      <c r="A279" s="76"/>
      <c r="B279" s="219" t="s">
        <v>91</v>
      </c>
      <c r="E279" s="28">
        <f t="shared" ref="E279:J279" si="12">+E274/E276</f>
        <v>0.33746802518351904</v>
      </c>
      <c r="F279" s="28">
        <f t="shared" si="12"/>
        <v>0.40940759332340698</v>
      </c>
      <c r="G279" s="28">
        <f t="shared" si="12"/>
        <v>0.3703482170075772</v>
      </c>
      <c r="H279" s="28">
        <f t="shared" si="12"/>
        <v>0.35571849029309255</v>
      </c>
      <c r="I279" s="28">
        <f t="shared" si="12"/>
        <v>0.33658960022177747</v>
      </c>
      <c r="J279" s="28">
        <f t="shared" si="12"/>
        <v>0.39367408983006685</v>
      </c>
    </row>
    <row r="280" spans="1:12" x14ac:dyDescent="0.4">
      <c r="A280" s="76"/>
      <c r="B280" s="219" t="s">
        <v>88</v>
      </c>
      <c r="E280" s="28">
        <f t="shared" ref="E280:J280" si="13">+E275/E276</f>
        <v>0.66253197481648096</v>
      </c>
      <c r="F280" s="28">
        <f t="shared" si="13"/>
        <v>0.59059240667659307</v>
      </c>
      <c r="G280" s="28">
        <f t="shared" si="13"/>
        <v>0.62965178299242275</v>
      </c>
      <c r="H280" s="28">
        <f t="shared" si="13"/>
        <v>0.64428150970690745</v>
      </c>
      <c r="I280" s="28">
        <f t="shared" si="13"/>
        <v>0.66341039977822258</v>
      </c>
      <c r="J280" s="28">
        <f t="shared" si="13"/>
        <v>0.60632591016993331</v>
      </c>
    </row>
    <row r="281" spans="1:12" x14ac:dyDescent="0.4">
      <c r="A281" s="76"/>
      <c r="B281" s="219"/>
      <c r="E281" s="28"/>
      <c r="F281" s="28"/>
      <c r="G281" s="28"/>
      <c r="H281" s="28"/>
      <c r="I281" s="28"/>
      <c r="J281" s="28"/>
    </row>
    <row r="282" spans="1:12" x14ac:dyDescent="0.4">
      <c r="A282" s="76"/>
      <c r="B282" s="219"/>
      <c r="E282" s="28"/>
      <c r="F282" s="28"/>
      <c r="G282" s="28"/>
      <c r="H282" s="28"/>
      <c r="I282" s="28"/>
      <c r="J282" s="28"/>
    </row>
    <row r="283" spans="1:12" ht="15.35" x14ac:dyDescent="0.5">
      <c r="A283" s="76"/>
      <c r="B283" s="382" t="str">
        <f>$B$1</f>
        <v xml:space="preserve">Jersey Central Power &amp; Light </v>
      </c>
      <c r="C283" s="382"/>
      <c r="D283" s="382"/>
      <c r="E283" s="382"/>
      <c r="F283" s="382"/>
      <c r="G283" s="382"/>
      <c r="H283" s="382"/>
      <c r="I283" s="382"/>
      <c r="J283" s="382"/>
      <c r="K283" s="382"/>
      <c r="L283" s="382"/>
    </row>
    <row r="284" spans="1:12" ht="15.35" x14ac:dyDescent="0.5">
      <c r="A284" s="76"/>
      <c r="B284" s="382" t="str">
        <f>$B$2</f>
        <v>Attachment 2</v>
      </c>
      <c r="C284" s="382"/>
      <c r="D284" s="382"/>
      <c r="E284" s="382"/>
      <c r="F284" s="382"/>
      <c r="G284" s="382"/>
      <c r="H284" s="382"/>
      <c r="I284" s="382"/>
      <c r="J284" s="382"/>
      <c r="K284" s="382"/>
      <c r="L284" s="382"/>
    </row>
    <row r="285" spans="1:12" x14ac:dyDescent="0.4">
      <c r="A285" s="77" t="s">
        <v>200</v>
      </c>
      <c r="B285" s="78" t="s">
        <v>201</v>
      </c>
      <c r="E285" s="28"/>
      <c r="F285" s="28"/>
      <c r="G285" s="28"/>
      <c r="H285" s="28"/>
      <c r="I285" s="28"/>
      <c r="J285" s="28"/>
    </row>
    <row r="286" spans="1:12" x14ac:dyDescent="0.4">
      <c r="A286" s="76"/>
      <c r="B286" s="78"/>
      <c r="E286" s="28"/>
      <c r="F286" s="28"/>
      <c r="G286" s="28"/>
      <c r="H286" s="28"/>
      <c r="I286" s="28"/>
      <c r="J286" s="28"/>
    </row>
    <row r="287" spans="1:12" x14ac:dyDescent="0.4">
      <c r="A287" s="76"/>
      <c r="E287" s="80" t="str">
        <f>+E$13</f>
        <v>RT{1}</v>
      </c>
      <c r="F287" s="80" t="str">
        <f>+F$13</f>
        <v>RS{2}</v>
      </c>
      <c r="G287" s="80" t="str">
        <f>+G$13</f>
        <v>GS{3}</v>
      </c>
      <c r="H287" s="102" t="str">
        <f>+H$58</f>
        <v>GST {4}</v>
      </c>
      <c r="I287" s="80" t="str">
        <f>+I$13</f>
        <v>OL/SL</v>
      </c>
      <c r="J287" s="80" t="s">
        <v>44</v>
      </c>
    </row>
    <row r="288" spans="1:12" x14ac:dyDescent="0.4">
      <c r="A288" s="76"/>
      <c r="B288" s="211" t="s">
        <v>197</v>
      </c>
      <c r="E288" s="28"/>
      <c r="F288" s="28"/>
      <c r="G288" s="28"/>
      <c r="H288" s="28"/>
      <c r="I288" s="28"/>
      <c r="J288" s="28"/>
    </row>
    <row r="289" spans="1:10" x14ac:dyDescent="0.4">
      <c r="A289" s="76"/>
      <c r="B289" s="235" t="s">
        <v>111</v>
      </c>
      <c r="E289" s="21">
        <f>E263-E243*E$198/1000000</f>
        <v>190.27301137502351</v>
      </c>
      <c r="F289" s="28"/>
      <c r="G289" s="21">
        <f>G263-G243*G$198/1000000</f>
        <v>154908.86237453143</v>
      </c>
      <c r="H289" s="28"/>
      <c r="I289" s="21">
        <f>I263-I243*I$198/1000000</f>
        <v>2357.4863802793402</v>
      </c>
      <c r="J289" s="28"/>
    </row>
    <row r="290" spans="1:10" x14ac:dyDescent="0.4">
      <c r="A290" s="76"/>
      <c r="B290" s="236" t="s">
        <v>133</v>
      </c>
      <c r="E290" s="21">
        <f>E264-E244*E$198/1000000</f>
        <v>2825.7623322572831</v>
      </c>
      <c r="F290" s="28"/>
      <c r="G290" s="28"/>
      <c r="H290" s="21">
        <f>H264-H244*H$198/1000000</f>
        <v>2766.751246611158</v>
      </c>
      <c r="I290" s="28"/>
      <c r="J290" s="28"/>
    </row>
    <row r="291" spans="1:10" x14ac:dyDescent="0.4">
      <c r="A291" s="76"/>
      <c r="B291" s="236" t="s">
        <v>134</v>
      </c>
      <c r="E291" s="21">
        <f>E265-E245*E$198/1000000</f>
        <v>2137.2404835496036</v>
      </c>
      <c r="F291" s="28"/>
      <c r="G291" s="28"/>
      <c r="H291" s="21">
        <f>H265-H245*H$198/1000000</f>
        <v>2010.5394155605743</v>
      </c>
      <c r="I291" s="28"/>
      <c r="J291" s="28"/>
    </row>
    <row r="292" spans="1:10" x14ac:dyDescent="0.4">
      <c r="A292" s="76"/>
      <c r="B292" s="212" t="s">
        <v>165</v>
      </c>
      <c r="E292" s="28"/>
      <c r="F292" s="21">
        <f>F266-F246*F$198/1000000</f>
        <v>150740.20482662893</v>
      </c>
      <c r="G292" s="28"/>
      <c r="H292" s="28"/>
      <c r="I292" s="28"/>
      <c r="J292" s="28"/>
    </row>
    <row r="293" spans="1:10" x14ac:dyDescent="0.4">
      <c r="A293" s="76"/>
      <c r="B293" s="212" t="s">
        <v>166</v>
      </c>
      <c r="E293" s="28"/>
      <c r="F293" s="21">
        <f>F267-F247*F$198/1000000</f>
        <v>148680.24946160289</v>
      </c>
      <c r="G293" s="28"/>
      <c r="H293" s="28"/>
      <c r="I293" s="28"/>
      <c r="J293" s="28"/>
    </row>
    <row r="294" spans="1:10" x14ac:dyDescent="0.4">
      <c r="A294" s="76"/>
      <c r="E294" s="28"/>
      <c r="F294" s="28"/>
      <c r="G294" s="28"/>
      <c r="H294" s="28"/>
      <c r="I294" s="28"/>
      <c r="J294" s="28"/>
    </row>
    <row r="295" spans="1:10" x14ac:dyDescent="0.4">
      <c r="A295" s="76"/>
      <c r="B295" s="235" t="s">
        <v>115</v>
      </c>
      <c r="E295" s="21">
        <f>E269-E249*E$198/1000000</f>
        <v>438.9030212670221</v>
      </c>
      <c r="F295" s="21">
        <f>F269-F249*F$198/1000000</f>
        <v>432968.27244778653</v>
      </c>
      <c r="G295" s="21">
        <f>G269-G249*G$198/1000000</f>
        <v>262505.50928240793</v>
      </c>
      <c r="H295" s="28"/>
      <c r="I295" s="21">
        <f>I269-I249*I$198/1000000</f>
        <v>4646.5517086158679</v>
      </c>
      <c r="J295" s="28"/>
    </row>
    <row r="296" spans="1:10" x14ac:dyDescent="0.4">
      <c r="A296" s="76"/>
      <c r="B296" s="236" t="s">
        <v>133</v>
      </c>
      <c r="E296" s="21">
        <f>E270-E250*E$198/1000000</f>
        <v>4636.2416172676403</v>
      </c>
      <c r="F296" s="28"/>
      <c r="G296" s="28"/>
      <c r="H296" s="21">
        <f>H270-H250*H$198/1000000</f>
        <v>4495.8061373482687</v>
      </c>
      <c r="I296" s="28"/>
      <c r="J296" s="28"/>
    </row>
    <row r="297" spans="1:10" x14ac:dyDescent="0.4">
      <c r="A297" s="76"/>
      <c r="B297" s="236" t="s">
        <v>134</v>
      </c>
      <c r="E297" s="21">
        <f>E271-E251*E$198/1000000</f>
        <v>5005.3073289666818</v>
      </c>
      <c r="F297" s="28"/>
      <c r="G297" s="28"/>
      <c r="H297" s="21">
        <f>H271-H251*H$198/1000000</f>
        <v>4106.1475787045774</v>
      </c>
      <c r="I297" s="28"/>
      <c r="J297" s="28"/>
    </row>
    <row r="298" spans="1:10" x14ac:dyDescent="0.4">
      <c r="A298" s="76"/>
      <c r="B298" s="219"/>
      <c r="E298" s="28"/>
      <c r="F298" s="28"/>
      <c r="G298" s="28"/>
      <c r="H298" s="28"/>
      <c r="I298" s="28"/>
      <c r="J298" s="28"/>
    </row>
    <row r="299" spans="1:10" x14ac:dyDescent="0.4">
      <c r="A299" s="76"/>
      <c r="B299" s="211" t="s">
        <v>198</v>
      </c>
      <c r="E299" s="28"/>
      <c r="F299" s="28"/>
      <c r="G299" s="28"/>
      <c r="H299" s="28"/>
      <c r="I299" s="28"/>
      <c r="J299" s="28"/>
    </row>
    <row r="300" spans="1:10" x14ac:dyDescent="0.4">
      <c r="A300" s="76"/>
      <c r="B300" s="219" t="s">
        <v>91</v>
      </c>
      <c r="E300" s="319">
        <f>SUM(E289:E293)</f>
        <v>5153.2758271819102</v>
      </c>
      <c r="F300" s="319">
        <f>SUM(F289:F293)</f>
        <v>299420.45428823179</v>
      </c>
      <c r="G300" s="319">
        <f>SUM(G289:G293)</f>
        <v>154908.86237453143</v>
      </c>
      <c r="H300" s="319">
        <f>SUM(H289:H293)</f>
        <v>4777.290662171732</v>
      </c>
      <c r="I300" s="319">
        <f>SUM(I289:I293)</f>
        <v>2357.4863802793402</v>
      </c>
      <c r="J300" s="360">
        <f>SUM(E300:I300)</f>
        <v>466617.3695323962</v>
      </c>
    </row>
    <row r="301" spans="1:10" x14ac:dyDescent="0.4">
      <c r="A301" s="76"/>
      <c r="B301" s="219" t="s">
        <v>88</v>
      </c>
      <c r="E301" s="319">
        <f>SUM(E295:E297)</f>
        <v>10080.451967501343</v>
      </c>
      <c r="F301" s="319">
        <f>SUM(F295:F297)</f>
        <v>432968.27244778653</v>
      </c>
      <c r="G301" s="319">
        <f>SUM(G295:G297)</f>
        <v>262505.50928240793</v>
      </c>
      <c r="H301" s="319">
        <f>SUM(H295:H297)</f>
        <v>8601.9537160528453</v>
      </c>
      <c r="I301" s="319">
        <f>SUM(I295:I297)</f>
        <v>4646.5517086158679</v>
      </c>
      <c r="J301" s="360">
        <f>SUM(E301:I301)</f>
        <v>718802.73912236444</v>
      </c>
    </row>
    <row r="302" spans="1:10" x14ac:dyDescent="0.4">
      <c r="A302" s="76"/>
      <c r="B302" s="219" t="s">
        <v>44</v>
      </c>
      <c r="E302" s="319">
        <f>SUM(E300:E301)</f>
        <v>15233.727794683255</v>
      </c>
      <c r="F302" s="319">
        <f>SUM(F300:F301)</f>
        <v>732388.72673601832</v>
      </c>
      <c r="G302" s="319">
        <f>SUM(G300:G301)</f>
        <v>417414.37165693939</v>
      </c>
      <c r="H302" s="319">
        <f>SUM(H300:H301)</f>
        <v>13379.244378224577</v>
      </c>
      <c r="I302" s="319">
        <f>SUM(I300:I301)</f>
        <v>7004.0380888952077</v>
      </c>
      <c r="J302" s="319">
        <f>SUM(E302:I302)</f>
        <v>1185420.1086547605</v>
      </c>
    </row>
    <row r="303" spans="1:10" x14ac:dyDescent="0.4">
      <c r="A303" s="76"/>
      <c r="E303" s="28"/>
      <c r="F303" s="28"/>
      <c r="G303" s="28"/>
      <c r="H303" s="28"/>
      <c r="I303" s="28"/>
      <c r="J303" s="28"/>
    </row>
    <row r="304" spans="1:10" x14ac:dyDescent="0.4">
      <c r="A304" s="76"/>
      <c r="B304" s="211" t="s">
        <v>199</v>
      </c>
      <c r="E304" s="28"/>
      <c r="F304" s="28"/>
      <c r="G304" s="28"/>
      <c r="H304" s="28"/>
      <c r="I304" s="28"/>
      <c r="J304" s="28"/>
    </row>
    <row r="305" spans="1:10" x14ac:dyDescent="0.4">
      <c r="A305" s="76"/>
      <c r="B305" s="219" t="s">
        <v>91</v>
      </c>
      <c r="E305" s="28">
        <f t="shared" ref="E305:J305" si="14">+E300/E302</f>
        <v>0.33828068196022659</v>
      </c>
      <c r="F305" s="28">
        <f t="shared" si="14"/>
        <v>0.40882722979999486</v>
      </c>
      <c r="G305" s="28">
        <f t="shared" si="14"/>
        <v>0.37111530625937927</v>
      </c>
      <c r="H305" s="28">
        <f t="shared" si="14"/>
        <v>0.35706729970094747</v>
      </c>
      <c r="I305" s="28">
        <f t="shared" si="14"/>
        <v>0.33658960022177747</v>
      </c>
      <c r="J305" s="28">
        <f t="shared" si="14"/>
        <v>0.39363038143660589</v>
      </c>
    </row>
    <row r="306" spans="1:10" x14ac:dyDescent="0.4">
      <c r="A306" s="76"/>
      <c r="B306" s="219" t="s">
        <v>88</v>
      </c>
      <c r="E306" s="28">
        <f t="shared" ref="E306:J306" si="15">+E301/E302</f>
        <v>0.66171931803977335</v>
      </c>
      <c r="F306" s="28">
        <f t="shared" si="15"/>
        <v>0.59117277020000514</v>
      </c>
      <c r="G306" s="28">
        <f t="shared" si="15"/>
        <v>0.62888469374062062</v>
      </c>
      <c r="H306" s="28">
        <f t="shared" si="15"/>
        <v>0.64293270029905247</v>
      </c>
      <c r="I306" s="28">
        <f t="shared" si="15"/>
        <v>0.66341039977822258</v>
      </c>
      <c r="J306" s="28">
        <f t="shared" si="15"/>
        <v>0.60636961856339422</v>
      </c>
    </row>
    <row r="307" spans="1:10" x14ac:dyDescent="0.4">
      <c r="A307" s="76"/>
      <c r="B307" s="219"/>
      <c r="E307" s="28"/>
      <c r="F307" s="28"/>
      <c r="G307" s="28"/>
      <c r="H307" s="28"/>
      <c r="I307" s="28"/>
      <c r="J307" s="28"/>
    </row>
    <row r="308" spans="1:10" x14ac:dyDescent="0.4">
      <c r="A308" s="77" t="s">
        <v>202</v>
      </c>
      <c r="B308" s="78" t="s">
        <v>203</v>
      </c>
      <c r="G308" s="319"/>
    </row>
    <row r="309" spans="1:10" x14ac:dyDescent="0.4">
      <c r="A309" s="76"/>
      <c r="C309" s="44"/>
      <c r="D309" s="44"/>
    </row>
    <row r="310" spans="1:10" x14ac:dyDescent="0.4">
      <c r="A310" s="76"/>
      <c r="B310" s="78" t="s">
        <v>204</v>
      </c>
      <c r="C310" s="44"/>
      <c r="D310" s="44"/>
    </row>
    <row r="311" spans="1:10" x14ac:dyDescent="0.4">
      <c r="A311" s="76"/>
      <c r="B311" s="212" t="s">
        <v>205</v>
      </c>
      <c r="C311" s="21">
        <f>J276</f>
        <v>1296794.5867297605</v>
      </c>
    </row>
    <row r="312" spans="1:10" x14ac:dyDescent="0.4">
      <c r="A312" s="76"/>
      <c r="B312" s="78" t="s">
        <v>206</v>
      </c>
      <c r="C312" s="21"/>
      <c r="E312" s="80" t="str">
        <f>+E$13</f>
        <v>RT{1}</v>
      </c>
      <c r="F312" s="80" t="str">
        <f>+F$13</f>
        <v>RS{2}</v>
      </c>
      <c r="G312" s="80" t="str">
        <f>+G$13</f>
        <v>GS{3}</v>
      </c>
      <c r="H312" s="102" t="str">
        <f>+H$58</f>
        <v>GST {4}</v>
      </c>
      <c r="I312" s="80" t="str">
        <f>+I$13</f>
        <v>OL/SL</v>
      </c>
      <c r="J312" s="80" t="s">
        <v>44</v>
      </c>
    </row>
    <row r="313" spans="1:10" x14ac:dyDescent="0.4">
      <c r="A313" s="76"/>
      <c r="B313" s="211" t="s">
        <v>91</v>
      </c>
      <c r="C313" s="21"/>
      <c r="E313" s="290">
        <f>ROUND(SUM(E65:E68)*E95,0)</f>
        <v>74070</v>
      </c>
      <c r="F313" s="290">
        <f>ROUND(SUM(F65:F68)*F95,0)</f>
        <v>4216714</v>
      </c>
      <c r="G313" s="290">
        <f>ROUND(SUM(G65:G68)*G95,0)</f>
        <v>2209977</v>
      </c>
      <c r="H313" s="290">
        <f>ROUND(SUM(H65:H68)*H95,0)</f>
        <v>73503</v>
      </c>
      <c r="I313" s="290">
        <f>ROUND(SUM(I65:I68)*I95,0)</f>
        <v>42895</v>
      </c>
      <c r="J313" s="290">
        <f>SUM(E313:I313)</f>
        <v>6617159</v>
      </c>
    </row>
    <row r="314" spans="1:10" x14ac:dyDescent="0.4">
      <c r="A314" s="76"/>
      <c r="B314" s="247" t="s">
        <v>88</v>
      </c>
      <c r="C314" s="21"/>
      <c r="E314" s="290">
        <f>ROUND((E72-SUM(E65:E68))*E95,0)</f>
        <v>150911</v>
      </c>
      <c r="F314" s="290">
        <f>ROUND((F72-SUM(F65:F68))*F95,0)</f>
        <v>5927348</v>
      </c>
      <c r="G314" s="290">
        <f>ROUND((G72-SUM(G65:G68))*G95,0)</f>
        <v>3886801</v>
      </c>
      <c r="H314" s="290">
        <f>ROUND((H72-SUM(H65:H68))*H95,0)</f>
        <v>140727</v>
      </c>
      <c r="I314" s="290">
        <f>ROUND((I72-SUM(I65:I68))*I95,0)</f>
        <v>85786</v>
      </c>
      <c r="J314" s="290">
        <f>SUM(E314:I314)</f>
        <v>10191573</v>
      </c>
    </row>
    <row r="315" spans="1:10" x14ac:dyDescent="0.4">
      <c r="A315" s="76"/>
      <c r="C315" s="212"/>
      <c r="D315" s="44"/>
      <c r="J315" s="226"/>
    </row>
    <row r="316" spans="1:10" x14ac:dyDescent="0.4">
      <c r="A316" s="76"/>
      <c r="B316" s="78" t="s">
        <v>428</v>
      </c>
      <c r="C316" s="212"/>
      <c r="D316" s="371" t="s">
        <v>207</v>
      </c>
      <c r="E316" s="95" t="s">
        <v>208</v>
      </c>
    </row>
    <row r="317" spans="1:10" x14ac:dyDescent="0.4">
      <c r="A317" s="76"/>
      <c r="B317" s="108" t="s">
        <v>209</v>
      </c>
      <c r="D317" s="96" t="s">
        <v>210</v>
      </c>
      <c r="E317" s="372">
        <v>77.150000000000006</v>
      </c>
      <c r="F317" s="96" t="s">
        <v>211</v>
      </c>
      <c r="G317" s="96" t="s">
        <v>212</v>
      </c>
    </row>
    <row r="318" spans="1:10" x14ac:dyDescent="0.4">
      <c r="A318" s="76"/>
      <c r="B318" s="211" t="s">
        <v>213</v>
      </c>
      <c r="C318" s="212"/>
      <c r="D318" s="373">
        <v>1</v>
      </c>
      <c r="E318" s="372">
        <f>ROUND($E$317*D318,3)</f>
        <v>77.150000000000006</v>
      </c>
      <c r="F318" s="226">
        <f>J313</f>
        <v>6617159</v>
      </c>
      <c r="G318" s="21">
        <f>ROUND(F318*E318/1000,0)</f>
        <v>510514</v>
      </c>
    </row>
    <row r="319" spans="1:10" ht="14.7" x14ac:dyDescent="0.7">
      <c r="A319" s="76"/>
      <c r="B319" s="211" t="s">
        <v>214</v>
      </c>
      <c r="C319" s="212"/>
      <c r="D319" s="373">
        <v>1</v>
      </c>
      <c r="E319" s="372">
        <f>ROUND($E$317*D319,3)</f>
        <v>77.150000000000006</v>
      </c>
      <c r="F319" s="226">
        <f>J314</f>
        <v>10191573</v>
      </c>
      <c r="G319" s="14">
        <f>ROUND(F319*E319/1000,0)</f>
        <v>786280</v>
      </c>
    </row>
    <row r="320" spans="1:10" x14ac:dyDescent="0.4">
      <c r="A320" s="76"/>
      <c r="B320" s="211" t="s">
        <v>215</v>
      </c>
      <c r="C320" s="212"/>
      <c r="D320" s="44"/>
      <c r="G320" s="319">
        <f>SUM(G318:G319)</f>
        <v>1296794</v>
      </c>
    </row>
    <row r="321" spans="1:15" x14ac:dyDescent="0.4">
      <c r="A321" s="76"/>
      <c r="C321" s="212"/>
      <c r="D321" s="44"/>
    </row>
    <row r="322" spans="1:15" x14ac:dyDescent="0.4">
      <c r="A322" s="77" t="s">
        <v>216</v>
      </c>
      <c r="B322" s="78" t="s">
        <v>217</v>
      </c>
      <c r="C322" s="212"/>
      <c r="D322" s="44"/>
      <c r="F322" s="219" t="s">
        <v>207</v>
      </c>
      <c r="G322" s="219" t="s">
        <v>218</v>
      </c>
      <c r="H322" s="219"/>
    </row>
    <row r="323" spans="1:15" x14ac:dyDescent="0.4">
      <c r="A323" s="76"/>
      <c r="F323" s="219" t="s">
        <v>219</v>
      </c>
      <c r="G323" s="219" t="s">
        <v>210</v>
      </c>
      <c r="H323" s="219" t="s">
        <v>218</v>
      </c>
    </row>
    <row r="324" spans="1:15" x14ac:dyDescent="0.4">
      <c r="A324" s="76"/>
      <c r="B324" s="211" t="s">
        <v>220</v>
      </c>
      <c r="F324" s="96" t="s">
        <v>212</v>
      </c>
      <c r="G324" s="96" t="s">
        <v>221</v>
      </c>
      <c r="H324" s="96" t="s">
        <v>210</v>
      </c>
      <c r="I324" s="95"/>
    </row>
    <row r="325" spans="1:15" x14ac:dyDescent="0.4">
      <c r="A325" s="76"/>
      <c r="B325" s="219" t="s">
        <v>91</v>
      </c>
      <c r="C325" s="32">
        <f>J274*1000/J313</f>
        <v>77.150092453180619</v>
      </c>
      <c r="D325" s="211" t="s">
        <v>222</v>
      </c>
      <c r="F325" s="221">
        <f>E318</f>
        <v>77.150000000000006</v>
      </c>
      <c r="G325" s="373">
        <f>E318/C325</f>
        <v>0.99999880164523891</v>
      </c>
      <c r="H325" s="374">
        <v>1.3912100000000001</v>
      </c>
      <c r="M325" s="381"/>
    </row>
    <row r="326" spans="1:15" x14ac:dyDescent="0.4">
      <c r="A326" s="76"/>
      <c r="B326" s="219" t="s">
        <v>88</v>
      </c>
      <c r="C326" s="32">
        <f>J275*1000/J314</f>
        <v>77.150029549154439</v>
      </c>
      <c r="D326" s="211" t="s">
        <v>222</v>
      </c>
      <c r="F326" s="221">
        <f>E319</f>
        <v>77.150000000000006</v>
      </c>
      <c r="G326" s="373">
        <f>E319/C326</f>
        <v>0.99999961699101603</v>
      </c>
      <c r="H326" s="374">
        <v>1.118762</v>
      </c>
      <c r="M326" s="381"/>
    </row>
    <row r="327" spans="1:15" x14ac:dyDescent="0.4">
      <c r="A327" s="76"/>
      <c r="B327" s="219"/>
      <c r="C327" s="32"/>
      <c r="H327" s="80"/>
      <c r="I327" s="33"/>
      <c r="M327" s="78"/>
      <c r="N327" s="33"/>
      <c r="O327" s="33"/>
    </row>
    <row r="328" spans="1:15" x14ac:dyDescent="0.4">
      <c r="A328" s="78" t="s">
        <v>223</v>
      </c>
      <c r="E328" s="20"/>
      <c r="F328" s="106"/>
    </row>
    <row r="329" spans="1:15" x14ac:dyDescent="0.4">
      <c r="A329" s="76"/>
      <c r="B329" s="212" t="s">
        <v>224</v>
      </c>
      <c r="C329" s="362">
        <f>E177</f>
        <v>129.41800000000001</v>
      </c>
      <c r="D329" s="349" t="s">
        <v>225</v>
      </c>
      <c r="E329" s="20"/>
      <c r="F329" s="106"/>
    </row>
    <row r="330" spans="1:15" x14ac:dyDescent="0.4">
      <c r="A330" s="76"/>
      <c r="B330" s="212"/>
      <c r="C330" s="362">
        <f>E178</f>
        <v>129.41800000000001</v>
      </c>
      <c r="D330" s="349" t="s">
        <v>226</v>
      </c>
      <c r="E330" s="20"/>
      <c r="F330" s="106"/>
    </row>
    <row r="331" spans="1:15" x14ac:dyDescent="0.4">
      <c r="A331" s="76"/>
      <c r="B331" s="212" t="s">
        <v>227</v>
      </c>
      <c r="C331" s="319" t="s">
        <v>228</v>
      </c>
      <c r="D331" s="349"/>
      <c r="E331" s="20"/>
      <c r="F331" s="106"/>
    </row>
    <row r="332" spans="1:15" x14ac:dyDescent="0.4">
      <c r="A332" s="76"/>
      <c r="B332" s="212" t="s">
        <v>229</v>
      </c>
      <c r="C332" s="29">
        <f>+H171</f>
        <v>4</v>
      </c>
      <c r="D332" s="211" t="s">
        <v>230</v>
      </c>
      <c r="E332" s="20"/>
      <c r="F332" s="106"/>
    </row>
    <row r="333" spans="1:15" x14ac:dyDescent="0.4">
      <c r="A333" s="76"/>
      <c r="B333" s="212"/>
      <c r="C333" s="29">
        <f>+H172</f>
        <v>8</v>
      </c>
      <c r="D333" s="211" t="s">
        <v>231</v>
      </c>
      <c r="E333" s="20"/>
      <c r="F333" s="106"/>
    </row>
    <row r="334" spans="1:15" x14ac:dyDescent="0.4">
      <c r="A334" s="76"/>
      <c r="B334" s="212" t="s">
        <v>232</v>
      </c>
      <c r="C334" s="362">
        <f>+E191</f>
        <v>19.064</v>
      </c>
      <c r="D334" s="211" t="s">
        <v>233</v>
      </c>
      <c r="E334" s="20"/>
      <c r="F334" s="106"/>
    </row>
    <row r="335" spans="1:15" x14ac:dyDescent="0.4">
      <c r="A335" s="76"/>
      <c r="B335" s="212" t="s">
        <v>234</v>
      </c>
      <c r="C335" s="211" t="s">
        <v>235</v>
      </c>
      <c r="E335" s="20"/>
      <c r="F335" s="106"/>
    </row>
    <row r="336" spans="1:15" x14ac:dyDescent="0.4">
      <c r="A336" s="76"/>
      <c r="B336" s="212"/>
      <c r="C336" s="211" t="s">
        <v>431</v>
      </c>
      <c r="E336" s="20"/>
      <c r="F336" s="106"/>
    </row>
    <row r="337" spans="1:12" x14ac:dyDescent="0.4">
      <c r="A337" s="76"/>
      <c r="B337" s="212" t="s">
        <v>236</v>
      </c>
      <c r="C337" s="247" t="str">
        <f>'BGS PTY19 Cost Alloc'!C$308</f>
        <v xml:space="preserve"> forecasted 2020 energy use by class based upon PJM on/off % from 2017 through 2019 class load profiles</v>
      </c>
      <c r="E337" s="20"/>
      <c r="F337" s="106"/>
    </row>
    <row r="338" spans="1:12" x14ac:dyDescent="0.4">
      <c r="A338" s="76"/>
      <c r="B338" s="212"/>
      <c r="C338" s="247" t="str">
        <f>'BGS PTY19 Cost Alloc'!C$309</f>
        <v xml:space="preserve">   JCP&amp;L billing on/off % from 2020 forecasted billing determinants</v>
      </c>
      <c r="E338" s="20"/>
      <c r="F338" s="106"/>
    </row>
    <row r="339" spans="1:12" x14ac:dyDescent="0.4">
      <c r="A339" s="76"/>
      <c r="B339" s="212" t="s">
        <v>237</v>
      </c>
      <c r="C339" s="247" t="str">
        <f>'BGS PTY19 Cost Alloc'!C$310</f>
        <v xml:space="preserve"> class totals for 2020 excluding accounts required to take service under BGS-CIEP as of June 1, 2021</v>
      </c>
      <c r="E339" s="20"/>
      <c r="F339" s="106"/>
    </row>
    <row r="340" spans="1:12" x14ac:dyDescent="0.4">
      <c r="A340" s="76"/>
      <c r="B340" s="212" t="s">
        <v>238</v>
      </c>
      <c r="C340" s="211" t="s">
        <v>239</v>
      </c>
      <c r="E340" s="20"/>
      <c r="F340" s="106"/>
    </row>
    <row r="341" spans="1:12" x14ac:dyDescent="0.4">
      <c r="A341" s="76"/>
      <c r="B341" s="212" t="s">
        <v>240</v>
      </c>
      <c r="C341" s="211" t="s">
        <v>241</v>
      </c>
      <c r="E341" s="242"/>
      <c r="F341" s="106"/>
    </row>
    <row r="342" spans="1:12" x14ac:dyDescent="0.4">
      <c r="C342" s="211" t="s">
        <v>242</v>
      </c>
      <c r="E342" s="20"/>
      <c r="F342" s="106"/>
    </row>
    <row r="343" spans="1:12" x14ac:dyDescent="0.4">
      <c r="B343" s="212" t="s">
        <v>243</v>
      </c>
      <c r="C343" s="363" t="s">
        <v>244</v>
      </c>
      <c r="E343" s="20"/>
      <c r="F343" s="106"/>
    </row>
    <row r="344" spans="1:12" x14ac:dyDescent="0.4">
      <c r="A344" s="76"/>
      <c r="C344" s="363" t="s">
        <v>245</v>
      </c>
      <c r="E344" s="245"/>
    </row>
    <row r="345" spans="1:12" x14ac:dyDescent="0.4">
      <c r="C345" s="363" t="s">
        <v>246</v>
      </c>
    </row>
    <row r="346" spans="1:12" x14ac:dyDescent="0.4">
      <c r="A346" s="76"/>
      <c r="B346" s="212" t="s">
        <v>247</v>
      </c>
      <c r="C346" s="364" t="s">
        <v>248</v>
      </c>
      <c r="E346" s="348"/>
      <c r="F346" s="226"/>
    </row>
    <row r="347" spans="1:12" x14ac:dyDescent="0.4">
      <c r="A347" s="76"/>
      <c r="B347" s="211" t="str">
        <f>'BGS PTY19 Cost Alloc'!B319</f>
        <v xml:space="preserve"> </v>
      </c>
      <c r="C347" s="245"/>
      <c r="E347" s="348"/>
      <c r="F347" s="348"/>
    </row>
    <row r="352" spans="1:12" x14ac:dyDescent="0.4">
      <c r="L352" s="21"/>
    </row>
    <row r="361" spans="12:12" x14ac:dyDescent="0.4">
      <c r="L361" s="21"/>
    </row>
    <row r="362" spans="12:12" x14ac:dyDescent="0.4">
      <c r="L362" s="21"/>
    </row>
    <row r="363" spans="12:12" x14ac:dyDescent="0.4">
      <c r="L363" s="21"/>
    </row>
    <row r="364" spans="12:12" x14ac:dyDescent="0.4">
      <c r="L364" s="25"/>
    </row>
    <row r="365" spans="12:12" x14ac:dyDescent="0.4">
      <c r="L365" s="25"/>
    </row>
    <row r="366" spans="12:12" x14ac:dyDescent="0.4">
      <c r="L366" s="25"/>
    </row>
  </sheetData>
  <mergeCells count="16">
    <mergeCell ref="B53:L53"/>
    <mergeCell ref="B1:L1"/>
    <mergeCell ref="B2:L2"/>
    <mergeCell ref="B3:L3"/>
    <mergeCell ref="B5:L5"/>
    <mergeCell ref="B52:L52"/>
    <mergeCell ref="B236:L236"/>
    <mergeCell ref="B237:L237"/>
    <mergeCell ref="B283:L283"/>
    <mergeCell ref="B284:L284"/>
    <mergeCell ref="B103:L103"/>
    <mergeCell ref="B104:L104"/>
    <mergeCell ref="B143:L143"/>
    <mergeCell ref="B144:L144"/>
    <mergeCell ref="B206:L206"/>
    <mergeCell ref="B207:L207"/>
  </mergeCells>
  <pageMargins left="0.97" right="0.79" top="0.69" bottom="0.69" header="0.33" footer="0.5"/>
  <pageSetup scale="60" orientation="landscape" r:id="rId1"/>
  <headerFooter alignWithMargins="0">
    <oddFooter>&amp;L&amp;A&amp;CPage &amp;P of &amp;N&amp;R&amp;D</oddFooter>
  </headerFooter>
  <rowBreaks count="6" manualBreakCount="6">
    <brk id="51" max="11" man="1"/>
    <brk id="102" max="11" man="1"/>
    <brk id="142" max="11" man="1"/>
    <brk id="205" max="11" man="1"/>
    <brk id="235" max="11" man="1"/>
    <brk id="282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14088-7ADD-4660-8BF3-F35A09A272F8}">
  <dimension ref="A1:AY366"/>
  <sheetViews>
    <sheetView view="pageBreakPreview" zoomScale="60" zoomScaleNormal="72" workbookViewId="0"/>
  </sheetViews>
  <sheetFormatPr defaultColWidth="9.05859375" defaultRowHeight="12.7" x14ac:dyDescent="0.4"/>
  <cols>
    <col min="1" max="1" width="16.05859375" style="247" customWidth="1"/>
    <col min="2" max="2" width="27.87890625" style="211" customWidth="1"/>
    <col min="3" max="3" width="14.52734375" style="211" customWidth="1"/>
    <col min="4" max="4" width="12.52734375" style="211" customWidth="1"/>
    <col min="5" max="5" width="16.52734375" style="211" customWidth="1"/>
    <col min="6" max="6" width="16" style="211" customWidth="1"/>
    <col min="7" max="7" width="16.52734375" style="211" customWidth="1"/>
    <col min="8" max="8" width="15.46875" style="211" customWidth="1"/>
    <col min="9" max="9" width="14.05859375" style="211" customWidth="1"/>
    <col min="10" max="10" width="16.46875" style="211" customWidth="1"/>
    <col min="11" max="11" width="12.52734375" style="211" customWidth="1"/>
    <col min="12" max="12" width="16.52734375" style="211" customWidth="1"/>
    <col min="13" max="13" width="17" style="211" hidden="1" customWidth="1"/>
    <col min="14" max="14" width="15.05859375" style="211" hidden="1" customWidth="1"/>
    <col min="15" max="16" width="12.46875" style="211" hidden="1" customWidth="1"/>
    <col min="17" max="17" width="13.52734375" style="211" hidden="1" customWidth="1"/>
    <col min="18" max="18" width="14.46875" style="211" hidden="1" customWidth="1"/>
    <col min="19" max="19" width="14.87890625" style="211" hidden="1" customWidth="1"/>
    <col min="20" max="20" width="15.05859375" style="211" hidden="1" customWidth="1"/>
    <col min="21" max="21" width="14.05859375" style="211" hidden="1" customWidth="1"/>
    <col min="22" max="22" width="12.46875" style="211" hidden="1" customWidth="1"/>
    <col min="23" max="23" width="13.46875" style="211" hidden="1" customWidth="1"/>
    <col min="24" max="24" width="15.46875" style="211" hidden="1" customWidth="1"/>
    <col min="25" max="25" width="10.52734375" style="211" hidden="1" customWidth="1"/>
    <col min="26" max="26" width="11.52734375" style="211" hidden="1" customWidth="1"/>
    <col min="27" max="27" width="12.52734375" style="211" hidden="1" customWidth="1"/>
    <col min="28" max="28" width="13.46875" style="211" hidden="1" customWidth="1"/>
    <col min="29" max="29" width="11" style="211" hidden="1" customWidth="1"/>
    <col min="30" max="30" width="14.05859375" style="211" hidden="1" customWidth="1"/>
    <col min="31" max="31" width="9.87890625" style="211" hidden="1" customWidth="1"/>
    <col min="32" max="32" width="9.05859375" style="211" hidden="1" customWidth="1"/>
    <col min="33" max="33" width="12" style="211" hidden="1" customWidth="1"/>
    <col min="34" max="37" width="9.05859375" style="211" hidden="1" customWidth="1"/>
    <col min="38" max="38" width="9.46875" style="211" customWidth="1"/>
    <col min="39" max="46" width="9.05859375" style="211" customWidth="1"/>
    <col min="47" max="48" width="10.87890625" style="211" customWidth="1"/>
    <col min="49" max="49" width="12.46875" style="211" customWidth="1"/>
    <col min="50" max="50" width="10.87890625" style="211" customWidth="1"/>
    <col min="51" max="51" width="11.46875" style="211" customWidth="1"/>
    <col min="52" max="16384" width="9.05859375" style="211"/>
  </cols>
  <sheetData>
    <row r="1" spans="1:26" ht="15.35" x14ac:dyDescent="0.5">
      <c r="B1" s="382" t="s">
        <v>0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26" ht="15.35" x14ac:dyDescent="0.5">
      <c r="B2" s="382" t="s">
        <v>1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26" ht="15.35" x14ac:dyDescent="0.5">
      <c r="B3" s="382" t="str">
        <f>'BGS PTY19 Cost Alloc'!$B$3</f>
        <v>2021 BGS Auction Cost and Bid Factor Tables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4" spans="1:26" ht="15.35" x14ac:dyDescent="0.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26" ht="15.35" x14ac:dyDescent="0.5">
      <c r="B5" s="382" t="s">
        <v>249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</row>
    <row r="6" spans="1:26" x14ac:dyDescent="0.4">
      <c r="L6" s="365" t="s">
        <v>3</v>
      </c>
    </row>
    <row r="8" spans="1:26" ht="15.35" x14ac:dyDescent="0.5">
      <c r="B8" s="86" t="s">
        <v>4</v>
      </c>
    </row>
    <row r="9" spans="1:26" x14ac:dyDescent="0.4">
      <c r="A9" s="87"/>
      <c r="B9" s="78" t="s">
        <v>5</v>
      </c>
    </row>
    <row r="10" spans="1:26" x14ac:dyDescent="0.4">
      <c r="E10" s="79" t="str">
        <f>'BGS PTY19 Cost Alloc'!$E$10</f>
        <v>Based on an average of 2017 through 2019 Load Profile Information</v>
      </c>
    </row>
    <row r="11" spans="1:26" x14ac:dyDescent="0.4">
      <c r="A11" s="77" t="s">
        <v>6</v>
      </c>
      <c r="B11" s="83" t="s">
        <v>7</v>
      </c>
      <c r="C11" s="248"/>
      <c r="E11" s="79" t="s">
        <v>8</v>
      </c>
      <c r="N11" s="83"/>
      <c r="Q11" s="83" t="s">
        <v>9</v>
      </c>
    </row>
    <row r="12" spans="1:26" ht="25.35" x14ac:dyDescent="0.4">
      <c r="A12" s="76"/>
      <c r="C12" s="88"/>
      <c r="D12" s="88"/>
      <c r="E12" s="88" t="s">
        <v>10</v>
      </c>
      <c r="F12" s="88" t="s">
        <v>10</v>
      </c>
      <c r="G12" s="88" t="s">
        <v>10</v>
      </c>
      <c r="H12" s="88" t="s">
        <v>10</v>
      </c>
      <c r="I12" s="88" t="s">
        <v>11</v>
      </c>
      <c r="K12" s="88"/>
      <c r="L12" s="88"/>
      <c r="M12" s="88"/>
      <c r="N12" s="79"/>
      <c r="O12" s="88"/>
      <c r="P12" s="88"/>
      <c r="Q12" s="88" t="s">
        <v>10</v>
      </c>
      <c r="R12" s="88" t="s">
        <v>10</v>
      </c>
      <c r="S12" s="88" t="s">
        <v>10</v>
      </c>
      <c r="T12" s="88" t="s">
        <v>10</v>
      </c>
      <c r="U12" s="88" t="s">
        <v>11</v>
      </c>
      <c r="W12" s="88"/>
      <c r="X12" s="88"/>
      <c r="Y12" s="88"/>
      <c r="Z12" s="88"/>
    </row>
    <row r="13" spans="1:26" x14ac:dyDescent="0.4">
      <c r="A13" s="76"/>
      <c r="B13" s="89" t="s">
        <v>12</v>
      </c>
      <c r="C13" s="80"/>
      <c r="D13" s="80"/>
      <c r="E13" s="80" t="s">
        <v>13</v>
      </c>
      <c r="F13" s="80" t="s">
        <v>14</v>
      </c>
      <c r="G13" s="80" t="s">
        <v>15</v>
      </c>
      <c r="H13" s="80" t="s">
        <v>16</v>
      </c>
      <c r="I13" s="80" t="s">
        <v>17</v>
      </c>
      <c r="J13" s="80"/>
      <c r="K13" s="80"/>
      <c r="L13" s="80"/>
      <c r="M13" s="80"/>
      <c r="N13" s="90"/>
      <c r="O13" s="80"/>
      <c r="P13" s="80"/>
      <c r="Q13" s="80" t="str">
        <f>+E13</f>
        <v>RT{1}</v>
      </c>
      <c r="R13" s="80" t="str">
        <f>+F13</f>
        <v>RS{2}</v>
      </c>
      <c r="S13" s="80" t="str">
        <f>+G13</f>
        <v>GS{3}</v>
      </c>
      <c r="T13" s="80" t="str">
        <f>+H13</f>
        <v>GST</v>
      </c>
      <c r="U13" s="80" t="str">
        <f>+I13</f>
        <v>OL/SL</v>
      </c>
      <c r="V13" s="80"/>
      <c r="W13" s="80"/>
      <c r="X13" s="80"/>
      <c r="Y13" s="80"/>
      <c r="Z13" s="80"/>
    </row>
    <row r="14" spans="1:26" x14ac:dyDescent="0.4">
      <c r="A14" s="76"/>
    </row>
    <row r="15" spans="1:26" x14ac:dyDescent="0.4">
      <c r="A15" s="76"/>
      <c r="B15" s="235" t="s">
        <v>18</v>
      </c>
      <c r="C15" s="25"/>
      <c r="D15" s="25"/>
      <c r="E15" s="34">
        <f>'BGS PTY19 Cost Alloc'!E15</f>
        <v>0.47939999999999999</v>
      </c>
      <c r="F15" s="34">
        <f>'BGS PTY19 Cost Alloc'!F15</f>
        <v>0.50639999999999996</v>
      </c>
      <c r="G15" s="34">
        <f>'BGS PTY19 Cost Alloc'!G15</f>
        <v>0.56850000000000001</v>
      </c>
      <c r="H15" s="34">
        <f>'BGS PTY19 Cost Alloc'!H15</f>
        <v>0.54759999999999998</v>
      </c>
      <c r="I15" s="34">
        <f>'BGS PTY19 Cost Alloc'!I15</f>
        <v>0.33100000000000002</v>
      </c>
      <c r="J15" s="25"/>
      <c r="K15" s="198"/>
      <c r="L15" s="198"/>
      <c r="M15" s="198"/>
      <c r="N15" s="205"/>
      <c r="O15" s="205"/>
      <c r="P15" s="205"/>
      <c r="Q15" s="205">
        <f t="shared" ref="Q15:U26" si="0">1-E15</f>
        <v>0.52059999999999995</v>
      </c>
      <c r="R15" s="205">
        <f t="shared" si="0"/>
        <v>0.49360000000000004</v>
      </c>
      <c r="S15" s="205">
        <f t="shared" si="0"/>
        <v>0.43149999999999999</v>
      </c>
      <c r="T15" s="205">
        <f t="shared" si="0"/>
        <v>0.45240000000000002</v>
      </c>
      <c r="U15" s="205">
        <f t="shared" si="0"/>
        <v>0.66900000000000004</v>
      </c>
      <c r="V15" s="205"/>
      <c r="W15" s="205"/>
      <c r="X15" s="205"/>
      <c r="Y15" s="205"/>
      <c r="Z15" s="205"/>
    </row>
    <row r="16" spans="1:26" x14ac:dyDescent="0.4">
      <c r="A16" s="76"/>
      <c r="B16" s="235" t="s">
        <v>19</v>
      </c>
      <c r="C16" s="25"/>
      <c r="D16" s="25"/>
      <c r="E16" s="34">
        <f>'BGS PTY19 Cost Alloc'!E16</f>
        <v>0.47899999999999998</v>
      </c>
      <c r="F16" s="34">
        <f>'BGS PTY19 Cost Alloc'!F16</f>
        <v>0.50590000000000002</v>
      </c>
      <c r="G16" s="34">
        <f>'BGS PTY19 Cost Alloc'!G16</f>
        <v>0.57499999999999996</v>
      </c>
      <c r="H16" s="34">
        <f>'BGS PTY19 Cost Alloc'!H16</f>
        <v>0.55400000000000005</v>
      </c>
      <c r="I16" s="34">
        <f>'BGS PTY19 Cost Alloc'!I16</f>
        <v>0.31019999999999998</v>
      </c>
      <c r="J16" s="25"/>
      <c r="K16" s="198"/>
      <c r="L16" s="198"/>
      <c r="M16" s="198"/>
      <c r="N16" s="205"/>
      <c r="O16" s="205"/>
      <c r="P16" s="205"/>
      <c r="Q16" s="205">
        <f t="shared" si="0"/>
        <v>0.52100000000000002</v>
      </c>
      <c r="R16" s="205">
        <f t="shared" si="0"/>
        <v>0.49409999999999998</v>
      </c>
      <c r="S16" s="205">
        <f t="shared" si="0"/>
        <v>0.42500000000000004</v>
      </c>
      <c r="T16" s="205">
        <f t="shared" si="0"/>
        <v>0.44599999999999995</v>
      </c>
      <c r="U16" s="205">
        <f t="shared" si="0"/>
        <v>0.68979999999999997</v>
      </c>
      <c r="V16" s="205"/>
      <c r="W16" s="205"/>
      <c r="X16" s="205"/>
      <c r="Y16" s="205"/>
      <c r="Z16" s="205"/>
    </row>
    <row r="17" spans="1:26" x14ac:dyDescent="0.4">
      <c r="A17" s="76"/>
      <c r="B17" s="235" t="s">
        <v>20</v>
      </c>
      <c r="C17" s="25"/>
      <c r="D17" s="25"/>
      <c r="E17" s="34">
        <f>'BGS PTY19 Cost Alloc'!E17</f>
        <v>0.4824</v>
      </c>
      <c r="F17" s="34">
        <f>'BGS PTY19 Cost Alloc'!F17</f>
        <v>0.50990000000000002</v>
      </c>
      <c r="G17" s="34">
        <f>'BGS PTY19 Cost Alloc'!G17</f>
        <v>0.58879999999999999</v>
      </c>
      <c r="H17" s="34">
        <f>'BGS PTY19 Cost Alloc'!H17</f>
        <v>0.54679999999999995</v>
      </c>
      <c r="I17" s="34">
        <f>'BGS PTY19 Cost Alloc'!I17</f>
        <v>0.3054</v>
      </c>
      <c r="J17" s="25"/>
      <c r="K17" s="198"/>
      <c r="L17" s="198"/>
      <c r="M17" s="198"/>
      <c r="N17" s="205"/>
      <c r="O17" s="205"/>
      <c r="P17" s="205"/>
      <c r="Q17" s="205">
        <f t="shared" si="0"/>
        <v>0.51760000000000006</v>
      </c>
      <c r="R17" s="205">
        <f t="shared" si="0"/>
        <v>0.49009999999999998</v>
      </c>
      <c r="S17" s="205">
        <f t="shared" si="0"/>
        <v>0.41120000000000001</v>
      </c>
      <c r="T17" s="205">
        <f t="shared" si="0"/>
        <v>0.45320000000000005</v>
      </c>
      <c r="U17" s="205">
        <f t="shared" si="0"/>
        <v>0.6946</v>
      </c>
      <c r="V17" s="205"/>
      <c r="W17" s="205"/>
      <c r="X17" s="205"/>
      <c r="Y17" s="205"/>
      <c r="Z17" s="205"/>
    </row>
    <row r="18" spans="1:26" x14ac:dyDescent="0.4">
      <c r="A18" s="76"/>
      <c r="B18" s="235" t="s">
        <v>21</v>
      </c>
      <c r="C18" s="25"/>
      <c r="D18" s="25"/>
      <c r="E18" s="34">
        <f>'BGS PTY19 Cost Alloc'!E18</f>
        <v>0.48449999999999999</v>
      </c>
      <c r="F18" s="34">
        <f>'BGS PTY19 Cost Alloc'!F18</f>
        <v>0.50270000000000004</v>
      </c>
      <c r="G18" s="34">
        <f>'BGS PTY19 Cost Alloc'!G18</f>
        <v>0.58799999999999997</v>
      </c>
      <c r="H18" s="34">
        <f>'BGS PTY19 Cost Alloc'!H18</f>
        <v>0.5524</v>
      </c>
      <c r="I18" s="34">
        <f>'BGS PTY19 Cost Alloc'!I18</f>
        <v>0.30349999999999999</v>
      </c>
      <c r="J18" s="25"/>
      <c r="K18" s="198"/>
      <c r="L18" s="198"/>
      <c r="M18" s="198"/>
      <c r="N18" s="205"/>
      <c r="O18" s="205"/>
      <c r="P18" s="205"/>
      <c r="Q18" s="205">
        <f t="shared" si="0"/>
        <v>0.51550000000000007</v>
      </c>
      <c r="R18" s="205">
        <f t="shared" si="0"/>
        <v>0.49729999999999996</v>
      </c>
      <c r="S18" s="205">
        <f t="shared" si="0"/>
        <v>0.41200000000000003</v>
      </c>
      <c r="T18" s="205">
        <f t="shared" si="0"/>
        <v>0.4476</v>
      </c>
      <c r="U18" s="205">
        <f t="shared" si="0"/>
        <v>0.69650000000000001</v>
      </c>
      <c r="V18" s="205"/>
      <c r="W18" s="205"/>
      <c r="X18" s="205"/>
      <c r="Y18" s="205"/>
      <c r="Z18" s="205"/>
    </row>
    <row r="19" spans="1:26" x14ac:dyDescent="0.4">
      <c r="A19" s="76"/>
      <c r="B19" s="235" t="s">
        <v>22</v>
      </c>
      <c r="C19" s="25"/>
      <c r="D19" s="25"/>
      <c r="E19" s="34">
        <f>'BGS PTY19 Cost Alloc'!E19</f>
        <v>0.49959999999999999</v>
      </c>
      <c r="F19" s="34">
        <f>'BGS PTY19 Cost Alloc'!F19</f>
        <v>0.52010000000000001</v>
      </c>
      <c r="G19" s="34">
        <f>'BGS PTY19 Cost Alloc'!G19</f>
        <v>0.60260000000000002</v>
      </c>
      <c r="H19" s="34">
        <f>'BGS PTY19 Cost Alloc'!H19</f>
        <v>0.57609999999999995</v>
      </c>
      <c r="I19" s="34">
        <f>'BGS PTY19 Cost Alloc'!I19</f>
        <v>0.30480000000000002</v>
      </c>
      <c r="J19" s="25"/>
      <c r="K19" s="198"/>
      <c r="L19" s="198"/>
      <c r="M19" s="198"/>
      <c r="N19" s="205"/>
      <c r="O19" s="205"/>
      <c r="P19" s="205"/>
      <c r="Q19" s="205">
        <f t="shared" si="0"/>
        <v>0.50039999999999996</v>
      </c>
      <c r="R19" s="205">
        <f t="shared" si="0"/>
        <v>0.47989999999999999</v>
      </c>
      <c r="S19" s="205">
        <f t="shared" si="0"/>
        <v>0.39739999999999998</v>
      </c>
      <c r="T19" s="205">
        <f t="shared" si="0"/>
        <v>0.42390000000000005</v>
      </c>
      <c r="U19" s="205">
        <f t="shared" si="0"/>
        <v>0.69520000000000004</v>
      </c>
      <c r="V19" s="205"/>
      <c r="W19" s="205"/>
      <c r="X19" s="205"/>
      <c r="Y19" s="205"/>
      <c r="Z19" s="205"/>
    </row>
    <row r="20" spans="1:26" x14ac:dyDescent="0.4">
      <c r="A20" s="76"/>
      <c r="B20" s="235" t="s">
        <v>23</v>
      </c>
      <c r="C20" s="25"/>
      <c r="D20" s="25"/>
      <c r="E20" s="34">
        <f>'BGS PTY19 Cost Alloc'!E20</f>
        <v>0.51549999999999996</v>
      </c>
      <c r="F20" s="34">
        <f>'BGS PTY19 Cost Alloc'!F20</f>
        <v>0.52139999999999997</v>
      </c>
      <c r="G20" s="34">
        <f>'BGS PTY19 Cost Alloc'!G20</f>
        <v>0.57830000000000004</v>
      </c>
      <c r="H20" s="34">
        <f>'BGS PTY19 Cost Alloc'!H20</f>
        <v>0.56779999999999997</v>
      </c>
      <c r="I20" s="34">
        <f>'BGS PTY19 Cost Alloc'!I20</f>
        <v>0.29139999999999999</v>
      </c>
      <c r="J20" s="25"/>
      <c r="K20" s="198"/>
      <c r="L20" s="198"/>
      <c r="M20" s="198"/>
      <c r="N20" s="205"/>
      <c r="O20" s="205"/>
      <c r="P20" s="205"/>
      <c r="Q20" s="205">
        <f t="shared" si="0"/>
        <v>0.48450000000000004</v>
      </c>
      <c r="R20" s="205">
        <f t="shared" si="0"/>
        <v>0.47860000000000003</v>
      </c>
      <c r="S20" s="205">
        <f t="shared" si="0"/>
        <v>0.42169999999999996</v>
      </c>
      <c r="T20" s="205">
        <f t="shared" si="0"/>
        <v>0.43220000000000003</v>
      </c>
      <c r="U20" s="205">
        <f t="shared" si="0"/>
        <v>0.70860000000000001</v>
      </c>
      <c r="V20" s="205"/>
      <c r="W20" s="205"/>
      <c r="X20" s="205"/>
      <c r="Y20" s="205"/>
      <c r="Z20" s="205"/>
    </row>
    <row r="21" spans="1:26" x14ac:dyDescent="0.4">
      <c r="A21" s="76"/>
      <c r="B21" s="235" t="s">
        <v>24</v>
      </c>
      <c r="C21" s="25"/>
      <c r="D21" s="25"/>
      <c r="E21" s="34">
        <f>'BGS PTY19 Cost Alloc'!E21</f>
        <v>0.50960000000000005</v>
      </c>
      <c r="F21" s="34">
        <f>'BGS PTY19 Cost Alloc'!F21</f>
        <v>0.50970000000000004</v>
      </c>
      <c r="G21" s="34">
        <f>'BGS PTY19 Cost Alloc'!G21</f>
        <v>0.5665</v>
      </c>
      <c r="H21" s="34">
        <f>'BGS PTY19 Cost Alloc'!H21</f>
        <v>0.54690000000000005</v>
      </c>
      <c r="I21" s="34">
        <f>'BGS PTY19 Cost Alloc'!I21</f>
        <v>0.27879999999999999</v>
      </c>
      <c r="J21" s="25"/>
      <c r="K21" s="198"/>
      <c r="L21" s="198"/>
      <c r="M21" s="198"/>
      <c r="N21" s="205"/>
      <c r="O21" s="205"/>
      <c r="P21" s="205"/>
      <c r="Q21" s="205">
        <f t="shared" si="0"/>
        <v>0.49039999999999995</v>
      </c>
      <c r="R21" s="205">
        <f t="shared" si="0"/>
        <v>0.49029999999999996</v>
      </c>
      <c r="S21" s="205">
        <f t="shared" si="0"/>
        <v>0.4335</v>
      </c>
      <c r="T21" s="205">
        <f t="shared" si="0"/>
        <v>0.45309999999999995</v>
      </c>
      <c r="U21" s="205">
        <f t="shared" si="0"/>
        <v>0.72120000000000006</v>
      </c>
      <c r="V21" s="205"/>
      <c r="W21" s="205"/>
      <c r="X21" s="205"/>
      <c r="Y21" s="205"/>
      <c r="Z21" s="205"/>
    </row>
    <row r="22" spans="1:26" x14ac:dyDescent="0.4">
      <c r="A22" s="76"/>
      <c r="B22" s="235" t="s">
        <v>25</v>
      </c>
      <c r="C22" s="25"/>
      <c r="D22" s="25"/>
      <c r="E22" s="34">
        <f>'BGS PTY19 Cost Alloc'!E22</f>
        <v>0.55400000000000005</v>
      </c>
      <c r="F22" s="34">
        <f>'BGS PTY19 Cost Alloc'!F22</f>
        <v>0.55510000000000004</v>
      </c>
      <c r="G22" s="34">
        <f>'BGS PTY19 Cost Alloc'!G22</f>
        <v>0.60399999999999998</v>
      </c>
      <c r="H22" s="34">
        <f>'BGS PTY19 Cost Alloc'!H22</f>
        <v>0.58540000000000003</v>
      </c>
      <c r="I22" s="34">
        <f>'BGS PTY19 Cost Alloc'!I22</f>
        <v>0.3095</v>
      </c>
      <c r="J22" s="25"/>
      <c r="K22" s="198"/>
      <c r="L22" s="198"/>
      <c r="M22" s="198"/>
      <c r="N22" s="205"/>
      <c r="O22" s="205"/>
      <c r="P22" s="205"/>
      <c r="Q22" s="205">
        <f t="shared" si="0"/>
        <v>0.44599999999999995</v>
      </c>
      <c r="R22" s="205">
        <f t="shared" si="0"/>
        <v>0.44489999999999996</v>
      </c>
      <c r="S22" s="205">
        <f t="shared" si="0"/>
        <v>0.39600000000000002</v>
      </c>
      <c r="T22" s="205">
        <f t="shared" si="0"/>
        <v>0.41459999999999997</v>
      </c>
      <c r="U22" s="205">
        <f t="shared" si="0"/>
        <v>0.6905</v>
      </c>
      <c r="V22" s="205"/>
      <c r="W22" s="205"/>
      <c r="X22" s="205"/>
      <c r="Y22" s="205"/>
      <c r="Z22" s="205"/>
    </row>
    <row r="23" spans="1:26" x14ac:dyDescent="0.4">
      <c r="A23" s="76"/>
      <c r="B23" s="235" t="s">
        <v>26</v>
      </c>
      <c r="C23" s="25"/>
      <c r="D23" s="25"/>
      <c r="E23" s="34">
        <f>'BGS PTY19 Cost Alloc'!E23</f>
        <v>0.45910000000000001</v>
      </c>
      <c r="F23" s="34">
        <f>'BGS PTY19 Cost Alloc'!F23</f>
        <v>0.46850000000000003</v>
      </c>
      <c r="G23" s="34">
        <f>'BGS PTY19 Cost Alloc'!G23</f>
        <v>0.56210000000000004</v>
      </c>
      <c r="H23" s="34">
        <f>'BGS PTY19 Cost Alloc'!H23</f>
        <v>0.54239999999999999</v>
      </c>
      <c r="I23" s="34">
        <f>'BGS PTY19 Cost Alloc'!I23</f>
        <v>0.29299999999999998</v>
      </c>
      <c r="J23" s="25"/>
      <c r="K23" s="198"/>
      <c r="L23" s="198"/>
      <c r="M23" s="198"/>
      <c r="N23" s="205"/>
      <c r="O23" s="205"/>
      <c r="P23" s="205"/>
      <c r="Q23" s="205">
        <f t="shared" si="0"/>
        <v>0.54089999999999994</v>
      </c>
      <c r="R23" s="205">
        <f t="shared" si="0"/>
        <v>0.53149999999999997</v>
      </c>
      <c r="S23" s="205">
        <f t="shared" si="0"/>
        <v>0.43789999999999996</v>
      </c>
      <c r="T23" s="205">
        <f t="shared" si="0"/>
        <v>0.45760000000000001</v>
      </c>
      <c r="U23" s="205">
        <f t="shared" si="0"/>
        <v>0.70700000000000007</v>
      </c>
      <c r="V23" s="205"/>
      <c r="W23" s="205"/>
      <c r="X23" s="205"/>
      <c r="Y23" s="205"/>
      <c r="Z23" s="205"/>
    </row>
    <row r="24" spans="1:26" x14ac:dyDescent="0.4">
      <c r="A24" s="76"/>
      <c r="B24" s="235" t="s">
        <v>27</v>
      </c>
      <c r="C24" s="25"/>
      <c r="D24" s="25"/>
      <c r="E24" s="34">
        <f>'BGS PTY19 Cost Alloc'!E24</f>
        <v>0.50360000000000005</v>
      </c>
      <c r="F24" s="34">
        <f>'BGS PTY19 Cost Alloc'!F24</f>
        <v>0.52669999999999995</v>
      </c>
      <c r="G24" s="34">
        <f>'BGS PTY19 Cost Alloc'!G24</f>
        <v>0.60609999999999997</v>
      </c>
      <c r="H24" s="34">
        <f>'BGS PTY19 Cost Alloc'!H24</f>
        <v>0.58120000000000005</v>
      </c>
      <c r="I24" s="34">
        <f>'BGS PTY19 Cost Alloc'!I24</f>
        <v>0.3407</v>
      </c>
      <c r="J24" s="25"/>
      <c r="K24" s="198"/>
      <c r="L24" s="198"/>
      <c r="M24" s="198"/>
      <c r="N24" s="205"/>
      <c r="O24" s="205"/>
      <c r="P24" s="205"/>
      <c r="Q24" s="205">
        <f t="shared" si="0"/>
        <v>0.49639999999999995</v>
      </c>
      <c r="R24" s="205">
        <f t="shared" si="0"/>
        <v>0.47330000000000005</v>
      </c>
      <c r="S24" s="205">
        <f t="shared" si="0"/>
        <v>0.39390000000000003</v>
      </c>
      <c r="T24" s="205">
        <f t="shared" si="0"/>
        <v>0.41879999999999995</v>
      </c>
      <c r="U24" s="205">
        <f t="shared" si="0"/>
        <v>0.6593</v>
      </c>
      <c r="V24" s="205"/>
      <c r="W24" s="205"/>
      <c r="X24" s="205"/>
      <c r="Y24" s="205"/>
      <c r="Z24" s="205"/>
    </row>
    <row r="25" spans="1:26" x14ac:dyDescent="0.4">
      <c r="A25" s="76"/>
      <c r="B25" s="235" t="s">
        <v>28</v>
      </c>
      <c r="C25" s="25"/>
      <c r="D25" s="25"/>
      <c r="E25" s="34">
        <f>'BGS PTY19 Cost Alloc'!E25</f>
        <v>0.45889999999999997</v>
      </c>
      <c r="F25" s="34">
        <f>'BGS PTY19 Cost Alloc'!F25</f>
        <v>0.49099999999999999</v>
      </c>
      <c r="G25" s="34">
        <f>'BGS PTY19 Cost Alloc'!G25</f>
        <v>0.57220000000000004</v>
      </c>
      <c r="H25" s="34">
        <f>'BGS PTY19 Cost Alloc'!H25</f>
        <v>0.5423</v>
      </c>
      <c r="I25" s="34">
        <f>'BGS PTY19 Cost Alloc'!I25</f>
        <v>0.32469999999999999</v>
      </c>
      <c r="J25" s="25"/>
      <c r="K25" s="198"/>
      <c r="L25" s="198"/>
      <c r="M25" s="198"/>
      <c r="N25" s="205"/>
      <c r="O25" s="205"/>
      <c r="P25" s="205"/>
      <c r="Q25" s="205">
        <f t="shared" si="0"/>
        <v>0.54110000000000003</v>
      </c>
      <c r="R25" s="205">
        <f t="shared" si="0"/>
        <v>0.50900000000000001</v>
      </c>
      <c r="S25" s="205">
        <f t="shared" si="0"/>
        <v>0.42779999999999996</v>
      </c>
      <c r="T25" s="205">
        <f t="shared" si="0"/>
        <v>0.4577</v>
      </c>
      <c r="U25" s="205">
        <f t="shared" si="0"/>
        <v>0.67530000000000001</v>
      </c>
      <c r="V25" s="205"/>
      <c r="W25" s="205"/>
      <c r="X25" s="205"/>
      <c r="Y25" s="205"/>
      <c r="Z25" s="205"/>
    </row>
    <row r="26" spans="1:26" x14ac:dyDescent="0.4">
      <c r="A26" s="76"/>
      <c r="B26" s="235" t="s">
        <v>29</v>
      </c>
      <c r="C26" s="25"/>
      <c r="D26" s="25"/>
      <c r="E26" s="34">
        <f>'BGS PTY19 Cost Alloc'!E26</f>
        <v>0.44529999999999997</v>
      </c>
      <c r="F26" s="34">
        <f>'BGS PTY19 Cost Alloc'!F26</f>
        <v>0.46700000000000003</v>
      </c>
      <c r="G26" s="34">
        <f>'BGS PTY19 Cost Alloc'!G26</f>
        <v>0.54069999999999996</v>
      </c>
      <c r="H26" s="34">
        <f>'BGS PTY19 Cost Alloc'!H26</f>
        <v>0.51339999999999997</v>
      </c>
      <c r="I26" s="34">
        <f>'BGS PTY19 Cost Alloc'!I26</f>
        <v>0.31390000000000001</v>
      </c>
      <c r="J26" s="25"/>
      <c r="K26" s="198"/>
      <c r="L26" s="198"/>
      <c r="M26" s="198"/>
      <c r="N26" s="205"/>
      <c r="O26" s="205"/>
      <c r="P26" s="205"/>
      <c r="Q26" s="205">
        <f t="shared" si="0"/>
        <v>0.55469999999999997</v>
      </c>
      <c r="R26" s="205">
        <f t="shared" si="0"/>
        <v>0.53299999999999992</v>
      </c>
      <c r="S26" s="205">
        <f t="shared" si="0"/>
        <v>0.45930000000000004</v>
      </c>
      <c r="T26" s="205">
        <f t="shared" si="0"/>
        <v>0.48660000000000003</v>
      </c>
      <c r="U26" s="205">
        <f t="shared" si="0"/>
        <v>0.68609999999999993</v>
      </c>
      <c r="V26" s="205"/>
      <c r="W26" s="205"/>
      <c r="X26" s="205"/>
      <c r="Y26" s="205"/>
      <c r="Z26" s="205"/>
    </row>
    <row r="27" spans="1:26" x14ac:dyDescent="0.4">
      <c r="A27" s="76"/>
      <c r="B27" s="235"/>
      <c r="C27" s="205"/>
      <c r="D27" s="205"/>
      <c r="E27" s="205"/>
      <c r="F27" s="205"/>
      <c r="G27" s="205"/>
      <c r="H27" s="205"/>
      <c r="I27" s="28"/>
      <c r="J27" s="28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</row>
    <row r="28" spans="1:26" x14ac:dyDescent="0.4">
      <c r="A28" s="76"/>
      <c r="B28" s="235"/>
      <c r="C28" s="205"/>
      <c r="D28" s="205"/>
      <c r="E28" s="205"/>
      <c r="F28" s="205"/>
      <c r="G28" s="205"/>
      <c r="H28" s="205"/>
      <c r="I28" s="28"/>
      <c r="J28" s="28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</row>
    <row r="29" spans="1:26" x14ac:dyDescent="0.4">
      <c r="A29" s="77" t="s">
        <v>30</v>
      </c>
      <c r="B29" s="83" t="s">
        <v>31</v>
      </c>
      <c r="C29" s="205"/>
      <c r="D29" s="205"/>
      <c r="E29" s="205"/>
      <c r="F29" s="10" t="s">
        <v>32</v>
      </c>
      <c r="G29" s="205"/>
      <c r="H29" s="205"/>
      <c r="I29" s="28"/>
      <c r="J29" s="28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</row>
    <row r="30" spans="1:26" ht="53.25" customHeight="1" x14ac:dyDescent="0.4">
      <c r="A30" s="76"/>
      <c r="C30" s="88"/>
      <c r="D30" s="88"/>
      <c r="E30" s="88" t="str">
        <f>'BGS PTY19 Cost Alloc'!$E$30</f>
        <v>2020 Forecasted Calendar Month Sales</v>
      </c>
      <c r="F30" s="88" t="s">
        <v>33</v>
      </c>
      <c r="G30" s="88" t="s">
        <v>33</v>
      </c>
      <c r="H30" s="88" t="str">
        <f>'BGS PTY19 Cost Alloc'!$E$30</f>
        <v>2020 Forecasted Calendar Month Sales</v>
      </c>
      <c r="I30" s="88" t="s">
        <v>33</v>
      </c>
      <c r="J30" s="88"/>
      <c r="K30" s="88"/>
      <c r="L30" s="88"/>
      <c r="M30" s="88"/>
      <c r="N30" s="79"/>
      <c r="O30" s="88"/>
      <c r="P30" s="88"/>
      <c r="Q30" s="88" t="str">
        <f>'BGS PTY19 Cost Alloc'!Q30</f>
        <v>2020 Forecasted Calendar Month Sales</v>
      </c>
      <c r="R30" s="88" t="s">
        <v>33</v>
      </c>
      <c r="S30" s="88" t="s">
        <v>33</v>
      </c>
      <c r="T30" s="88" t="str">
        <f>'BGS PTY19 Cost Alloc'!T30</f>
        <v>2020 Forecasted Calendar Month Sales</v>
      </c>
      <c r="U30" s="88" t="s">
        <v>33</v>
      </c>
      <c r="V30" s="88"/>
      <c r="W30" s="88"/>
      <c r="X30" s="88"/>
      <c r="Y30" s="88"/>
      <c r="Z30" s="88"/>
    </row>
    <row r="31" spans="1:26" x14ac:dyDescent="0.4">
      <c r="A31" s="76"/>
      <c r="B31" s="89" t="s">
        <v>12</v>
      </c>
      <c r="C31" s="80"/>
      <c r="D31" s="80"/>
      <c r="E31" s="80" t="str">
        <f>+E$13</f>
        <v>RT{1}</v>
      </c>
      <c r="F31" s="80" t="str">
        <f>+F$13</f>
        <v>RS{2}</v>
      </c>
      <c r="G31" s="80" t="str">
        <f>+G$13</f>
        <v>GS{3}</v>
      </c>
      <c r="H31" s="80" t="str">
        <f>+H$13</f>
        <v>GST</v>
      </c>
      <c r="I31" s="80" t="str">
        <f>+I$13</f>
        <v>OL/SL</v>
      </c>
      <c r="J31" s="80"/>
      <c r="K31" s="80"/>
      <c r="L31" s="80"/>
      <c r="M31" s="80"/>
      <c r="N31" s="90"/>
      <c r="O31" s="80"/>
      <c r="P31" s="80"/>
      <c r="Q31" s="80" t="str">
        <f>+Q$13</f>
        <v>RT{1}</v>
      </c>
      <c r="R31" s="80" t="str">
        <f>+R$13</f>
        <v>RS{2}</v>
      </c>
      <c r="S31" s="80" t="str">
        <f>+S$13</f>
        <v>GS{3}</v>
      </c>
      <c r="T31" s="80" t="str">
        <f>+T$13</f>
        <v>GST</v>
      </c>
      <c r="U31" s="80" t="str">
        <f>+U$13</f>
        <v>OL/SL</v>
      </c>
      <c r="V31" s="80"/>
      <c r="W31" s="80"/>
      <c r="X31" s="80"/>
      <c r="Y31" s="80"/>
      <c r="Z31" s="80"/>
    </row>
    <row r="32" spans="1:26" x14ac:dyDescent="0.4">
      <c r="A32" s="76"/>
    </row>
    <row r="33" spans="1:26" x14ac:dyDescent="0.4">
      <c r="A33" s="76"/>
      <c r="B33" s="235" t="s">
        <v>18</v>
      </c>
      <c r="C33" s="259"/>
      <c r="D33" s="260"/>
      <c r="E33" s="34">
        <f>'BGS PTY19 Cost Alloc'!E33</f>
        <v>0.35270000000000001</v>
      </c>
      <c r="F33" s="259" t="s">
        <v>34</v>
      </c>
      <c r="G33" s="259" t="s">
        <v>34</v>
      </c>
      <c r="H33" s="34">
        <f>'BGS PTY19 Cost Alloc'!H33</f>
        <v>0.42259999999999998</v>
      </c>
      <c r="I33" s="259" t="s">
        <v>34</v>
      </c>
      <c r="J33" s="259"/>
      <c r="K33" s="259"/>
      <c r="L33" s="205"/>
      <c r="M33" s="198"/>
      <c r="N33" s="205"/>
      <c r="O33" s="205"/>
      <c r="P33" s="205"/>
      <c r="Q33" s="205">
        <f t="shared" ref="Q33:Q44" si="1">1-E33</f>
        <v>0.64729999999999999</v>
      </c>
      <c r="R33" s="205"/>
      <c r="S33" s="205"/>
      <c r="T33" s="205">
        <f t="shared" ref="T33:T44" si="2">1-H33</f>
        <v>0.57740000000000002</v>
      </c>
      <c r="U33" s="205"/>
      <c r="V33" s="205"/>
      <c r="W33" s="205"/>
      <c r="X33" s="205"/>
      <c r="Y33" s="205"/>
      <c r="Z33" s="205"/>
    </row>
    <row r="34" spans="1:26" x14ac:dyDescent="0.4">
      <c r="A34" s="76"/>
      <c r="B34" s="235" t="s">
        <v>19</v>
      </c>
      <c r="C34" s="259"/>
      <c r="D34" s="260"/>
      <c r="E34" s="34">
        <f>'BGS PTY19 Cost Alloc'!E34</f>
        <v>0.34670000000000001</v>
      </c>
      <c r="F34" s="259" t="s">
        <v>34</v>
      </c>
      <c r="G34" s="259" t="s">
        <v>34</v>
      </c>
      <c r="H34" s="34">
        <f>'BGS PTY19 Cost Alloc'!H34</f>
        <v>0.43049999999999999</v>
      </c>
      <c r="I34" s="259" t="s">
        <v>34</v>
      </c>
      <c r="J34" s="259"/>
      <c r="K34" s="259"/>
      <c r="L34" s="205"/>
      <c r="M34" s="198"/>
      <c r="N34" s="205"/>
      <c r="O34" s="205"/>
      <c r="P34" s="205"/>
      <c r="Q34" s="205">
        <f t="shared" si="1"/>
        <v>0.65329999999999999</v>
      </c>
      <c r="R34" s="205"/>
      <c r="S34" s="205"/>
      <c r="T34" s="205">
        <f t="shared" si="2"/>
        <v>0.56950000000000001</v>
      </c>
      <c r="U34" s="205"/>
      <c r="V34" s="205"/>
      <c r="W34" s="205"/>
      <c r="X34" s="205"/>
      <c r="Y34" s="205"/>
      <c r="Z34" s="205"/>
    </row>
    <row r="35" spans="1:26" x14ac:dyDescent="0.4">
      <c r="A35" s="76"/>
      <c r="B35" s="235" t="s">
        <v>20</v>
      </c>
      <c r="C35" s="259"/>
      <c r="D35" s="260"/>
      <c r="E35" s="34">
        <f>'BGS PTY19 Cost Alloc'!E35</f>
        <v>0.34229999999999999</v>
      </c>
      <c r="F35" s="259" t="s">
        <v>34</v>
      </c>
      <c r="G35" s="259" t="s">
        <v>34</v>
      </c>
      <c r="H35" s="34">
        <f>'BGS PTY19 Cost Alloc'!H35</f>
        <v>0.43240000000000001</v>
      </c>
      <c r="I35" s="259" t="s">
        <v>34</v>
      </c>
      <c r="J35" s="259"/>
      <c r="K35" s="259"/>
      <c r="L35" s="205"/>
      <c r="M35" s="198"/>
      <c r="N35" s="205"/>
      <c r="O35" s="205"/>
      <c r="P35" s="205"/>
      <c r="Q35" s="205">
        <f t="shared" si="1"/>
        <v>0.65769999999999995</v>
      </c>
      <c r="R35" s="205"/>
      <c r="S35" s="205"/>
      <c r="T35" s="205">
        <f t="shared" si="2"/>
        <v>0.56759999999999999</v>
      </c>
      <c r="U35" s="205"/>
      <c r="V35" s="205"/>
      <c r="W35" s="205"/>
      <c r="X35" s="205"/>
      <c r="Y35" s="205"/>
      <c r="Z35" s="205"/>
    </row>
    <row r="36" spans="1:26" x14ac:dyDescent="0.4">
      <c r="A36" s="76"/>
      <c r="B36" s="235" t="s">
        <v>21</v>
      </c>
      <c r="C36" s="259"/>
      <c r="D36" s="260"/>
      <c r="E36" s="34">
        <f>'BGS PTY19 Cost Alloc'!E36</f>
        <v>0.34770000000000001</v>
      </c>
      <c r="F36" s="259" t="s">
        <v>34</v>
      </c>
      <c r="G36" s="259" t="s">
        <v>34</v>
      </c>
      <c r="H36" s="34">
        <f>'BGS PTY19 Cost Alloc'!H36</f>
        <v>0.44059999999999999</v>
      </c>
      <c r="I36" s="259" t="s">
        <v>34</v>
      </c>
      <c r="J36" s="259"/>
      <c r="K36" s="259"/>
      <c r="L36" s="205"/>
      <c r="M36" s="198"/>
      <c r="N36" s="205"/>
      <c r="O36" s="205"/>
      <c r="P36" s="205"/>
      <c r="Q36" s="205">
        <f t="shared" si="1"/>
        <v>0.65229999999999999</v>
      </c>
      <c r="R36" s="205"/>
      <c r="S36" s="205"/>
      <c r="T36" s="205">
        <f t="shared" si="2"/>
        <v>0.55940000000000001</v>
      </c>
      <c r="U36" s="205"/>
      <c r="V36" s="205"/>
      <c r="W36" s="205"/>
      <c r="X36" s="205"/>
      <c r="Y36" s="205"/>
      <c r="Z36" s="205"/>
    </row>
    <row r="37" spans="1:26" x14ac:dyDescent="0.4">
      <c r="A37" s="76"/>
      <c r="B37" s="235" t="s">
        <v>22</v>
      </c>
      <c r="C37" s="259"/>
      <c r="D37" s="260"/>
      <c r="E37" s="34">
        <f>'BGS PTY19 Cost Alloc'!E37</f>
        <v>0.36670000000000003</v>
      </c>
      <c r="F37" s="259" t="s">
        <v>34</v>
      </c>
      <c r="G37" s="259" t="s">
        <v>34</v>
      </c>
      <c r="H37" s="34">
        <f>'BGS PTY19 Cost Alloc'!H37</f>
        <v>0.44819999999999999</v>
      </c>
      <c r="I37" s="259" t="s">
        <v>34</v>
      </c>
      <c r="J37" s="259"/>
      <c r="K37" s="259"/>
      <c r="L37" s="205"/>
      <c r="M37" s="198"/>
      <c r="N37" s="205"/>
      <c r="O37" s="205"/>
      <c r="P37" s="205"/>
      <c r="Q37" s="205">
        <f t="shared" si="1"/>
        <v>0.63329999999999997</v>
      </c>
      <c r="R37" s="205"/>
      <c r="S37" s="205"/>
      <c r="T37" s="205">
        <f t="shared" si="2"/>
        <v>0.55180000000000007</v>
      </c>
      <c r="U37" s="205"/>
      <c r="V37" s="205"/>
      <c r="W37" s="205"/>
      <c r="X37" s="205"/>
      <c r="Y37" s="205"/>
      <c r="Z37" s="205"/>
    </row>
    <row r="38" spans="1:26" x14ac:dyDescent="0.4">
      <c r="A38" s="76"/>
      <c r="B38" s="235" t="s">
        <v>23</v>
      </c>
      <c r="C38" s="259"/>
      <c r="D38" s="260"/>
      <c r="E38" s="34">
        <f>'BGS PTY19 Cost Alloc'!E38</f>
        <v>0.3977</v>
      </c>
      <c r="F38" s="259" t="s">
        <v>34</v>
      </c>
      <c r="G38" s="259" t="s">
        <v>34</v>
      </c>
      <c r="H38" s="34">
        <f>'BGS PTY19 Cost Alloc'!H38</f>
        <v>0.46250000000000002</v>
      </c>
      <c r="I38" s="259" t="s">
        <v>34</v>
      </c>
      <c r="J38" s="259"/>
      <c r="K38" s="259"/>
      <c r="L38" s="205"/>
      <c r="M38" s="198"/>
      <c r="N38" s="205"/>
      <c r="O38" s="205"/>
      <c r="P38" s="205"/>
      <c r="Q38" s="205">
        <f t="shared" si="1"/>
        <v>0.60230000000000006</v>
      </c>
      <c r="R38" s="205"/>
      <c r="S38" s="205"/>
      <c r="T38" s="205">
        <f t="shared" si="2"/>
        <v>0.53749999999999998</v>
      </c>
      <c r="U38" s="205"/>
      <c r="V38" s="205"/>
      <c r="W38" s="205"/>
      <c r="X38" s="205"/>
      <c r="Y38" s="205"/>
      <c r="Z38" s="205"/>
    </row>
    <row r="39" spans="1:26" x14ac:dyDescent="0.4">
      <c r="A39" s="76"/>
      <c r="B39" s="235" t="s">
        <v>24</v>
      </c>
      <c r="C39" s="259"/>
      <c r="D39" s="260"/>
      <c r="E39" s="34">
        <f>'BGS PTY19 Cost Alloc'!E39</f>
        <v>0.41570000000000001</v>
      </c>
      <c r="F39" s="259" t="s">
        <v>34</v>
      </c>
      <c r="G39" s="259" t="s">
        <v>34</v>
      </c>
      <c r="H39" s="34">
        <f>'BGS PTY19 Cost Alloc'!H39</f>
        <v>0.46460000000000001</v>
      </c>
      <c r="I39" s="259" t="s">
        <v>34</v>
      </c>
      <c r="J39" s="259"/>
      <c r="K39" s="259"/>
      <c r="L39" s="205"/>
      <c r="M39" s="198"/>
      <c r="N39" s="205"/>
      <c r="O39" s="205"/>
      <c r="P39" s="205"/>
      <c r="Q39" s="205">
        <f t="shared" si="1"/>
        <v>0.58430000000000004</v>
      </c>
      <c r="R39" s="205"/>
      <c r="S39" s="205"/>
      <c r="T39" s="205">
        <f t="shared" si="2"/>
        <v>0.53539999999999999</v>
      </c>
      <c r="U39" s="205"/>
      <c r="V39" s="205"/>
      <c r="W39" s="205"/>
      <c r="X39" s="205"/>
      <c r="Y39" s="205"/>
      <c r="Z39" s="205"/>
    </row>
    <row r="40" spans="1:26" x14ac:dyDescent="0.4">
      <c r="A40" s="76"/>
      <c r="B40" s="235" t="s">
        <v>25</v>
      </c>
      <c r="C40" s="259"/>
      <c r="D40" s="260"/>
      <c r="E40" s="34">
        <f>'BGS PTY19 Cost Alloc'!E40</f>
        <v>0.41810000000000003</v>
      </c>
      <c r="F40" s="259" t="s">
        <v>34</v>
      </c>
      <c r="G40" s="259" t="s">
        <v>34</v>
      </c>
      <c r="H40" s="34">
        <f>'BGS PTY19 Cost Alloc'!H40</f>
        <v>0.46360000000000001</v>
      </c>
      <c r="I40" s="259" t="s">
        <v>34</v>
      </c>
      <c r="J40" s="259"/>
      <c r="K40" s="259"/>
      <c r="L40" s="205"/>
      <c r="M40" s="198"/>
      <c r="N40" s="205"/>
      <c r="O40" s="205"/>
      <c r="P40" s="205"/>
      <c r="Q40" s="205">
        <f t="shared" si="1"/>
        <v>0.58189999999999997</v>
      </c>
      <c r="R40" s="205"/>
      <c r="S40" s="205"/>
      <c r="T40" s="205">
        <f t="shared" si="2"/>
        <v>0.53639999999999999</v>
      </c>
      <c r="U40" s="205"/>
      <c r="V40" s="205"/>
      <c r="W40" s="205"/>
      <c r="X40" s="205"/>
      <c r="Y40" s="205"/>
      <c r="Z40" s="205"/>
    </row>
    <row r="41" spans="1:26" x14ac:dyDescent="0.4">
      <c r="A41" s="76"/>
      <c r="B41" s="235" t="s">
        <v>26</v>
      </c>
      <c r="C41" s="259"/>
      <c r="D41" s="260"/>
      <c r="E41" s="34">
        <f>'BGS PTY19 Cost Alloc'!E41</f>
        <v>0.40629999999999999</v>
      </c>
      <c r="F41" s="259" t="s">
        <v>34</v>
      </c>
      <c r="G41" s="259" t="s">
        <v>34</v>
      </c>
      <c r="H41" s="34">
        <f>'BGS PTY19 Cost Alloc'!H41</f>
        <v>0.45789999999999997</v>
      </c>
      <c r="I41" s="259" t="s">
        <v>34</v>
      </c>
      <c r="J41" s="259"/>
      <c r="K41" s="259"/>
      <c r="L41" s="205"/>
      <c r="M41" s="198"/>
      <c r="N41" s="205"/>
      <c r="O41" s="205"/>
      <c r="P41" s="205"/>
      <c r="Q41" s="205">
        <f t="shared" si="1"/>
        <v>0.59370000000000001</v>
      </c>
      <c r="R41" s="205"/>
      <c r="S41" s="205"/>
      <c r="T41" s="205">
        <f t="shared" si="2"/>
        <v>0.54210000000000003</v>
      </c>
      <c r="U41" s="205"/>
      <c r="V41" s="205"/>
      <c r="W41" s="205"/>
      <c r="X41" s="205"/>
      <c r="Y41" s="205"/>
      <c r="Z41" s="205"/>
    </row>
    <row r="42" spans="1:26" x14ac:dyDescent="0.4">
      <c r="A42" s="76"/>
      <c r="B42" s="235" t="s">
        <v>27</v>
      </c>
      <c r="C42" s="259"/>
      <c r="D42" s="260"/>
      <c r="E42" s="34">
        <f>'BGS PTY19 Cost Alloc'!E42</f>
        <v>0.37169999999999997</v>
      </c>
      <c r="F42" s="259" t="s">
        <v>34</v>
      </c>
      <c r="G42" s="259" t="s">
        <v>34</v>
      </c>
      <c r="H42" s="34">
        <f>'BGS PTY19 Cost Alloc'!H42</f>
        <v>0.46239999999999998</v>
      </c>
      <c r="I42" s="259" t="s">
        <v>34</v>
      </c>
      <c r="J42" s="259"/>
      <c r="K42" s="259"/>
      <c r="L42" s="205"/>
      <c r="M42" s="198"/>
      <c r="N42" s="205"/>
      <c r="O42" s="205"/>
      <c r="P42" s="205"/>
      <c r="Q42" s="205">
        <f t="shared" si="1"/>
        <v>0.62830000000000008</v>
      </c>
      <c r="R42" s="205"/>
      <c r="S42" s="205"/>
      <c r="T42" s="205">
        <f t="shared" si="2"/>
        <v>0.53760000000000008</v>
      </c>
      <c r="U42" s="205"/>
      <c r="V42" s="205"/>
      <c r="W42" s="205"/>
      <c r="X42" s="205"/>
      <c r="Y42" s="205"/>
      <c r="Z42" s="205"/>
    </row>
    <row r="43" spans="1:26" x14ac:dyDescent="0.4">
      <c r="A43" s="76"/>
      <c r="B43" s="235" t="s">
        <v>28</v>
      </c>
      <c r="C43" s="259"/>
      <c r="D43" s="260"/>
      <c r="E43" s="34">
        <f>'BGS PTY19 Cost Alloc'!E43</f>
        <v>0.35399999999999998</v>
      </c>
      <c r="F43" s="259" t="s">
        <v>34</v>
      </c>
      <c r="G43" s="259" t="s">
        <v>34</v>
      </c>
      <c r="H43" s="34">
        <f>'BGS PTY19 Cost Alloc'!H43</f>
        <v>0.44779999999999998</v>
      </c>
      <c r="I43" s="259" t="s">
        <v>34</v>
      </c>
      <c r="J43" s="259"/>
      <c r="K43" s="259"/>
      <c r="L43" s="205"/>
      <c r="M43" s="198"/>
      <c r="N43" s="205"/>
      <c r="O43" s="205"/>
      <c r="P43" s="205"/>
      <c r="Q43" s="205">
        <f t="shared" si="1"/>
        <v>0.64600000000000002</v>
      </c>
      <c r="R43" s="205"/>
      <c r="S43" s="205"/>
      <c r="T43" s="205">
        <f t="shared" si="2"/>
        <v>0.55220000000000002</v>
      </c>
      <c r="U43" s="205"/>
      <c r="V43" s="205"/>
      <c r="W43" s="205"/>
      <c r="X43" s="205"/>
      <c r="Y43" s="205"/>
      <c r="Z43" s="205"/>
    </row>
    <row r="44" spans="1:26" x14ac:dyDescent="0.4">
      <c r="A44" s="76"/>
      <c r="B44" s="235" t="s">
        <v>29</v>
      </c>
      <c r="C44" s="259"/>
      <c r="D44" s="260"/>
      <c r="E44" s="34">
        <f>'BGS PTY19 Cost Alloc'!E44</f>
        <v>0.35349999999999998</v>
      </c>
      <c r="F44" s="259" t="s">
        <v>34</v>
      </c>
      <c r="G44" s="259" t="s">
        <v>34</v>
      </c>
      <c r="H44" s="34">
        <f>'BGS PTY19 Cost Alloc'!H44</f>
        <v>0.4289</v>
      </c>
      <c r="I44" s="259" t="s">
        <v>34</v>
      </c>
      <c r="J44" s="259"/>
      <c r="K44" s="259"/>
      <c r="L44" s="205"/>
      <c r="M44" s="198"/>
      <c r="N44" s="205"/>
      <c r="O44" s="205"/>
      <c r="P44" s="205"/>
      <c r="Q44" s="205">
        <f t="shared" si="1"/>
        <v>0.64650000000000007</v>
      </c>
      <c r="R44" s="205"/>
      <c r="S44" s="205"/>
      <c r="T44" s="205">
        <f t="shared" si="2"/>
        <v>0.57109999999999994</v>
      </c>
      <c r="U44" s="205"/>
      <c r="V44" s="205"/>
      <c r="W44" s="205"/>
      <c r="X44" s="205"/>
      <c r="Y44" s="205"/>
      <c r="Z44" s="205"/>
    </row>
    <row r="45" spans="1:26" x14ac:dyDescent="0.4">
      <c r="A45" s="76"/>
      <c r="B45" s="235"/>
      <c r="C45" s="259"/>
      <c r="D45" s="259"/>
      <c r="E45" s="259"/>
      <c r="F45" s="259"/>
      <c r="G45" s="259"/>
      <c r="H45" s="259"/>
      <c r="I45" s="259"/>
      <c r="J45" s="259"/>
      <c r="K45" s="259"/>
      <c r="L45" s="205"/>
      <c r="M45" s="198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</row>
    <row r="46" spans="1:26" x14ac:dyDescent="0.4">
      <c r="A46" s="76"/>
      <c r="B46" s="274" t="s">
        <v>35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05"/>
      <c r="M46" s="198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</row>
    <row r="47" spans="1:26" x14ac:dyDescent="0.4">
      <c r="A47" s="76"/>
      <c r="B47" s="274" t="s">
        <v>36</v>
      </c>
      <c r="C47" s="205"/>
      <c r="D47" s="205"/>
      <c r="E47" s="205"/>
      <c r="F47" s="205"/>
      <c r="G47" s="205"/>
      <c r="H47" s="205"/>
      <c r="I47" s="28"/>
      <c r="J47" s="28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6" x14ac:dyDescent="0.4">
      <c r="A48" s="76"/>
      <c r="B48" s="274" t="s">
        <v>37</v>
      </c>
      <c r="C48" s="205"/>
      <c r="D48" s="205"/>
      <c r="E48" s="205"/>
      <c r="F48" s="205"/>
      <c r="G48" s="205"/>
      <c r="H48" s="205"/>
      <c r="I48" s="28"/>
      <c r="J48" s="28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</row>
    <row r="49" spans="1:33" x14ac:dyDescent="0.4">
      <c r="A49" s="76"/>
      <c r="B49" s="274" t="s">
        <v>38</v>
      </c>
      <c r="C49" s="205"/>
      <c r="D49" s="205"/>
      <c r="E49" s="205"/>
      <c r="F49" s="205"/>
      <c r="G49" s="205"/>
      <c r="H49" s="205"/>
      <c r="I49" s="28"/>
      <c r="J49" s="28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</row>
    <row r="50" spans="1:33" x14ac:dyDescent="0.4">
      <c r="A50" s="76"/>
      <c r="B50" s="274" t="s">
        <v>39</v>
      </c>
      <c r="C50" s="205"/>
      <c r="D50" s="205"/>
      <c r="E50" s="205"/>
      <c r="F50" s="205"/>
      <c r="G50" s="205"/>
      <c r="H50" s="205"/>
      <c r="I50" s="28"/>
      <c r="J50" s="28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</row>
    <row r="51" spans="1:33" x14ac:dyDescent="0.4">
      <c r="A51" s="76"/>
      <c r="B51" s="235"/>
      <c r="C51" s="205"/>
      <c r="D51" s="205"/>
      <c r="E51" s="205"/>
      <c r="F51" s="205"/>
      <c r="G51" s="205"/>
      <c r="H51" s="205"/>
      <c r="I51" s="28"/>
      <c r="J51" s="28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</row>
    <row r="52" spans="1:33" ht="15.35" x14ac:dyDescent="0.5">
      <c r="A52" s="76"/>
      <c r="B52" s="382" t="str">
        <f>$B$1</f>
        <v xml:space="preserve">Jersey Central Power &amp; Light </v>
      </c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</row>
    <row r="53" spans="1:33" ht="15.35" x14ac:dyDescent="0.5">
      <c r="A53" s="76"/>
      <c r="B53" s="382" t="str">
        <f>$B$2</f>
        <v>Attachment 2</v>
      </c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</row>
    <row r="54" spans="1:33" x14ac:dyDescent="0.4">
      <c r="A54" s="76"/>
      <c r="B54" s="235"/>
      <c r="C54" s="205"/>
      <c r="D54" s="205"/>
      <c r="E54" s="205"/>
      <c r="F54" s="205"/>
      <c r="G54" s="205"/>
      <c r="H54" s="205"/>
      <c r="I54" s="28"/>
      <c r="J54" s="28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</row>
    <row r="55" spans="1:33" x14ac:dyDescent="0.4">
      <c r="A55" s="76"/>
      <c r="B55" s="235"/>
      <c r="C55" s="205"/>
      <c r="D55" s="205"/>
      <c r="E55" s="205"/>
      <c r="F55" s="205"/>
      <c r="G55" s="205"/>
      <c r="H55" s="205"/>
      <c r="I55" s="28"/>
      <c r="J55" s="28"/>
      <c r="K55" s="205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W55" s="82" t="str">
        <f>'BGS PTY19 Cost Alloc'!Y55</f>
        <v>Forecast 2021 Delivery MWh</v>
      </c>
      <c r="X55" s="366"/>
      <c r="Y55" s="366"/>
      <c r="Z55" s="205"/>
    </row>
    <row r="56" spans="1:33" x14ac:dyDescent="0.4">
      <c r="A56" s="77" t="s">
        <v>40</v>
      </c>
      <c r="B56" s="82" t="s">
        <v>41</v>
      </c>
      <c r="E56" s="205"/>
      <c r="F56" s="205"/>
      <c r="G56" s="205"/>
      <c r="H56" s="205"/>
      <c r="I56" s="28"/>
      <c r="J56" s="28"/>
      <c r="O56" s="78"/>
      <c r="W56" s="78"/>
      <c r="X56" s="78"/>
      <c r="Z56" s="276" t="s">
        <v>42</v>
      </c>
    </row>
    <row r="57" spans="1:33" x14ac:dyDescent="0.4">
      <c r="A57" s="76"/>
      <c r="B57" s="91" t="str">
        <f>'BGS PTY19 Cost Alloc'!$B$57</f>
        <v>calendar month sales forecasted for 2021</v>
      </c>
      <c r="N57" s="277"/>
      <c r="O57" s="278"/>
      <c r="P57" s="278"/>
      <c r="Q57" s="278" t="s">
        <v>43</v>
      </c>
      <c r="R57" s="278"/>
      <c r="S57" s="278"/>
      <c r="T57" s="278"/>
      <c r="U57" s="279"/>
      <c r="W57" s="80" t="s">
        <v>44</v>
      </c>
    </row>
    <row r="58" spans="1:33" x14ac:dyDescent="0.4">
      <c r="A58" s="76"/>
      <c r="B58" s="79" t="s">
        <v>45</v>
      </c>
      <c r="C58" s="80"/>
      <c r="D58" s="80"/>
      <c r="E58" s="80" t="str">
        <f>+E$13</f>
        <v>RT{1}</v>
      </c>
      <c r="F58" s="80" t="str">
        <f>+F$13</f>
        <v>RS{2}</v>
      </c>
      <c r="G58" s="80" t="str">
        <f>+G$13</f>
        <v>GS{3}</v>
      </c>
      <c r="H58" s="80" t="s">
        <v>46</v>
      </c>
      <c r="I58" s="80" t="str">
        <f>+I$13</f>
        <v>OL/SL</v>
      </c>
      <c r="J58" s="80" t="s">
        <v>44</v>
      </c>
      <c r="K58" s="80"/>
      <c r="L58" s="80"/>
      <c r="M58" s="80" t="s">
        <v>47</v>
      </c>
      <c r="N58" s="92"/>
      <c r="O58" s="80"/>
      <c r="P58" s="80"/>
      <c r="Q58" s="80" t="str">
        <f>+Q$13</f>
        <v>RT{1}</v>
      </c>
      <c r="R58" s="80" t="str">
        <f>+R$13</f>
        <v>RS{2}</v>
      </c>
      <c r="S58" s="80" t="str">
        <f>+S$13</f>
        <v>GS{3}</v>
      </c>
      <c r="T58" s="80" t="str">
        <f>+T$13</f>
        <v>GST</v>
      </c>
      <c r="U58" s="93" t="str">
        <f>+U$13</f>
        <v>OL/SL</v>
      </c>
      <c r="V58" s="80"/>
      <c r="W58" s="80" t="s">
        <v>48</v>
      </c>
      <c r="X58" s="80" t="s">
        <v>49</v>
      </c>
      <c r="Y58" s="80" t="s">
        <v>50</v>
      </c>
      <c r="Z58" s="80" t="s">
        <v>51</v>
      </c>
      <c r="AA58" s="80" t="s">
        <v>52</v>
      </c>
      <c r="AB58" s="80" t="s">
        <v>53</v>
      </c>
      <c r="AC58" s="80" t="s">
        <v>54</v>
      </c>
      <c r="AD58" s="80" t="s">
        <v>54</v>
      </c>
      <c r="AG58" s="80" t="s">
        <v>16</v>
      </c>
    </row>
    <row r="59" spans="1:33" x14ac:dyDescent="0.4">
      <c r="A59" s="76"/>
      <c r="M59" s="78" t="s">
        <v>55</v>
      </c>
      <c r="N59" s="281"/>
      <c r="U59" s="282"/>
    </row>
    <row r="60" spans="1:33" x14ac:dyDescent="0.4">
      <c r="A60" s="76"/>
      <c r="B60" s="235" t="s">
        <v>18</v>
      </c>
      <c r="C60" s="226"/>
      <c r="D60" s="226"/>
      <c r="E60" s="226">
        <f>'BGS PTY19 Cost Alloc'!E60</f>
        <v>22142</v>
      </c>
      <c r="F60" s="226">
        <f>'BGS PTY19 Cost Alloc'!F60</f>
        <v>816952</v>
      </c>
      <c r="G60" s="226">
        <f>'BGS PTY19 Cost Alloc'!G60</f>
        <v>459648</v>
      </c>
      <c r="H60" s="226">
        <f>'BGS PTY19 Cost Alloc'!H60</f>
        <v>14965</v>
      </c>
      <c r="I60" s="226">
        <f>'BGS PTY19 Cost Alloc'!I60</f>
        <v>9591</v>
      </c>
      <c r="J60" s="226">
        <f t="shared" ref="J60:J72" si="3">SUM(E60:I60)</f>
        <v>1323298</v>
      </c>
      <c r="K60" s="226"/>
      <c r="L60" s="226"/>
      <c r="M60" s="226">
        <f t="shared" ref="M60:M71" si="4">E60-ROUND(SUM($W60/1000),0)</f>
        <v>21307</v>
      </c>
      <c r="N60" s="283" t="s">
        <v>56</v>
      </c>
      <c r="O60" s="284"/>
      <c r="P60" s="226"/>
      <c r="Q60" s="226">
        <f>SUM(E60:E64,E69:E71)</f>
        <v>134983</v>
      </c>
      <c r="R60" s="226">
        <f>SUM(F60:F64,F69:F71)</f>
        <v>5301746</v>
      </c>
      <c r="S60" s="226">
        <f>SUM(G60:G64,G69:G71)</f>
        <v>3476569</v>
      </c>
      <c r="T60" s="226">
        <f>SUM(H60:H64,H69:H71)</f>
        <v>125874</v>
      </c>
      <c r="U60" s="285">
        <f>SUM(I60:I64,I69:I71)</f>
        <v>76732</v>
      </c>
      <c r="V60" s="235">
        <f>'BGS PTY19 Cost Alloc'!V60</f>
        <v>44197</v>
      </c>
      <c r="W60" s="226">
        <f>'BGS PTY19 Cost Alloc'!W60</f>
        <v>835305.33333340008</v>
      </c>
      <c r="X60" s="226">
        <f>'BGS PTY19 Cost Alloc'!X60</f>
        <v>17031.333333400002</v>
      </c>
      <c r="Y60" s="226">
        <f t="shared" ref="Y60:Y71" si="5">W60-X60</f>
        <v>818274.00000000012</v>
      </c>
      <c r="Z60" s="226">
        <f>'BGS PTY19 Cost Alloc'!Z60</f>
        <v>1765042.4267481999</v>
      </c>
      <c r="AA60" s="226">
        <f>'BGS PTY19 Cost Alloc'!AA60</f>
        <v>21307.337336645403</v>
      </c>
      <c r="AB60" s="226">
        <f>'BGS PTY19 Cost Alloc'!AB60</f>
        <v>815187.26223660598</v>
      </c>
      <c r="AC60" s="226">
        <f>'BGS PTY19 Cost Alloc'!AC60</f>
        <v>459664.78718643199</v>
      </c>
      <c r="AD60" s="226">
        <f>'BGS PTY19 Cost Alloc'!AD60</f>
        <v>0</v>
      </c>
      <c r="AG60" s="226">
        <f>'BGS PTY19 Cost Alloc'!AG60</f>
        <v>14964.75863927</v>
      </c>
    </row>
    <row r="61" spans="1:33" x14ac:dyDescent="0.4">
      <c r="A61" s="76"/>
      <c r="B61" s="235" t="s">
        <v>19</v>
      </c>
      <c r="C61" s="226"/>
      <c r="D61" s="226"/>
      <c r="E61" s="226">
        <f>'BGS PTY19 Cost Alloc'!E61</f>
        <v>20768</v>
      </c>
      <c r="F61" s="226">
        <f>'BGS PTY19 Cost Alloc'!F61</f>
        <v>733590</v>
      </c>
      <c r="G61" s="226">
        <f>'BGS PTY19 Cost Alloc'!G61</f>
        <v>454143</v>
      </c>
      <c r="H61" s="226">
        <f>'BGS PTY19 Cost Alloc'!H61</f>
        <v>15573</v>
      </c>
      <c r="I61" s="226">
        <f>'BGS PTY19 Cost Alloc'!I61</f>
        <v>9591</v>
      </c>
      <c r="J61" s="226">
        <f t="shared" si="3"/>
        <v>1233665</v>
      </c>
      <c r="K61" s="226"/>
      <c r="L61" s="226"/>
      <c r="M61" s="226">
        <f t="shared" si="4"/>
        <v>19994</v>
      </c>
      <c r="N61" s="283"/>
      <c r="O61" s="284"/>
      <c r="P61" s="212" t="s">
        <v>57</v>
      </c>
      <c r="Q61" s="226">
        <f>SUMPRODUCT(E33:E37,M60:M64)+SUMPRODUCT(E42:E44,M69:M71)</f>
        <v>45543.3194</v>
      </c>
      <c r="S61" s="219" t="s">
        <v>58</v>
      </c>
      <c r="T61" s="226">
        <f>SUMPRODUCT(H33:H37,H60:H64)+SUMPRODUCT(H42:H44,H69:H71)</f>
        <v>55261.285100000001</v>
      </c>
      <c r="U61" s="282">
        <f>T61/T60</f>
        <v>0.43902064842620397</v>
      </c>
      <c r="V61" s="235">
        <f>'BGS PTY19 Cost Alloc'!V61</f>
        <v>44228</v>
      </c>
      <c r="W61" s="226">
        <f>'BGS PTY19 Cost Alloc'!W61</f>
        <v>773514.33333319996</v>
      </c>
      <c r="X61" s="226">
        <f>'BGS PTY19 Cost Alloc'!X61</f>
        <v>16190.666666599998</v>
      </c>
      <c r="Y61" s="226">
        <f t="shared" si="5"/>
        <v>757323.66666659992</v>
      </c>
      <c r="Z61" s="226">
        <f>'BGS PTY19 Cost Alloc'!Z61</f>
        <v>1695865.6894336999</v>
      </c>
      <c r="AA61" s="226">
        <f>'BGS PTY19 Cost Alloc'!AA61</f>
        <v>19994.198345899702</v>
      </c>
      <c r="AB61" s="226">
        <f>'BGS PTY19 Cost Alloc'!AB61</f>
        <v>731893.73229800106</v>
      </c>
      <c r="AC61" s="226">
        <f>'BGS PTY19 Cost Alloc'!AC61</f>
        <v>454159.32081368298</v>
      </c>
      <c r="AD61" s="226">
        <f>'BGS PTY19 Cost Alloc'!AD61</f>
        <v>0</v>
      </c>
      <c r="AG61" s="226">
        <f>'BGS PTY19 Cost Alloc'!AG61</f>
        <v>15572.745231027498</v>
      </c>
    </row>
    <row r="62" spans="1:33" x14ac:dyDescent="0.4">
      <c r="A62" s="76"/>
      <c r="B62" s="235" t="s">
        <v>20</v>
      </c>
      <c r="C62" s="226"/>
      <c r="D62" s="226"/>
      <c r="E62" s="226">
        <f>'BGS PTY19 Cost Alloc'!E62</f>
        <v>19458</v>
      </c>
      <c r="F62" s="226">
        <f>'BGS PTY19 Cost Alloc'!F62</f>
        <v>694392</v>
      </c>
      <c r="G62" s="226">
        <f>'BGS PTY19 Cost Alloc'!G62</f>
        <v>444625</v>
      </c>
      <c r="H62" s="226">
        <f>'BGS PTY19 Cost Alloc'!H62</f>
        <v>14660</v>
      </c>
      <c r="I62" s="226">
        <f>'BGS PTY19 Cost Alloc'!I62</f>
        <v>9591</v>
      </c>
      <c r="J62" s="226">
        <f t="shared" si="3"/>
        <v>1182726</v>
      </c>
      <c r="K62" s="226"/>
      <c r="L62" s="226"/>
      <c r="M62" s="226">
        <f t="shared" si="4"/>
        <v>18695</v>
      </c>
      <c r="N62" s="283"/>
      <c r="O62" s="284"/>
      <c r="P62" s="212" t="s">
        <v>59</v>
      </c>
      <c r="Q62" s="226">
        <f>SUMPRODUCT(Q33:Q37,M60:M64)+SUMPRODUCT(Q42:Q44,M69:M71)</f>
        <v>83561.680600000007</v>
      </c>
      <c r="S62" s="219" t="s">
        <v>60</v>
      </c>
      <c r="T62" s="226">
        <f>+T60-T61</f>
        <v>70612.714899999992</v>
      </c>
      <c r="U62" s="282"/>
      <c r="V62" s="235">
        <f>'BGS PTY19 Cost Alloc'!V62</f>
        <v>44256</v>
      </c>
      <c r="W62" s="226">
        <f>'BGS PTY19 Cost Alloc'!W62</f>
        <v>762524</v>
      </c>
      <c r="X62" s="226">
        <f>'BGS PTY19 Cost Alloc'!X62</f>
        <v>16807.333333299997</v>
      </c>
      <c r="Y62" s="226">
        <f t="shared" si="5"/>
        <v>745716.66666670004</v>
      </c>
      <c r="Z62" s="226">
        <f>'BGS PTY19 Cost Alloc'!Z62</f>
        <v>1518576.2878121</v>
      </c>
      <c r="AA62" s="226">
        <f>'BGS PTY19 Cost Alloc'!AA62</f>
        <v>18695.207039934798</v>
      </c>
      <c r="AB62" s="226">
        <f>'BGS PTY19 Cost Alloc'!AB62</f>
        <v>692873.01100558601</v>
      </c>
      <c r="AC62" s="226">
        <f>'BGS PTY19 Cost Alloc'!AC62</f>
        <v>444641.79602501</v>
      </c>
      <c r="AD62" s="226">
        <f>'BGS PTY19 Cost Alloc'!AD62</f>
        <v>0</v>
      </c>
      <c r="AG62" s="226">
        <f>'BGS PTY19 Cost Alloc'!AG62</f>
        <v>14659.9337027743</v>
      </c>
    </row>
    <row r="63" spans="1:33" x14ac:dyDescent="0.4">
      <c r="A63" s="76"/>
      <c r="B63" s="235" t="s">
        <v>21</v>
      </c>
      <c r="C63" s="226"/>
      <c r="D63" s="226"/>
      <c r="E63" s="226">
        <f>'BGS PTY19 Cost Alloc'!E63</f>
        <v>17588</v>
      </c>
      <c r="F63" s="226">
        <f>'BGS PTY19 Cost Alloc'!F63</f>
        <v>622304</v>
      </c>
      <c r="G63" s="226">
        <f>'BGS PTY19 Cost Alloc'!G63</f>
        <v>422724</v>
      </c>
      <c r="H63" s="226">
        <f>'BGS PTY19 Cost Alloc'!H63</f>
        <v>17191</v>
      </c>
      <c r="I63" s="226">
        <f>'BGS PTY19 Cost Alloc'!I63</f>
        <v>9591</v>
      </c>
      <c r="J63" s="226">
        <f t="shared" si="3"/>
        <v>1089398</v>
      </c>
      <c r="K63" s="226"/>
      <c r="L63" s="226"/>
      <c r="M63" s="226">
        <f t="shared" si="4"/>
        <v>16806</v>
      </c>
      <c r="N63" s="281"/>
      <c r="P63" s="212" t="s">
        <v>61</v>
      </c>
      <c r="Q63" s="226">
        <f>SUM(W60:W64,W69:W71)/1000</f>
        <v>5877.0313333332997</v>
      </c>
      <c r="U63" s="282"/>
      <c r="V63" s="235">
        <f>'BGS PTY19 Cost Alloc'!V63</f>
        <v>44287</v>
      </c>
      <c r="W63" s="226">
        <f>'BGS PTY19 Cost Alloc'!W63</f>
        <v>782029.66666670004</v>
      </c>
      <c r="X63" s="226">
        <f>'BGS PTY19 Cost Alloc'!X63</f>
        <v>15679.666666699999</v>
      </c>
      <c r="Y63" s="226">
        <f t="shared" si="5"/>
        <v>766350</v>
      </c>
      <c r="Z63" s="226">
        <f>'BGS PTY19 Cost Alloc'!Z63</f>
        <v>1254456.2899922</v>
      </c>
      <c r="AA63" s="226">
        <f>'BGS PTY19 Cost Alloc'!AA63</f>
        <v>16805.6496854457</v>
      </c>
      <c r="AB63" s="226">
        <f>'BGS PTY19 Cost Alloc'!AB63</f>
        <v>621050.23602456297</v>
      </c>
      <c r="AC63" s="226">
        <f>'BGS PTY19 Cost Alloc'!AC63</f>
        <v>422740.47596152505</v>
      </c>
      <c r="AD63" s="226">
        <f>'BGS PTY19 Cost Alloc'!AD63</f>
        <v>0</v>
      </c>
      <c r="AG63" s="226">
        <f>'BGS PTY19 Cost Alloc'!AG63</f>
        <v>17191.2134474013</v>
      </c>
    </row>
    <row r="64" spans="1:33" x14ac:dyDescent="0.4">
      <c r="A64" s="76"/>
      <c r="B64" s="235" t="s">
        <v>22</v>
      </c>
      <c r="C64" s="226"/>
      <c r="D64" s="226"/>
      <c r="E64" s="226">
        <f>'BGS PTY19 Cost Alloc'!E64</f>
        <v>13518</v>
      </c>
      <c r="F64" s="226">
        <f>'BGS PTY19 Cost Alloc'!F64</f>
        <v>575300</v>
      </c>
      <c r="G64" s="226">
        <f>'BGS PTY19 Cost Alloc'!G64</f>
        <v>402492</v>
      </c>
      <c r="H64" s="226">
        <f>'BGS PTY19 Cost Alloc'!H64</f>
        <v>16274</v>
      </c>
      <c r="I64" s="226">
        <f>'BGS PTY19 Cost Alloc'!I64</f>
        <v>9591</v>
      </c>
      <c r="J64" s="226">
        <f t="shared" si="3"/>
        <v>1017175</v>
      </c>
      <c r="K64" s="226"/>
      <c r="L64" s="226"/>
      <c r="M64" s="226">
        <f t="shared" si="4"/>
        <v>12764</v>
      </c>
      <c r="N64" s="283" t="s">
        <v>62</v>
      </c>
      <c r="O64" s="284"/>
      <c r="P64" s="226"/>
      <c r="Q64" s="226">
        <f>+SUM(E65:E68)</f>
        <v>66252</v>
      </c>
      <c r="R64" s="226">
        <f>+SUM(F65:F68)</f>
        <v>3771661</v>
      </c>
      <c r="S64" s="226">
        <f>+SUM(G65:G68)</f>
        <v>1976725</v>
      </c>
      <c r="T64" s="226">
        <f>+SUM(H65:H68)</f>
        <v>65745</v>
      </c>
      <c r="U64" s="285">
        <f>+SUM(I65:I68)</f>
        <v>38368</v>
      </c>
      <c r="V64" s="235">
        <f>'BGS PTY19 Cost Alloc'!V64</f>
        <v>44317</v>
      </c>
      <c r="W64" s="226">
        <f>'BGS PTY19 Cost Alloc'!W64</f>
        <v>753569.66666659992</v>
      </c>
      <c r="X64" s="226">
        <f>'BGS PTY19 Cost Alloc'!X64</f>
        <v>17137.333333299997</v>
      </c>
      <c r="Y64" s="226">
        <f t="shared" si="5"/>
        <v>736432.33333329996</v>
      </c>
      <c r="Z64" s="226">
        <f>'BGS PTY19 Cost Alloc'!Z64</f>
        <v>942306.53541420004</v>
      </c>
      <c r="AA64" s="226">
        <f>'BGS PTY19 Cost Alloc'!AA64</f>
        <v>12764.137949146099</v>
      </c>
      <c r="AB64" s="226">
        <f>'BGS PTY19 Cost Alloc'!AB64</f>
        <v>574358.45418210607</v>
      </c>
      <c r="AC64" s="226">
        <f>'BGS PTY19 Cost Alloc'!AC64</f>
        <v>402509.22522720497</v>
      </c>
      <c r="AD64" s="226">
        <f>'BGS PTY19 Cost Alloc'!AD64</f>
        <v>0</v>
      </c>
      <c r="AG64" s="226">
        <f>'BGS PTY19 Cost Alloc'!AG64</f>
        <v>16274.114462861105</v>
      </c>
    </row>
    <row r="65" spans="1:34" x14ac:dyDescent="0.4">
      <c r="A65" s="76"/>
      <c r="B65" s="235" t="s">
        <v>23</v>
      </c>
      <c r="C65" s="226"/>
      <c r="D65" s="226"/>
      <c r="E65" s="226">
        <f>'BGS PTY19 Cost Alloc'!E65</f>
        <v>14337</v>
      </c>
      <c r="F65" s="226">
        <f>'BGS PTY19 Cost Alloc'!F65</f>
        <v>723824</v>
      </c>
      <c r="G65" s="226">
        <f>'BGS PTY19 Cost Alloc'!G65</f>
        <v>450128</v>
      </c>
      <c r="H65" s="226">
        <f>'BGS PTY19 Cost Alloc'!H65</f>
        <v>16885</v>
      </c>
      <c r="I65" s="226">
        <f>'BGS PTY19 Cost Alloc'!I65</f>
        <v>9592</v>
      </c>
      <c r="J65" s="226">
        <f t="shared" si="3"/>
        <v>1214766</v>
      </c>
      <c r="K65" s="226"/>
      <c r="L65" s="226"/>
      <c r="M65" s="226">
        <f t="shared" si="4"/>
        <v>13623</v>
      </c>
      <c r="N65" s="283"/>
      <c r="O65" s="284"/>
      <c r="P65" s="290" t="s">
        <v>63</v>
      </c>
      <c r="Q65" s="226">
        <f>SUMPRODUCT(E38:E41,M65:M68)</f>
        <v>26180.203300000001</v>
      </c>
      <c r="R65" s="226">
        <f>'BGS PTY19 Cost Alloc'!R65</f>
        <v>2001184.2100860353</v>
      </c>
      <c r="S65" s="219" t="s">
        <v>58</v>
      </c>
      <c r="T65" s="226">
        <f>+SUMPRODUCT(H38:H41,H65:H68)</f>
        <v>30387.3639</v>
      </c>
      <c r="U65" s="367">
        <f>T65/T64</f>
        <v>0.46220037873602554</v>
      </c>
      <c r="V65" s="235">
        <f>'BGS PTY19 Cost Alloc'!V65</f>
        <v>44348</v>
      </c>
      <c r="W65" s="226">
        <f>'BGS PTY19 Cost Alloc'!W65</f>
        <v>714211.33333319984</v>
      </c>
      <c r="X65" s="226">
        <f>'BGS PTY19 Cost Alloc'!X65</f>
        <v>14597.666666599998</v>
      </c>
      <c r="Y65" s="226">
        <f t="shared" si="5"/>
        <v>699613.66666659981</v>
      </c>
      <c r="Z65" s="226">
        <f>'BGS PTY19 Cost Alloc'!Z65</f>
        <v>958170.39933430008</v>
      </c>
      <c r="AA65" s="226">
        <f>'BGS PTY19 Cost Alloc'!AA65</f>
        <v>12665.0697668962</v>
      </c>
      <c r="AB65" s="226">
        <f>'BGS PTY19 Cost Alloc'!AB65</f>
        <v>723823.84716710309</v>
      </c>
      <c r="AC65" s="226">
        <f>'BGS PTY19 Cost Alloc'!AC65</f>
        <v>450142.68585111602</v>
      </c>
      <c r="AD65" s="226">
        <f>'BGS PTY19 Cost Alloc'!AD65</f>
        <v>0</v>
      </c>
      <c r="AG65" s="226">
        <f>'BGS PTY19 Cost Alloc'!AG65</f>
        <v>16885.067081431895</v>
      </c>
    </row>
    <row r="66" spans="1:34" x14ac:dyDescent="0.4">
      <c r="A66" s="76"/>
      <c r="B66" s="235" t="s">
        <v>24</v>
      </c>
      <c r="C66" s="226"/>
      <c r="D66" s="226"/>
      <c r="E66" s="226">
        <f>'BGS PTY19 Cost Alloc'!E66</f>
        <v>17436</v>
      </c>
      <c r="F66" s="226">
        <f>'BGS PTY19 Cost Alloc'!F66</f>
        <v>1009661</v>
      </c>
      <c r="G66" s="226">
        <f>'BGS PTY19 Cost Alloc'!G66</f>
        <v>506831</v>
      </c>
      <c r="H66" s="226">
        <f>'BGS PTY19 Cost Alloc'!H66</f>
        <v>17003</v>
      </c>
      <c r="I66" s="226">
        <f>'BGS PTY19 Cost Alloc'!I66</f>
        <v>9592</v>
      </c>
      <c r="J66" s="226">
        <f t="shared" si="3"/>
        <v>1560523</v>
      </c>
      <c r="K66" s="226"/>
      <c r="L66" s="226"/>
      <c r="M66" s="226">
        <f t="shared" si="4"/>
        <v>16819</v>
      </c>
      <c r="N66" s="283"/>
      <c r="O66" s="284"/>
      <c r="P66" s="290" t="s">
        <v>64</v>
      </c>
      <c r="Q66" s="226">
        <f>SUMPRODUCT(Q38:Q41,M65:M68)</f>
        <v>37624.796700000006</v>
      </c>
      <c r="R66" s="226">
        <f>'BGS PTY19 Cost Alloc'!R66</f>
        <v>1770476.7899139645</v>
      </c>
      <c r="S66" s="219" t="s">
        <v>60</v>
      </c>
      <c r="T66" s="226">
        <f>+T64-T65</f>
        <v>35357.636100000003</v>
      </c>
      <c r="U66" s="282"/>
      <c r="V66" s="235">
        <f>'BGS PTY19 Cost Alloc'!V66</f>
        <v>44378</v>
      </c>
      <c r="W66" s="226">
        <f>'BGS PTY19 Cost Alloc'!W66</f>
        <v>616807.99999989988</v>
      </c>
      <c r="X66" s="226">
        <f>'BGS PTY19 Cost Alloc'!X66</f>
        <v>13290</v>
      </c>
      <c r="Y66" s="226">
        <f t="shared" si="5"/>
        <v>603517.99999989988</v>
      </c>
      <c r="Z66" s="226">
        <f>'BGS PTY19 Cost Alloc'!Z66</f>
        <v>1130406.3633818</v>
      </c>
      <c r="AA66" s="226">
        <f>'BGS PTY19 Cost Alloc'!AA66</f>
        <v>15689.100177203498</v>
      </c>
      <c r="AB66" s="226">
        <f>'BGS PTY19 Cost Alloc'!AB66</f>
        <v>1009660.73545941</v>
      </c>
      <c r="AC66" s="226">
        <f>'BGS PTY19 Cost Alloc'!AC66</f>
        <v>506843.750143855</v>
      </c>
      <c r="AD66" s="226">
        <f>'BGS PTY19 Cost Alloc'!AD66</f>
        <v>0</v>
      </c>
      <c r="AG66" s="226">
        <f>'BGS PTY19 Cost Alloc'!AG66</f>
        <v>17003.2696142565</v>
      </c>
    </row>
    <row r="67" spans="1:34" x14ac:dyDescent="0.4">
      <c r="A67" s="76"/>
      <c r="B67" s="235" t="s">
        <v>25</v>
      </c>
      <c r="C67" s="226"/>
      <c r="D67" s="226"/>
      <c r="E67" s="226">
        <f>'BGS PTY19 Cost Alloc'!E67</f>
        <v>18793</v>
      </c>
      <c r="F67" s="226">
        <f>'BGS PTY19 Cost Alloc'!F67</f>
        <v>1124675</v>
      </c>
      <c r="G67" s="226">
        <f>'BGS PTY19 Cost Alloc'!G67</f>
        <v>519909</v>
      </c>
      <c r="H67" s="226">
        <f>'BGS PTY19 Cost Alloc'!H67</f>
        <v>15989</v>
      </c>
      <c r="I67" s="226">
        <f>'BGS PTY19 Cost Alloc'!I67</f>
        <v>9592</v>
      </c>
      <c r="J67" s="226">
        <f t="shared" si="3"/>
        <v>1688958</v>
      </c>
      <c r="K67" s="226"/>
      <c r="L67" s="226"/>
      <c r="M67" s="226">
        <f t="shared" si="4"/>
        <v>18245</v>
      </c>
      <c r="N67" s="368"/>
      <c r="O67" s="295"/>
      <c r="P67" s="212" t="s">
        <v>61</v>
      </c>
      <c r="Q67" s="226">
        <f>SUM(W65:W68)/1000</f>
        <v>2446.2373333329997</v>
      </c>
      <c r="R67" s="296"/>
      <c r="S67" s="295"/>
      <c r="T67" s="295"/>
      <c r="U67" s="309"/>
      <c r="V67" s="235">
        <f>'BGS PTY19 Cost Alloc'!V67</f>
        <v>44409</v>
      </c>
      <c r="W67" s="226">
        <f>'BGS PTY19 Cost Alloc'!W67</f>
        <v>547708.33333329996</v>
      </c>
      <c r="X67" s="226">
        <f>'BGS PTY19 Cost Alloc'!X67</f>
        <v>10810</v>
      </c>
      <c r="Y67" s="226">
        <f t="shared" si="5"/>
        <v>536898.33333329996</v>
      </c>
      <c r="Z67" s="226">
        <f>'BGS PTY19 Cost Alloc'!Z67</f>
        <v>1189656.5865750001</v>
      </c>
      <c r="AA67" s="226">
        <f>'BGS PTY19 Cost Alloc'!AA67</f>
        <v>17056.286055908298</v>
      </c>
      <c r="AB67" s="226">
        <f>'BGS PTY19 Cost Alloc'!AB67</f>
        <v>1124674.67502419</v>
      </c>
      <c r="AC67" s="226">
        <f>'BGS PTY19 Cost Alloc'!AC67</f>
        <v>519920.18315931503</v>
      </c>
      <c r="AD67" s="226">
        <f>'BGS PTY19 Cost Alloc'!AD67</f>
        <v>0</v>
      </c>
      <c r="AG67" s="226">
        <f>'BGS PTY19 Cost Alloc'!AG67</f>
        <v>15988.8572911029</v>
      </c>
    </row>
    <row r="68" spans="1:34" x14ac:dyDescent="0.4">
      <c r="A68" s="76"/>
      <c r="B68" s="235" t="s">
        <v>26</v>
      </c>
      <c r="C68" s="226"/>
      <c r="D68" s="226"/>
      <c r="E68" s="226">
        <f>'BGS PTY19 Cost Alloc'!E68</f>
        <v>15686</v>
      </c>
      <c r="F68" s="226">
        <f>'BGS PTY19 Cost Alloc'!F68</f>
        <v>913501</v>
      </c>
      <c r="G68" s="226">
        <f>'BGS PTY19 Cost Alloc'!G68</f>
        <v>499857</v>
      </c>
      <c r="H68" s="226">
        <f>'BGS PTY19 Cost Alloc'!H68</f>
        <v>15868</v>
      </c>
      <c r="I68" s="226">
        <f>'BGS PTY19 Cost Alloc'!I68</f>
        <v>9592</v>
      </c>
      <c r="J68" s="226">
        <f t="shared" si="3"/>
        <v>1454504</v>
      </c>
      <c r="K68" s="226"/>
      <c r="L68" s="226"/>
      <c r="M68" s="226">
        <f t="shared" si="4"/>
        <v>15118</v>
      </c>
      <c r="N68" s="277"/>
      <c r="O68" s="278"/>
      <c r="P68" s="278"/>
      <c r="Q68" s="278" t="s">
        <v>65</v>
      </c>
      <c r="R68" s="278"/>
      <c r="S68" s="278"/>
      <c r="T68" s="278"/>
      <c r="U68" s="279"/>
      <c r="V68" s="235">
        <f>'BGS PTY19 Cost Alloc'!V68</f>
        <v>44440</v>
      </c>
      <c r="W68" s="226">
        <f>'BGS PTY19 Cost Alloc'!W68</f>
        <v>567509.66666659992</v>
      </c>
      <c r="X68" s="226">
        <f>'BGS PTY19 Cost Alloc'!X68</f>
        <v>10542.333333300001</v>
      </c>
      <c r="Y68" s="226">
        <f t="shared" si="5"/>
        <v>556967.33333329996</v>
      </c>
      <c r="Z68" s="226">
        <f>'BGS PTY19 Cost Alloc'!Z68</f>
        <v>978953.98121590004</v>
      </c>
      <c r="AA68" s="226">
        <f>'BGS PTY19 Cost Alloc'!AA68</f>
        <v>14140.466268611901</v>
      </c>
      <c r="AB68" s="226">
        <f>'BGS PTY19 Cost Alloc'!AB68</f>
        <v>913501.49541683996</v>
      </c>
      <c r="AC68" s="226">
        <f>'BGS PTY19 Cost Alloc'!AC68</f>
        <v>499868.34554450499</v>
      </c>
      <c r="AD68" s="226">
        <f>'BGS PTY19 Cost Alloc'!AD68</f>
        <v>0</v>
      </c>
      <c r="AG68" s="226">
        <f>'BGS PTY19 Cost Alloc'!AG68</f>
        <v>15868.042802519798</v>
      </c>
    </row>
    <row r="69" spans="1:34" x14ac:dyDescent="0.4">
      <c r="A69" s="76"/>
      <c r="B69" s="235" t="s">
        <v>27</v>
      </c>
      <c r="C69" s="226"/>
      <c r="D69" s="226"/>
      <c r="E69" s="226">
        <f>'BGS PTY19 Cost Alloc'!E69</f>
        <v>11029</v>
      </c>
      <c r="F69" s="226">
        <f>'BGS PTY19 Cost Alloc'!F69</f>
        <v>623412</v>
      </c>
      <c r="G69" s="226">
        <f>'BGS PTY19 Cost Alloc'!G69</f>
        <v>431510</v>
      </c>
      <c r="H69" s="226">
        <f>'BGS PTY19 Cost Alloc'!H69</f>
        <v>14974</v>
      </c>
      <c r="I69" s="226">
        <f>'BGS PTY19 Cost Alloc'!I69</f>
        <v>9592</v>
      </c>
      <c r="J69" s="226">
        <f t="shared" si="3"/>
        <v>1090517</v>
      </c>
      <c r="K69" s="226"/>
      <c r="L69" s="226"/>
      <c r="M69" s="226">
        <f t="shared" si="4"/>
        <v>10446</v>
      </c>
      <c r="N69" s="92"/>
      <c r="O69" s="80"/>
      <c r="P69" s="80"/>
      <c r="Q69" s="80" t="str">
        <f>+Q$13</f>
        <v>RT{1}</v>
      </c>
      <c r="R69" s="80"/>
      <c r="S69" s="80"/>
      <c r="T69" s="80" t="str">
        <f>+T$13</f>
        <v>GST</v>
      </c>
      <c r="U69" s="93"/>
      <c r="V69" s="235">
        <f>'BGS PTY19 Cost Alloc'!V69</f>
        <v>44470</v>
      </c>
      <c r="W69" s="226">
        <f>'BGS PTY19 Cost Alloc'!W69</f>
        <v>583154.33333339996</v>
      </c>
      <c r="X69" s="226">
        <f>'BGS PTY19 Cost Alloc'!X69</f>
        <v>14313.333333400002</v>
      </c>
      <c r="Y69" s="226">
        <f t="shared" si="5"/>
        <v>568841</v>
      </c>
      <c r="Z69" s="226">
        <f>'BGS PTY19 Cost Alloc'!Z69</f>
        <v>794832.41336419992</v>
      </c>
      <c r="AA69" s="226">
        <f>'BGS PTY19 Cost Alloc'!AA69</f>
        <v>10445.763041697901</v>
      </c>
      <c r="AB69" s="226">
        <f>'BGS PTY19 Cost Alloc'!AB69</f>
        <v>622617.13954493799</v>
      </c>
      <c r="AC69" s="226">
        <f>'BGS PTY19 Cost Alloc'!AC69</f>
        <v>431523.89872447902</v>
      </c>
      <c r="AD69" s="226">
        <f>'BGS PTY19 Cost Alloc'!AD69</f>
        <v>0</v>
      </c>
      <c r="AG69" s="226">
        <f>'BGS PTY19 Cost Alloc'!AG69</f>
        <v>14973.678700734197</v>
      </c>
    </row>
    <row r="70" spans="1:34" x14ac:dyDescent="0.4">
      <c r="A70" s="76"/>
      <c r="B70" s="235" t="s">
        <v>28</v>
      </c>
      <c r="C70" s="226"/>
      <c r="D70" s="226"/>
      <c r="E70" s="226">
        <f>'BGS PTY19 Cost Alloc'!E70</f>
        <v>12570</v>
      </c>
      <c r="F70" s="226">
        <f>'BGS PTY19 Cost Alloc'!F70</f>
        <v>551904</v>
      </c>
      <c r="G70" s="226">
        <f>'BGS PTY19 Cost Alloc'!G70</f>
        <v>406732</v>
      </c>
      <c r="H70" s="226">
        <f>'BGS PTY19 Cost Alloc'!H70</f>
        <v>14557</v>
      </c>
      <c r="I70" s="226">
        <f>'BGS PTY19 Cost Alloc'!I70</f>
        <v>9592</v>
      </c>
      <c r="J70" s="226">
        <f t="shared" si="3"/>
        <v>995355</v>
      </c>
      <c r="K70" s="226"/>
      <c r="L70" s="226"/>
      <c r="M70" s="226">
        <f t="shared" si="4"/>
        <v>11927</v>
      </c>
      <c r="N70" s="281"/>
      <c r="U70" s="282"/>
      <c r="V70" s="235">
        <f>'BGS PTY19 Cost Alloc'!V70</f>
        <v>44501</v>
      </c>
      <c r="W70" s="226">
        <f>'BGS PTY19 Cost Alloc'!W70</f>
        <v>642712.66666670004</v>
      </c>
      <c r="X70" s="226">
        <f>'BGS PTY19 Cost Alloc'!X70</f>
        <v>14152.666666700001</v>
      </c>
      <c r="Y70" s="226">
        <f t="shared" si="5"/>
        <v>628560</v>
      </c>
      <c r="Z70" s="226">
        <f>'BGS PTY19 Cost Alloc'!Z70</f>
        <v>1012227.7764767</v>
      </c>
      <c r="AA70" s="226">
        <f>'BGS PTY19 Cost Alloc'!AA70</f>
        <v>11927.184929167301</v>
      </c>
      <c r="AB70" s="226">
        <f>'BGS PTY19 Cost Alloc'!AB70</f>
        <v>550891.622294356</v>
      </c>
      <c r="AC70" s="226">
        <f>'BGS PTY19 Cost Alloc'!AC70</f>
        <v>406746.08655070502</v>
      </c>
      <c r="AD70" s="226">
        <f>'BGS PTY19 Cost Alloc'!AD70</f>
        <v>0</v>
      </c>
      <c r="AE70" s="211">
        <f>'BGS PTY19 Cost Alloc'!AE70</f>
        <v>0</v>
      </c>
      <c r="AG70" s="226">
        <f>'BGS PTY19 Cost Alloc'!AG70</f>
        <v>14556.948896446898</v>
      </c>
      <c r="AH70" s="211">
        <f>'BGS PTY19 Cost Alloc'!AH70</f>
        <v>0</v>
      </c>
    </row>
    <row r="71" spans="1:34" x14ac:dyDescent="0.4">
      <c r="A71" s="76"/>
      <c r="B71" s="235" t="s">
        <v>29</v>
      </c>
      <c r="C71" s="226"/>
      <c r="D71" s="226"/>
      <c r="E71" s="226">
        <f>'BGS PTY19 Cost Alloc'!E71</f>
        <v>17910</v>
      </c>
      <c r="F71" s="226">
        <f>'BGS PTY19 Cost Alloc'!F71</f>
        <v>683892</v>
      </c>
      <c r="G71" s="226">
        <f>'BGS PTY19 Cost Alloc'!G71</f>
        <v>454695</v>
      </c>
      <c r="H71" s="226">
        <f>'BGS PTY19 Cost Alloc'!H71</f>
        <v>17680</v>
      </c>
      <c r="I71" s="226">
        <f>'BGS PTY19 Cost Alloc'!I71</f>
        <v>9593</v>
      </c>
      <c r="J71" s="226">
        <f t="shared" si="3"/>
        <v>1183770</v>
      </c>
      <c r="K71" s="226"/>
      <c r="L71" s="226"/>
      <c r="M71" s="226">
        <f t="shared" si="4"/>
        <v>17166</v>
      </c>
      <c r="N71" s="283"/>
      <c r="O71" s="284"/>
      <c r="P71" s="290" t="s">
        <v>66</v>
      </c>
      <c r="Q71" s="226">
        <f>SUM(E60:E64,E69:E71)</f>
        <v>134983</v>
      </c>
      <c r="R71" s="226"/>
      <c r="S71" s="290" t="s">
        <v>66</v>
      </c>
      <c r="T71" s="226">
        <f>SUM(H60:H64,H69:H71)</f>
        <v>125874</v>
      </c>
      <c r="U71" s="285"/>
      <c r="V71" s="235">
        <f>'BGS PTY19 Cost Alloc'!V71</f>
        <v>44531</v>
      </c>
      <c r="W71" s="226">
        <f>'BGS PTY19 Cost Alloc'!W71</f>
        <v>744221.33333329984</v>
      </c>
      <c r="X71" s="226">
        <f>'BGS PTY19 Cost Alloc'!X71</f>
        <v>15457.666666599998</v>
      </c>
      <c r="Y71" s="226">
        <f t="shared" si="5"/>
        <v>728763.66666669981</v>
      </c>
      <c r="Z71" s="226">
        <f>'BGS PTY19 Cost Alloc'!Z71</f>
        <v>1464538.6911909999</v>
      </c>
      <c r="AA71" s="226">
        <f>'BGS PTY19 Cost Alloc'!AA71</f>
        <v>17165.9125120233</v>
      </c>
      <c r="AB71" s="226">
        <f>'BGS PTY19 Cost Alloc'!AB71</f>
        <v>682427.43413011893</v>
      </c>
      <c r="AC71" s="226">
        <f>'BGS PTY19 Cost Alloc'!AC71</f>
        <v>454709.83738743002</v>
      </c>
      <c r="AD71" s="226">
        <f>'BGS PTY19 Cost Alloc'!AD71</f>
        <v>0</v>
      </c>
      <c r="AE71" s="211">
        <f>'BGS PTY19 Cost Alloc'!AE71</f>
        <v>0</v>
      </c>
      <c r="AG71" s="226">
        <f>'BGS PTY19 Cost Alloc'!AG71</f>
        <v>17680.264571419106</v>
      </c>
      <c r="AH71" s="211">
        <f>'BGS PTY19 Cost Alloc'!AH71</f>
        <v>0</v>
      </c>
    </row>
    <row r="72" spans="1:34" x14ac:dyDescent="0.4">
      <c r="A72" s="76"/>
      <c r="B72" s="302" t="s">
        <v>44</v>
      </c>
      <c r="C72" s="226"/>
      <c r="D72" s="226"/>
      <c r="E72" s="226">
        <f>SUM(E60:E71)</f>
        <v>201235</v>
      </c>
      <c r="F72" s="226">
        <f>SUM(F60:F71)</f>
        <v>9073407</v>
      </c>
      <c r="G72" s="226">
        <f>SUM(G60:G71)</f>
        <v>5453294</v>
      </c>
      <c r="H72" s="226">
        <f>SUM(H60:H71)</f>
        <v>191619</v>
      </c>
      <c r="I72" s="226">
        <f>SUM(I60:I71)</f>
        <v>115100</v>
      </c>
      <c r="J72" s="226">
        <f t="shared" si="3"/>
        <v>15034655</v>
      </c>
      <c r="K72" s="226"/>
      <c r="L72" s="226"/>
      <c r="M72" s="226">
        <f>SUM(M60:M71)</f>
        <v>192910</v>
      </c>
      <c r="N72" s="283"/>
      <c r="O72" s="284"/>
      <c r="P72" s="212" t="s">
        <v>67</v>
      </c>
      <c r="Q72" s="226">
        <f>SUMPRODUCT(E15:E19,E60:E64)+SUMPRODUCT(E24:E26,E69:E71)</f>
        <v>64522.165199999996</v>
      </c>
      <c r="R72" s="211">
        <f>Q72/Q71</f>
        <v>0.47800215730869811</v>
      </c>
      <c r="S72" s="212" t="s">
        <v>58</v>
      </c>
      <c r="T72" s="226">
        <f>SUMPRODUCT(H15:H19,H60:H64)+SUMPRODUCT(H24:H26,H69:H71)</f>
        <v>69384.185700000002</v>
      </c>
      <c r="U72" s="282">
        <f>T72/T71</f>
        <v>0.55121935983602655</v>
      </c>
      <c r="W72" s="226">
        <f t="shared" ref="W72:AD72" si="6">SUM(W60:W71)</f>
        <v>8323268.6666662982</v>
      </c>
      <c r="X72" s="226">
        <f t="shared" si="6"/>
        <v>176009.9999999</v>
      </c>
      <c r="Y72" s="226">
        <f t="shared" si="6"/>
        <v>8147258.6666663997</v>
      </c>
      <c r="Z72" s="226">
        <f t="shared" si="6"/>
        <v>14705033.4409393</v>
      </c>
      <c r="AA72" s="226">
        <f t="shared" si="6"/>
        <v>188656.31310858007</v>
      </c>
      <c r="AB72" s="226">
        <f t="shared" si="6"/>
        <v>9062959.6447838172</v>
      </c>
      <c r="AC72" s="226">
        <f t="shared" si="6"/>
        <v>5453470.3925752603</v>
      </c>
      <c r="AD72" s="226">
        <f t="shared" si="6"/>
        <v>0</v>
      </c>
      <c r="AE72" s="211">
        <f>'BGS PTY19 Cost Alloc'!AE72</f>
        <v>0</v>
      </c>
      <c r="AG72" s="226">
        <f>SUM(AG60:AG71)</f>
        <v>191618.8944412455</v>
      </c>
      <c r="AH72" s="211">
        <f>'BGS PTY19 Cost Alloc'!AH72</f>
        <v>0</v>
      </c>
    </row>
    <row r="73" spans="1:34" x14ac:dyDescent="0.4">
      <c r="A73" s="76"/>
      <c r="B73" s="235"/>
      <c r="J73" s="303"/>
      <c r="N73" s="283"/>
      <c r="O73" s="284"/>
      <c r="P73" s="212" t="s">
        <v>68</v>
      </c>
      <c r="Q73" s="226">
        <f>+Q71-Q72</f>
        <v>70460.834800000011</v>
      </c>
      <c r="S73" s="212" t="s">
        <v>60</v>
      </c>
      <c r="T73" s="226">
        <f>+T71-T72</f>
        <v>56489.814299999998</v>
      </c>
      <c r="U73" s="282"/>
    </row>
    <row r="74" spans="1:34" ht="15.35" x14ac:dyDescent="0.5">
      <c r="A74" s="76"/>
      <c r="N74" s="281"/>
      <c r="U74" s="282"/>
      <c r="V74" s="219" t="s">
        <v>69</v>
      </c>
      <c r="W74" s="211" t="s">
        <v>70</v>
      </c>
      <c r="X74" s="211" t="s">
        <v>71</v>
      </c>
      <c r="Y74" s="211" t="s">
        <v>72</v>
      </c>
      <c r="Z74" s="211" t="s">
        <v>73</v>
      </c>
      <c r="AB74" s="211" t="s">
        <v>74</v>
      </c>
      <c r="AC74" s="211" t="s">
        <v>75</v>
      </c>
      <c r="AE74" s="86"/>
    </row>
    <row r="75" spans="1:34" x14ac:dyDescent="0.4">
      <c r="A75" s="77" t="s">
        <v>76</v>
      </c>
      <c r="B75" s="78" t="s">
        <v>77</v>
      </c>
      <c r="G75" s="94" t="s">
        <v>78</v>
      </c>
      <c r="H75" s="78" t="s">
        <v>79</v>
      </c>
      <c r="N75" s="283"/>
      <c r="O75" s="284"/>
      <c r="P75" s="212" t="s">
        <v>80</v>
      </c>
      <c r="Q75" s="226">
        <f>+SUM(E65:E68)</f>
        <v>66252</v>
      </c>
      <c r="R75" s="80"/>
      <c r="S75" s="212" t="s">
        <v>80</v>
      </c>
      <c r="T75" s="226">
        <f>+SUM(H65:H68)</f>
        <v>65745</v>
      </c>
      <c r="U75" s="93"/>
      <c r="V75" s="226">
        <f t="shared" ref="V75:V86" si="7">W60-W75</f>
        <v>320756.33333330014</v>
      </c>
      <c r="W75" s="226">
        <f t="shared" ref="W75:W86" si="8">SUM(X75:Z75)</f>
        <v>514549.00000009994</v>
      </c>
      <c r="X75" s="226">
        <f>'BGS PTY19 Cost Alloc'!X75</f>
        <v>14248.666666700001</v>
      </c>
      <c r="Y75" s="226">
        <f>'BGS PTY19 Cost Alloc'!Y75</f>
        <v>495277.66666669998</v>
      </c>
      <c r="Z75" s="226">
        <f>'BGS PTY19 Cost Alloc'!Z75</f>
        <v>5022.6666667</v>
      </c>
      <c r="AA75" s="226"/>
      <c r="AB75" s="211">
        <f t="shared" ref="AB75:AB86" si="9">(V75*$AA$94+W75*$AA$95)/1000</f>
        <v>184.55137954062275</v>
      </c>
      <c r="AC75" s="211">
        <f t="shared" ref="AC75:AC86" si="10">(W60/1000)-AB75</f>
        <v>650.75395379277734</v>
      </c>
    </row>
    <row r="76" spans="1:34" x14ac:dyDescent="0.4">
      <c r="A76" s="76"/>
      <c r="B76" s="79" t="s">
        <v>81</v>
      </c>
      <c r="H76" s="83" t="s">
        <v>82</v>
      </c>
      <c r="N76" s="283"/>
      <c r="O76" s="284"/>
      <c r="P76" s="212" t="s">
        <v>67</v>
      </c>
      <c r="Q76" s="226">
        <f>+SUMPRODUCT(E20:E23,E65:E68)</f>
        <v>33888.873700000004</v>
      </c>
      <c r="R76" s="211">
        <f>Q76/Q75</f>
        <v>0.51151472710257806</v>
      </c>
      <c r="S76" s="219" t="s">
        <v>58</v>
      </c>
      <c r="T76" s="226">
        <f>+SUMPRODUCT(H20:H23,H65:H68)</f>
        <v>36853.0075</v>
      </c>
      <c r="U76" s="282">
        <f>T76/T75</f>
        <v>0.5605446421781124</v>
      </c>
      <c r="V76" s="226">
        <f t="shared" si="7"/>
        <v>297719.66666659992</v>
      </c>
      <c r="W76" s="226">
        <f t="shared" si="8"/>
        <v>475794.66666660004</v>
      </c>
      <c r="X76" s="226">
        <f>'BGS PTY19 Cost Alloc'!X76</f>
        <v>12657.333333299999</v>
      </c>
      <c r="Y76" s="226">
        <f>'BGS PTY19 Cost Alloc'!Y76</f>
        <v>458632.33333330002</v>
      </c>
      <c r="Z76" s="226">
        <f>'BGS PTY19 Cost Alloc'!Z76</f>
        <v>4505</v>
      </c>
      <c r="AA76" s="226"/>
      <c r="AB76" s="211">
        <f t="shared" si="9"/>
        <v>170.78505036627348</v>
      </c>
      <c r="AC76" s="211">
        <f t="shared" si="10"/>
        <v>602.72928296692646</v>
      </c>
    </row>
    <row r="77" spans="1:34" x14ac:dyDescent="0.4">
      <c r="A77" s="76"/>
      <c r="C77" s="80" t="s">
        <v>83</v>
      </c>
      <c r="D77" s="80" t="s">
        <v>84</v>
      </c>
      <c r="E77" s="80" t="s">
        <v>83</v>
      </c>
      <c r="F77" s="80" t="s">
        <v>84</v>
      </c>
      <c r="G77" s="80"/>
      <c r="N77" s="305"/>
      <c r="O77" s="306"/>
      <c r="P77" s="307" t="s">
        <v>68</v>
      </c>
      <c r="Q77" s="296">
        <f>Q75-Q76</f>
        <v>32363.126299999996</v>
      </c>
      <c r="R77" s="295"/>
      <c r="S77" s="308" t="s">
        <v>60</v>
      </c>
      <c r="T77" s="296">
        <f>T75-T76</f>
        <v>28891.9925</v>
      </c>
      <c r="U77" s="309"/>
      <c r="V77" s="226">
        <f t="shared" si="7"/>
        <v>292376.33333330002</v>
      </c>
      <c r="W77" s="226">
        <f t="shared" si="8"/>
        <v>470147.66666669998</v>
      </c>
      <c r="X77" s="226">
        <f>'BGS PTY19 Cost Alloc'!X77</f>
        <v>13409.333333299999</v>
      </c>
      <c r="Y77" s="226">
        <f>'BGS PTY19 Cost Alloc'!Y77</f>
        <v>451983.66666669998</v>
      </c>
      <c r="Z77" s="226">
        <f>'BGS PTY19 Cost Alloc'!Z77</f>
        <v>4754.6666667</v>
      </c>
      <c r="AA77" s="226"/>
      <c r="AB77" s="211">
        <f t="shared" si="9"/>
        <v>168.54262114622043</v>
      </c>
      <c r="AC77" s="211">
        <f t="shared" si="10"/>
        <v>593.98137885377957</v>
      </c>
      <c r="AD77" s="226">
        <f>SUM(AB65:AB68)</f>
        <v>3771660.7530675433</v>
      </c>
    </row>
    <row r="78" spans="1:34" x14ac:dyDescent="0.4">
      <c r="A78" s="76"/>
      <c r="C78" s="80" t="s">
        <v>85</v>
      </c>
      <c r="D78" s="80" t="s">
        <v>85</v>
      </c>
      <c r="E78" s="80" t="s">
        <v>86</v>
      </c>
      <c r="F78" s="80" t="s">
        <v>86</v>
      </c>
      <c r="H78" s="80" t="s">
        <v>85</v>
      </c>
      <c r="I78" s="80" t="s">
        <v>86</v>
      </c>
      <c r="N78" s="281"/>
      <c r="Q78" s="211" t="s">
        <v>87</v>
      </c>
      <c r="U78" s="282"/>
      <c r="V78" s="226">
        <f t="shared" si="7"/>
        <v>305576.00000000006</v>
      </c>
      <c r="W78" s="226">
        <f t="shared" si="8"/>
        <v>476453.66666669998</v>
      </c>
      <c r="X78" s="226">
        <f>'BGS PTY19 Cost Alloc'!X78</f>
        <v>12400</v>
      </c>
      <c r="Y78" s="226">
        <f>'BGS PTY19 Cost Alloc'!Y78</f>
        <v>459671.66666669998</v>
      </c>
      <c r="Z78" s="226">
        <f>'BGS PTY19 Cost Alloc'!Z78</f>
        <v>4382</v>
      </c>
      <c r="AA78" s="226"/>
      <c r="AB78" s="211">
        <f t="shared" si="9"/>
        <v>171.90778407357479</v>
      </c>
      <c r="AC78" s="211">
        <f t="shared" si="10"/>
        <v>610.12188259312518</v>
      </c>
    </row>
    <row r="79" spans="1:34" x14ac:dyDescent="0.4">
      <c r="A79" s="76"/>
      <c r="B79" s="235" t="s">
        <v>18</v>
      </c>
      <c r="C79" s="312">
        <v>42.05</v>
      </c>
      <c r="D79" s="312">
        <f>ROUND(C79*$H$326,3)</f>
        <v>41.301000000000002</v>
      </c>
      <c r="E79" s="312">
        <v>33.119</v>
      </c>
      <c r="F79" s="312">
        <f>ROUND(E79*$H$326,3)</f>
        <v>32.529000000000003</v>
      </c>
      <c r="H79" s="28">
        <v>0.94</v>
      </c>
      <c r="I79" s="28">
        <v>0.96</v>
      </c>
      <c r="L79" s="226"/>
      <c r="N79" s="92"/>
      <c r="O79" s="80"/>
      <c r="P79" s="80"/>
      <c r="Q79" s="80" t="str">
        <f>+Q$13</f>
        <v>RT{1}</v>
      </c>
      <c r="R79" s="80"/>
      <c r="S79" s="80"/>
      <c r="T79" s="80" t="str">
        <f>+T$13</f>
        <v>GST</v>
      </c>
      <c r="U79" s="93"/>
      <c r="V79" s="226">
        <f t="shared" si="7"/>
        <v>297743.3333332999</v>
      </c>
      <c r="W79" s="226">
        <f t="shared" si="8"/>
        <v>455826.33333330002</v>
      </c>
      <c r="X79" s="226">
        <f>'BGS PTY19 Cost Alloc'!X79</f>
        <v>13980.333333299999</v>
      </c>
      <c r="Y79" s="226">
        <f>'BGS PTY19 Cost Alloc'!Y79</f>
        <v>437747</v>
      </c>
      <c r="Z79" s="226">
        <f>'BGS PTY19 Cost Alloc'!Z79</f>
        <v>4099</v>
      </c>
      <c r="AA79" s="226"/>
      <c r="AB79" s="211">
        <f t="shared" si="9"/>
        <v>165.10777300822832</v>
      </c>
      <c r="AC79" s="211">
        <f t="shared" si="10"/>
        <v>588.46189365837154</v>
      </c>
    </row>
    <row r="80" spans="1:34" x14ac:dyDescent="0.4">
      <c r="A80" s="76"/>
      <c r="B80" s="235" t="s">
        <v>19</v>
      </c>
      <c r="C80" s="312">
        <v>39.75</v>
      </c>
      <c r="D80" s="312">
        <f>ROUND(C80*$H$326,3)</f>
        <v>39.042000000000002</v>
      </c>
      <c r="E80" s="312">
        <v>31.306999999999999</v>
      </c>
      <c r="F80" s="312">
        <f>ROUND(E80*$H$326,3)</f>
        <v>30.748999999999999</v>
      </c>
      <c r="H80" s="28">
        <f>H79</f>
        <v>0.94</v>
      </c>
      <c r="I80" s="28">
        <f>I79</f>
        <v>0.96</v>
      </c>
      <c r="L80" s="25"/>
      <c r="N80" s="281"/>
      <c r="U80" s="282"/>
      <c r="V80" s="226">
        <f t="shared" si="7"/>
        <v>289509.66666659981</v>
      </c>
      <c r="W80" s="226">
        <f t="shared" si="8"/>
        <v>424701.66666660004</v>
      </c>
      <c r="X80" s="226">
        <f>'BGS PTY19 Cost Alloc'!X80</f>
        <v>11440.333333299999</v>
      </c>
      <c r="Y80" s="226">
        <f>'BGS PTY19 Cost Alloc'!Y80</f>
        <v>409653</v>
      </c>
      <c r="Z80" s="226">
        <f>'BGS PTY19 Cost Alloc'!Z80</f>
        <v>3608.3333333</v>
      </c>
      <c r="AA80" s="226"/>
      <c r="AB80" s="211">
        <f t="shared" si="9"/>
        <v>155.27400354850786</v>
      </c>
      <c r="AC80" s="211">
        <f t="shared" si="10"/>
        <v>558.937329784692</v>
      </c>
    </row>
    <row r="81" spans="1:29" x14ac:dyDescent="0.4">
      <c r="A81" s="76"/>
      <c r="B81" s="235" t="s">
        <v>20</v>
      </c>
      <c r="C81" s="312">
        <v>32.1</v>
      </c>
      <c r="D81" s="312">
        <f>ROUND(C81*$H$326,3)</f>
        <v>31.527999999999999</v>
      </c>
      <c r="E81" s="312">
        <v>25.282</v>
      </c>
      <c r="F81" s="312">
        <f>ROUND(E81*$H$326,3)</f>
        <v>24.832000000000001</v>
      </c>
      <c r="H81" s="28">
        <f>H79</f>
        <v>0.94</v>
      </c>
      <c r="I81" s="28">
        <f>I79</f>
        <v>0.96</v>
      </c>
      <c r="L81" s="25"/>
      <c r="N81" s="283"/>
      <c r="O81" s="284"/>
      <c r="P81" s="290" t="s">
        <v>88</v>
      </c>
      <c r="Q81" s="226"/>
      <c r="R81" s="226"/>
      <c r="S81" s="290" t="s">
        <v>88</v>
      </c>
      <c r="T81" s="226"/>
      <c r="U81" s="285"/>
      <c r="V81" s="226">
        <f t="shared" si="7"/>
        <v>253672.33333329984</v>
      </c>
      <c r="W81" s="226">
        <f t="shared" si="8"/>
        <v>363135.66666660004</v>
      </c>
      <c r="X81" s="226">
        <f>'BGS PTY19 Cost Alloc'!X81</f>
        <v>10803.333333299999</v>
      </c>
      <c r="Y81" s="226">
        <f>'BGS PTY19 Cost Alloc'!Y81</f>
        <v>349101</v>
      </c>
      <c r="Z81" s="226">
        <f>'BGS PTY19 Cost Alloc'!Z81</f>
        <v>3231.3333333</v>
      </c>
      <c r="AA81" s="226"/>
      <c r="AB81" s="211">
        <f t="shared" si="9"/>
        <v>133.49488991908572</v>
      </c>
      <c r="AC81" s="211">
        <f t="shared" si="10"/>
        <v>483.31311008081411</v>
      </c>
    </row>
    <row r="82" spans="1:29" x14ac:dyDescent="0.4">
      <c r="A82" s="76"/>
      <c r="B82" s="235" t="s">
        <v>21</v>
      </c>
      <c r="C82" s="312">
        <v>29.05</v>
      </c>
      <c r="D82" s="312">
        <f>ROUND(C82*$H$326,3)</f>
        <v>28.533000000000001</v>
      </c>
      <c r="E82" s="312">
        <v>22.88</v>
      </c>
      <c r="F82" s="312">
        <f>ROUND(E82*$H$326,3)</f>
        <v>22.472999999999999</v>
      </c>
      <c r="H82" s="28">
        <f>H79</f>
        <v>0.94</v>
      </c>
      <c r="I82" s="28">
        <f>I79</f>
        <v>0.96</v>
      </c>
      <c r="L82" s="25"/>
      <c r="N82" s="283"/>
      <c r="O82" s="284"/>
      <c r="P82" s="212" t="s">
        <v>89</v>
      </c>
      <c r="Q82" s="226">
        <f>Q72-Q61</f>
        <v>18978.845799999996</v>
      </c>
      <c r="S82" s="212" t="s">
        <v>89</v>
      </c>
      <c r="T82" s="226">
        <f>T72-T61</f>
        <v>14122.900600000001</v>
      </c>
      <c r="U82" s="282"/>
      <c r="V82" s="226">
        <f t="shared" si="7"/>
        <v>224627.99999999994</v>
      </c>
      <c r="W82" s="226">
        <f t="shared" si="8"/>
        <v>323080.33333330002</v>
      </c>
      <c r="X82" s="226">
        <f>'BGS PTY19 Cost Alloc'!X82</f>
        <v>8673.3333332999991</v>
      </c>
      <c r="Y82" s="226">
        <f>'BGS PTY19 Cost Alloc'!Y82</f>
        <v>311620</v>
      </c>
      <c r="Z82" s="226">
        <f>'BGS PTY19 Cost Alloc'!Z82</f>
        <v>2787</v>
      </c>
      <c r="AA82" s="226"/>
      <c r="AB82" s="211">
        <f t="shared" si="9"/>
        <v>118.64328621030796</v>
      </c>
      <c r="AC82" s="211">
        <f t="shared" si="10"/>
        <v>429.06504712299198</v>
      </c>
    </row>
    <row r="83" spans="1:29" x14ac:dyDescent="0.4">
      <c r="A83" s="76"/>
      <c r="B83" s="235" t="s">
        <v>22</v>
      </c>
      <c r="C83" s="312">
        <v>29.05</v>
      </c>
      <c r="D83" s="312">
        <f>ROUND(C83*$H$326,3)</f>
        <v>28.533000000000001</v>
      </c>
      <c r="E83" s="312">
        <v>22.88</v>
      </c>
      <c r="F83" s="312">
        <f>ROUND(E83*$H$326,3)</f>
        <v>22.472999999999999</v>
      </c>
      <c r="H83" s="28">
        <f>H79</f>
        <v>0.94</v>
      </c>
      <c r="I83" s="28">
        <f>I79</f>
        <v>0.96</v>
      </c>
      <c r="L83" s="25"/>
      <c r="N83" s="283"/>
      <c r="O83" s="284"/>
      <c r="P83" s="212" t="s">
        <v>90</v>
      </c>
      <c r="Q83" s="313">
        <f>Q82*(E117-E118)</f>
        <v>128088.9841761399</v>
      </c>
      <c r="S83" s="212" t="s">
        <v>90</v>
      </c>
      <c r="T83" s="313">
        <f>T82*(H117-H118)</f>
        <v>91729.269266535019</v>
      </c>
      <c r="U83" s="282"/>
      <c r="V83" s="226">
        <f t="shared" si="7"/>
        <v>237751.99999999988</v>
      </c>
      <c r="W83" s="226">
        <f t="shared" si="8"/>
        <v>329757.66666660004</v>
      </c>
      <c r="X83" s="226">
        <f>'BGS PTY19 Cost Alloc'!X83</f>
        <v>8150.3333333</v>
      </c>
      <c r="Y83" s="226">
        <f>'BGS PTY19 Cost Alloc'!Y83</f>
        <v>318782.33333330002</v>
      </c>
      <c r="Z83" s="226">
        <f>'BGS PTY19 Cost Alloc'!Z83</f>
        <v>2825</v>
      </c>
      <c r="AA83" s="226"/>
      <c r="AB83" s="211">
        <f t="shared" si="9"/>
        <v>122.10506887208116</v>
      </c>
      <c r="AC83" s="211">
        <f t="shared" si="10"/>
        <v>445.40459779451879</v>
      </c>
    </row>
    <row r="84" spans="1:29" x14ac:dyDescent="0.4">
      <c r="A84" s="76"/>
      <c r="B84" s="249" t="s">
        <v>23</v>
      </c>
      <c r="C84" s="369">
        <v>28.25</v>
      </c>
      <c r="D84" s="369">
        <f>ROUND(C84*$H$325,3)</f>
        <v>37.82</v>
      </c>
      <c r="E84" s="369">
        <v>18.882000000000001</v>
      </c>
      <c r="F84" s="316">
        <f>ROUND(E84*$H$325,3)</f>
        <v>25.279</v>
      </c>
      <c r="H84" s="317">
        <v>0.93</v>
      </c>
      <c r="I84" s="318">
        <v>0.9</v>
      </c>
      <c r="L84" s="25"/>
      <c r="N84" s="281"/>
      <c r="Q84" s="319"/>
      <c r="T84" s="319"/>
      <c r="U84" s="282"/>
      <c r="V84" s="226">
        <f t="shared" si="7"/>
        <v>241361.66666669998</v>
      </c>
      <c r="W84" s="226">
        <f t="shared" si="8"/>
        <v>341792.66666669998</v>
      </c>
      <c r="X84" s="226">
        <f>'BGS PTY19 Cost Alloc'!X84</f>
        <v>11773.666666700001</v>
      </c>
      <c r="Y84" s="226">
        <f>'BGS PTY19 Cost Alloc'!Y84</f>
        <v>326971.66666669998</v>
      </c>
      <c r="Z84" s="226">
        <f>'BGS PTY19 Cost Alloc'!Z84</f>
        <v>3047.3333333</v>
      </c>
      <c r="AA84" s="226"/>
      <c r="AB84" s="211">
        <f t="shared" si="9"/>
        <v>125.95820856228451</v>
      </c>
      <c r="AC84" s="211">
        <f t="shared" si="10"/>
        <v>457.19612477111548</v>
      </c>
    </row>
    <row r="85" spans="1:29" x14ac:dyDescent="0.4">
      <c r="A85" s="76"/>
      <c r="B85" s="253" t="s">
        <v>24</v>
      </c>
      <c r="C85" s="312">
        <v>32.9</v>
      </c>
      <c r="D85" s="312">
        <f>ROUND(C85*$H$325,3)</f>
        <v>44.045000000000002</v>
      </c>
      <c r="E85" s="312">
        <v>21.99</v>
      </c>
      <c r="F85" s="321">
        <f>ROUND(E85*$H$325,3)</f>
        <v>29.44</v>
      </c>
      <c r="H85" s="322">
        <f t="shared" ref="H85:I87" si="11">H84</f>
        <v>0.93</v>
      </c>
      <c r="I85" s="323">
        <f t="shared" si="11"/>
        <v>0.9</v>
      </c>
      <c r="L85" s="25"/>
      <c r="N85" s="283"/>
      <c r="O85" s="284"/>
      <c r="P85" s="212" t="s">
        <v>91</v>
      </c>
      <c r="Q85" s="319"/>
      <c r="R85" s="80"/>
      <c r="S85" s="212" t="s">
        <v>91</v>
      </c>
      <c r="T85" s="319"/>
      <c r="U85" s="93"/>
      <c r="V85" s="226">
        <f t="shared" si="7"/>
        <v>260765.33333330008</v>
      </c>
      <c r="W85" s="226">
        <f t="shared" si="8"/>
        <v>381947.33333339996</v>
      </c>
      <c r="X85" s="226">
        <f>'BGS PTY19 Cost Alloc'!X85</f>
        <v>11407.666666700001</v>
      </c>
      <c r="Y85" s="226">
        <f>'BGS PTY19 Cost Alloc'!Y85</f>
        <v>367055</v>
      </c>
      <c r="Z85" s="226">
        <f>'BGS PTY19 Cost Alloc'!Z85</f>
        <v>3484.6666667</v>
      </c>
      <c r="AA85" s="226"/>
      <c r="AB85" s="211">
        <f t="shared" si="9"/>
        <v>139.69036973444722</v>
      </c>
      <c r="AC85" s="211">
        <f t="shared" si="10"/>
        <v>503.02229693225274</v>
      </c>
    </row>
    <row r="86" spans="1:29" x14ac:dyDescent="0.4">
      <c r="A86" s="76"/>
      <c r="B86" s="253" t="s">
        <v>25</v>
      </c>
      <c r="C86" s="312">
        <v>30.75</v>
      </c>
      <c r="D86" s="312">
        <f>ROUND(C86*$H$325,3)</f>
        <v>41.167000000000002</v>
      </c>
      <c r="E86" s="312">
        <v>20.553000000000001</v>
      </c>
      <c r="F86" s="321">
        <f>ROUND(E86*$H$325,3)</f>
        <v>27.515999999999998</v>
      </c>
      <c r="H86" s="322">
        <f t="shared" si="11"/>
        <v>0.93</v>
      </c>
      <c r="I86" s="323">
        <f t="shared" si="11"/>
        <v>0.9</v>
      </c>
      <c r="L86" s="25"/>
      <c r="N86" s="283"/>
      <c r="O86" s="284"/>
      <c r="P86" s="212" t="s">
        <v>89</v>
      </c>
      <c r="Q86" s="226">
        <f>Q76-Q65</f>
        <v>7708.6704000000027</v>
      </c>
      <c r="S86" s="212" t="s">
        <v>89</v>
      </c>
      <c r="T86" s="226">
        <f>T76-T65</f>
        <v>6465.6435999999994</v>
      </c>
      <c r="U86" s="282"/>
      <c r="V86" s="226">
        <f t="shared" si="7"/>
        <v>292150.99999999983</v>
      </c>
      <c r="W86" s="226">
        <f t="shared" si="8"/>
        <v>452070.33333330002</v>
      </c>
      <c r="X86" s="226">
        <f>'BGS PTY19 Cost Alloc'!X86</f>
        <v>12416.333333299999</v>
      </c>
      <c r="Y86" s="226">
        <f>'BGS PTY19 Cost Alloc'!Y86</f>
        <v>435429.66666669998</v>
      </c>
      <c r="Z86" s="226">
        <f>'BGS PTY19 Cost Alloc'!Z86</f>
        <v>4224.3333333</v>
      </c>
      <c r="AA86" s="226"/>
      <c r="AB86" s="211">
        <f t="shared" si="9"/>
        <v>163.37360557843982</v>
      </c>
      <c r="AC86" s="211">
        <f t="shared" si="10"/>
        <v>580.84772775485999</v>
      </c>
    </row>
    <row r="87" spans="1:29" x14ac:dyDescent="0.4">
      <c r="A87" s="76"/>
      <c r="B87" s="255" t="s">
        <v>26</v>
      </c>
      <c r="C87" s="370">
        <v>30.45</v>
      </c>
      <c r="D87" s="370">
        <f>ROUND(C87*$H$325,3)</f>
        <v>40.765000000000001</v>
      </c>
      <c r="E87" s="370">
        <v>20.353000000000002</v>
      </c>
      <c r="F87" s="326">
        <f>ROUND(E87*$H$325,3)</f>
        <v>27.248000000000001</v>
      </c>
      <c r="H87" s="327">
        <f t="shared" si="11"/>
        <v>0.93</v>
      </c>
      <c r="I87" s="328">
        <f t="shared" si="11"/>
        <v>0.9</v>
      </c>
      <c r="L87" s="25"/>
      <c r="N87" s="305"/>
      <c r="O87" s="306"/>
      <c r="P87" s="307" t="s">
        <v>90</v>
      </c>
      <c r="Q87" s="329">
        <f>Q86*(E113-E114)</f>
        <v>116366.24170030261</v>
      </c>
      <c r="R87" s="295"/>
      <c r="S87" s="307" t="s">
        <v>90</v>
      </c>
      <c r="T87" s="329">
        <f>T86*(H113-H114)</f>
        <v>96910.756976632983</v>
      </c>
      <c r="U87" s="309"/>
      <c r="AA87" s="226"/>
    </row>
    <row r="88" spans="1:29" x14ac:dyDescent="0.4">
      <c r="A88" s="76"/>
      <c r="B88" s="235" t="s">
        <v>27</v>
      </c>
      <c r="C88" s="312">
        <v>28.35</v>
      </c>
      <c r="D88" s="312">
        <f>ROUND(C88*$H$326,3)</f>
        <v>27.844999999999999</v>
      </c>
      <c r="E88" s="312">
        <v>22.327999999999999</v>
      </c>
      <c r="F88" s="312">
        <f>ROUND(E88*$H$326,3)</f>
        <v>21.93</v>
      </c>
      <c r="H88" s="28">
        <f>H79</f>
        <v>0.94</v>
      </c>
      <c r="I88" s="28">
        <f>I79</f>
        <v>0.96</v>
      </c>
      <c r="L88" s="25"/>
    </row>
    <row r="89" spans="1:29" x14ac:dyDescent="0.4">
      <c r="A89" s="76"/>
      <c r="B89" s="235" t="s">
        <v>28</v>
      </c>
      <c r="C89" s="312">
        <v>28.8</v>
      </c>
      <c r="D89" s="312">
        <f>ROUND(C89*$H$326,3)</f>
        <v>28.286999999999999</v>
      </c>
      <c r="E89" s="312">
        <v>22.683</v>
      </c>
      <c r="F89" s="312">
        <f>ROUND(E89*$H$326,3)</f>
        <v>22.279</v>
      </c>
      <c r="H89" s="28">
        <f>H79</f>
        <v>0.94</v>
      </c>
      <c r="I89" s="28">
        <f>I79</f>
        <v>0.96</v>
      </c>
      <c r="L89" s="25"/>
    </row>
    <row r="90" spans="1:29" x14ac:dyDescent="0.4">
      <c r="A90" s="76"/>
      <c r="B90" s="235" t="s">
        <v>29</v>
      </c>
      <c r="C90" s="312">
        <v>31.55</v>
      </c>
      <c r="D90" s="312">
        <f>ROUND(C90*$H$326,3)</f>
        <v>30.988</v>
      </c>
      <c r="E90" s="312">
        <v>24.849</v>
      </c>
      <c r="F90" s="312">
        <f>ROUND(E90*$H$326,3)</f>
        <v>24.405999999999999</v>
      </c>
      <c r="G90" s="28"/>
      <c r="H90" s="28">
        <f>H79</f>
        <v>0.94</v>
      </c>
      <c r="I90" s="28">
        <f>I79</f>
        <v>0.96</v>
      </c>
      <c r="L90" s="25"/>
    </row>
    <row r="91" spans="1:29" x14ac:dyDescent="0.4">
      <c r="A91" s="76"/>
      <c r="B91" s="235"/>
      <c r="C91" s="310"/>
      <c r="D91" s="310"/>
      <c r="G91" s="28"/>
      <c r="K91" s="28"/>
      <c r="X91" s="211" t="s">
        <v>92</v>
      </c>
    </row>
    <row r="92" spans="1:29" x14ac:dyDescent="0.4">
      <c r="A92" s="77" t="s">
        <v>93</v>
      </c>
      <c r="B92" s="82" t="s">
        <v>94</v>
      </c>
      <c r="C92" s="80"/>
      <c r="D92" s="80"/>
      <c r="E92" s="80" t="str">
        <f>+E$13</f>
        <v>RT{1}</v>
      </c>
      <c r="F92" s="80" t="str">
        <f>+F$13</f>
        <v>RS{2}</v>
      </c>
      <c r="G92" s="80" t="str">
        <f>+G$13</f>
        <v>GS{3}</v>
      </c>
      <c r="H92" s="80" t="str">
        <f>+H$58</f>
        <v>GST {4}</v>
      </c>
      <c r="I92" s="80" t="str">
        <f>+I$13</f>
        <v>OL/SL</v>
      </c>
      <c r="J92" s="80"/>
      <c r="K92" s="80"/>
      <c r="L92" s="80"/>
      <c r="M92" s="80"/>
      <c r="X92" s="211" t="s">
        <v>95</v>
      </c>
      <c r="Y92" s="219" t="s">
        <v>44</v>
      </c>
      <c r="Z92" s="219" t="s">
        <v>44</v>
      </c>
      <c r="AA92" s="219" t="s">
        <v>96</v>
      </c>
    </row>
    <row r="93" spans="1:29" x14ac:dyDescent="0.4">
      <c r="A93" s="76"/>
      <c r="C93" s="219"/>
      <c r="D93" s="219"/>
      <c r="E93" s="219"/>
      <c r="F93" s="219"/>
      <c r="X93" s="95" t="s">
        <v>97</v>
      </c>
      <c r="Y93" s="96" t="s">
        <v>96</v>
      </c>
      <c r="Z93" s="96" t="s">
        <v>98</v>
      </c>
      <c r="AA93" s="96" t="s">
        <v>99</v>
      </c>
    </row>
    <row r="94" spans="1:29" x14ac:dyDescent="0.4">
      <c r="A94" s="76"/>
      <c r="B94" s="235" t="s">
        <v>100</v>
      </c>
      <c r="C94" s="330"/>
      <c r="D94" s="330"/>
      <c r="E94" s="330">
        <f>'BGS PTY19 Cost Alloc'!E94</f>
        <v>0.105545</v>
      </c>
      <c r="F94" s="330">
        <f>'BGS PTY19 Cost Alloc'!F94</f>
        <v>0.105545</v>
      </c>
      <c r="G94" s="330">
        <f>'BGS PTY19 Cost Alloc'!G94</f>
        <v>0.105545</v>
      </c>
      <c r="H94" s="330">
        <f>'BGS PTY19 Cost Alloc'!H94</f>
        <v>0.105545</v>
      </c>
      <c r="I94" s="330">
        <f>'BGS PTY19 Cost Alloc'!I94</f>
        <v>0.105545</v>
      </c>
      <c r="J94" s="330"/>
      <c r="K94" s="330"/>
      <c r="L94" s="330"/>
      <c r="M94" s="330"/>
      <c r="W94" s="211" t="s">
        <v>69</v>
      </c>
      <c r="X94" s="211">
        <v>4</v>
      </c>
      <c r="Y94" s="211">
        <f>X94*365*5/7</f>
        <v>1042.8571428571429</v>
      </c>
      <c r="Z94" s="211">
        <f>365*24</f>
        <v>8760</v>
      </c>
      <c r="AA94" s="211">
        <f>Y94/Z94</f>
        <v>0.11904761904761905</v>
      </c>
    </row>
    <row r="95" spans="1:29" x14ac:dyDescent="0.4">
      <c r="A95" s="76"/>
      <c r="B95" s="211" t="s">
        <v>101</v>
      </c>
      <c r="C95" s="291"/>
      <c r="D95" s="291"/>
      <c r="E95" s="291">
        <f>1/(1-E94)</f>
        <v>1.1179992285805322</v>
      </c>
      <c r="F95" s="291">
        <f>1/(1-F94)</f>
        <v>1.1179992285805322</v>
      </c>
      <c r="G95" s="291">
        <f>1/(1-G94)</f>
        <v>1.1179992285805322</v>
      </c>
      <c r="H95" s="291">
        <f>1/(1-H94)</f>
        <v>1.1179992285805322</v>
      </c>
      <c r="I95" s="291">
        <f>1/(1-I94)</f>
        <v>1.1179992285805322</v>
      </c>
      <c r="J95" s="291"/>
      <c r="K95" s="291"/>
      <c r="L95" s="291"/>
      <c r="M95" s="291"/>
      <c r="W95" s="211" t="s">
        <v>102</v>
      </c>
      <c r="X95" s="211">
        <f>(9*23+10*29)/52</f>
        <v>9.5576923076923084</v>
      </c>
      <c r="Y95" s="211">
        <f>X95*365*5/7</f>
        <v>2491.8269230769229</v>
      </c>
      <c r="Z95" s="211">
        <f>365*24</f>
        <v>8760</v>
      </c>
      <c r="AA95" s="211">
        <f>Y95/Z95</f>
        <v>0.28445512820512819</v>
      </c>
    </row>
    <row r="96" spans="1:29" x14ac:dyDescent="0.4">
      <c r="A96" s="76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</row>
    <row r="97" spans="1:29" x14ac:dyDescent="0.4">
      <c r="A97" s="76"/>
      <c r="B97" s="211" t="s">
        <v>103</v>
      </c>
      <c r="C97" s="291"/>
      <c r="D97" s="291"/>
      <c r="E97" s="22">
        <f>ROUND(1-1/E98,6)</f>
        <v>9.8632999999999998E-2</v>
      </c>
      <c r="F97" s="22">
        <f>ROUND(1-1/F98,6)</f>
        <v>9.8632999999999998E-2</v>
      </c>
      <c r="G97" s="22">
        <f>ROUND(1-1/G98,6)</f>
        <v>9.8632999999999998E-2</v>
      </c>
      <c r="H97" s="22">
        <f>ROUND(1-1/H98,6)</f>
        <v>9.8632999999999998E-2</v>
      </c>
      <c r="I97" s="22">
        <f>ROUND(1-1/I98,6)</f>
        <v>9.8632999999999998E-2</v>
      </c>
      <c r="J97" s="291"/>
      <c r="K97" s="291"/>
      <c r="L97" s="291"/>
      <c r="M97" s="291"/>
    </row>
    <row r="98" spans="1:29" ht="12" customHeight="1" x14ac:dyDescent="0.4">
      <c r="A98" s="76"/>
      <c r="B98" s="211" t="s">
        <v>104</v>
      </c>
      <c r="C98" s="291"/>
      <c r="D98" s="291"/>
      <c r="E98" s="291">
        <f>E95*(1-AC120)</f>
        <v>1.1094255786866214</v>
      </c>
      <c r="F98" s="291">
        <f>E98</f>
        <v>1.1094255786866214</v>
      </c>
      <c r="G98" s="291">
        <f>E98</f>
        <v>1.1094255786866214</v>
      </c>
      <c r="H98" s="291">
        <f>E98</f>
        <v>1.1094255786866214</v>
      </c>
      <c r="I98" s="291">
        <f>E98</f>
        <v>1.1094255786866214</v>
      </c>
      <c r="J98" s="291"/>
      <c r="K98" s="291"/>
      <c r="L98" s="291"/>
      <c r="M98" s="217"/>
      <c r="N98" s="217"/>
      <c r="O98" s="217"/>
      <c r="P98" s="217"/>
      <c r="Q98" s="218"/>
      <c r="R98" s="218"/>
      <c r="S98" s="218"/>
      <c r="T98" s="217"/>
      <c r="U98" s="217"/>
      <c r="V98" s="217"/>
    </row>
    <row r="99" spans="1:29" x14ac:dyDescent="0.4">
      <c r="A99" s="76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17"/>
      <c r="N99" s="217"/>
      <c r="O99" s="217"/>
      <c r="P99" s="217"/>
      <c r="Q99" s="218"/>
      <c r="R99" s="218"/>
      <c r="S99" s="218"/>
      <c r="T99" s="217"/>
      <c r="U99" s="217"/>
      <c r="V99" s="217"/>
    </row>
    <row r="100" spans="1:29" x14ac:dyDescent="0.4">
      <c r="A100" s="76"/>
      <c r="C100" s="291"/>
      <c r="D100" s="291"/>
      <c r="E100" s="291"/>
      <c r="F100" s="291"/>
      <c r="G100" s="291"/>
      <c r="H100" s="291"/>
      <c r="I100" s="291"/>
      <c r="J100" s="291"/>
      <c r="K100" s="291"/>
      <c r="L100" s="291"/>
      <c r="M100" s="217"/>
      <c r="N100" s="217"/>
      <c r="O100" s="217"/>
      <c r="P100" s="217"/>
      <c r="Q100" s="217"/>
      <c r="R100" s="217"/>
      <c r="S100" s="217"/>
      <c r="T100" s="217"/>
      <c r="U100" s="217"/>
      <c r="V100" s="217"/>
    </row>
    <row r="101" spans="1:29" x14ac:dyDescent="0.4">
      <c r="A101" s="76"/>
      <c r="B101" s="274" t="s">
        <v>421</v>
      </c>
      <c r="C101" s="291"/>
      <c r="D101" s="291"/>
      <c r="E101" s="291"/>
      <c r="F101" s="291"/>
      <c r="G101" s="291"/>
      <c r="H101" s="291"/>
      <c r="I101" s="291"/>
      <c r="J101" s="291"/>
      <c r="K101" s="291"/>
      <c r="L101" s="291"/>
      <c r="M101" s="217"/>
      <c r="N101" s="217"/>
      <c r="O101" s="217"/>
      <c r="P101" s="217"/>
      <c r="Q101" s="217"/>
      <c r="R101" s="217"/>
      <c r="S101" s="217"/>
      <c r="T101" s="217"/>
      <c r="U101" s="217"/>
      <c r="V101" s="217"/>
    </row>
    <row r="102" spans="1:29" x14ac:dyDescent="0.4">
      <c r="A102" s="76"/>
      <c r="B102" s="274" t="str">
        <f>'BGS PTY19 Cost Alloc'!$B$102</f>
        <v xml:space="preserve"> </v>
      </c>
      <c r="M102" s="217"/>
      <c r="N102" s="217"/>
      <c r="O102" s="217"/>
      <c r="P102" s="217"/>
      <c r="Q102" s="217"/>
      <c r="R102" s="217"/>
      <c r="S102" s="217"/>
      <c r="T102" s="217"/>
      <c r="U102" s="217"/>
      <c r="V102" s="217"/>
    </row>
    <row r="103" spans="1:29" ht="15.35" x14ac:dyDescent="0.5">
      <c r="A103" s="76"/>
      <c r="B103" s="382" t="str">
        <f>$B$1</f>
        <v xml:space="preserve">Jersey Central Power &amp; Light </v>
      </c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217"/>
      <c r="N103" s="217"/>
      <c r="O103" s="217"/>
      <c r="P103" s="217"/>
      <c r="Q103" s="217"/>
      <c r="R103" s="217"/>
      <c r="S103" s="217"/>
      <c r="T103" s="217"/>
      <c r="U103" s="217"/>
      <c r="V103" s="217"/>
    </row>
    <row r="104" spans="1:29" ht="15.35" x14ac:dyDescent="0.5">
      <c r="A104" s="76"/>
      <c r="B104" s="382" t="str">
        <f>$B$2</f>
        <v>Attachment 2</v>
      </c>
      <c r="C104" s="382"/>
      <c r="D104" s="382"/>
      <c r="E104" s="382"/>
      <c r="F104" s="382"/>
      <c r="G104" s="382"/>
      <c r="H104" s="382"/>
      <c r="I104" s="382"/>
      <c r="J104" s="382"/>
      <c r="K104" s="382"/>
      <c r="L104" s="382"/>
      <c r="M104" s="217"/>
      <c r="N104" s="217"/>
      <c r="O104" s="217"/>
      <c r="P104" s="217"/>
      <c r="Q104" s="217"/>
      <c r="R104" s="217"/>
      <c r="S104" s="217"/>
      <c r="T104" s="217"/>
      <c r="U104" s="217"/>
      <c r="V104" s="217"/>
    </row>
    <row r="105" spans="1:29" x14ac:dyDescent="0.4">
      <c r="A105" s="76"/>
      <c r="M105" s="217"/>
      <c r="N105" s="217"/>
      <c r="O105" s="217"/>
      <c r="P105" s="217"/>
      <c r="Q105" s="217"/>
      <c r="R105" s="217"/>
      <c r="S105" s="217"/>
      <c r="T105" s="217"/>
      <c r="U105" s="217"/>
      <c r="V105" s="217"/>
    </row>
    <row r="106" spans="1:29" x14ac:dyDescent="0.4">
      <c r="A106" s="76"/>
      <c r="M106" s="217"/>
      <c r="N106" s="217"/>
      <c r="O106" s="217"/>
      <c r="P106" s="217"/>
      <c r="Q106" s="217"/>
      <c r="R106" s="217"/>
      <c r="S106" s="217"/>
      <c r="T106" s="217"/>
      <c r="U106" s="217"/>
      <c r="V106" s="217"/>
    </row>
    <row r="107" spans="1:29" x14ac:dyDescent="0.4">
      <c r="A107" s="77" t="s">
        <v>105</v>
      </c>
      <c r="B107" s="78" t="s">
        <v>106</v>
      </c>
      <c r="M107" s="217"/>
      <c r="N107" s="217"/>
      <c r="O107" s="217"/>
      <c r="P107" s="217"/>
      <c r="Q107" s="217"/>
      <c r="R107" s="217"/>
      <c r="S107" s="217"/>
      <c r="T107" s="217"/>
      <c r="U107" s="217"/>
      <c r="V107" s="217"/>
    </row>
    <row r="108" spans="1:29" x14ac:dyDescent="0.4">
      <c r="A108" s="76"/>
      <c r="B108" s="79" t="s">
        <v>107</v>
      </c>
      <c r="M108" s="217"/>
      <c r="N108" s="217"/>
      <c r="O108" s="217"/>
      <c r="P108" s="217"/>
      <c r="Q108" s="217"/>
      <c r="R108" s="217"/>
      <c r="S108" s="332"/>
      <c r="T108" s="217"/>
      <c r="U108" s="217"/>
      <c r="V108" s="217"/>
    </row>
    <row r="109" spans="1:29" x14ac:dyDescent="0.4">
      <c r="A109" s="76"/>
      <c r="B109" s="79" t="s">
        <v>81</v>
      </c>
      <c r="M109" s="217"/>
      <c r="N109" s="217"/>
      <c r="O109" s="217"/>
      <c r="P109" s="217"/>
      <c r="Q109" s="217"/>
      <c r="R109" s="217"/>
      <c r="S109" s="229"/>
      <c r="T109" s="217"/>
      <c r="U109" s="217"/>
      <c r="V109" s="217"/>
      <c r="W109" s="211" t="s">
        <v>397</v>
      </c>
      <c r="AC109" s="330">
        <v>4.6610000000000002E-3</v>
      </c>
    </row>
    <row r="110" spans="1:29" x14ac:dyDescent="0.4">
      <c r="A110" s="76"/>
      <c r="B110" s="78"/>
      <c r="C110" s="80"/>
      <c r="D110" s="80"/>
      <c r="E110" s="80" t="str">
        <f>+E$13</f>
        <v>RT{1}</v>
      </c>
      <c r="F110" s="80" t="str">
        <f>+F$13</f>
        <v>RS{2}</v>
      </c>
      <c r="G110" s="80" t="str">
        <f>+G$13</f>
        <v>GS{3}</v>
      </c>
      <c r="H110" s="80" t="str">
        <f>+H$58</f>
        <v>GST {4}</v>
      </c>
      <c r="I110" s="80" t="str">
        <f>+I$13</f>
        <v>OL/SL</v>
      </c>
      <c r="J110" s="80"/>
      <c r="K110" s="80"/>
      <c r="L110" s="80"/>
      <c r="M110" s="97"/>
      <c r="N110" s="333"/>
      <c r="O110" s="217"/>
      <c r="P110" s="334"/>
      <c r="Q110" s="217"/>
      <c r="R110" s="217"/>
      <c r="S110" s="217"/>
      <c r="T110" s="217"/>
      <c r="U110" s="217"/>
      <c r="V110" s="217"/>
      <c r="W110" s="40"/>
      <c r="X110" s="217"/>
      <c r="Y110" s="217"/>
      <c r="Z110" s="217"/>
      <c r="AA110" s="217"/>
      <c r="AB110" s="217"/>
      <c r="AC110" s="107"/>
    </row>
    <row r="111" spans="1:29" x14ac:dyDescent="0.4">
      <c r="A111" s="76"/>
      <c r="M111" s="217"/>
      <c r="N111" s="217"/>
      <c r="O111" s="217"/>
      <c r="P111" s="217"/>
      <c r="Q111" s="217"/>
      <c r="R111" s="215"/>
      <c r="S111" s="84"/>
      <c r="T111" s="217"/>
      <c r="U111" s="217"/>
      <c r="V111" s="217"/>
      <c r="W111" s="97"/>
      <c r="X111" s="333"/>
      <c r="Y111" s="217"/>
      <c r="Z111" s="334"/>
      <c r="AA111" s="217"/>
      <c r="AB111" s="217"/>
      <c r="AC111" s="217"/>
    </row>
    <row r="112" spans="1:29" x14ac:dyDescent="0.4">
      <c r="A112" s="76"/>
      <c r="B112" s="235" t="s">
        <v>111</v>
      </c>
      <c r="C112" s="44"/>
      <c r="D112" s="44"/>
      <c r="E112" s="335">
        <f>(SUMPRODUCT(E20:E23,E65:E68,$D84:$D87,$H84:$H87)*E95+SUMPRODUCT(Q20:Q23,E65:E68,$F84:$F87,$I84:$I87)*E95)/SUM(E65:E68)</f>
        <v>35.365827107962062</v>
      </c>
      <c r="F112" s="335">
        <f>(SUMPRODUCT(F20:F23,F65:F68,$D84:$D87,$H84:$H87)*F95+SUMPRODUCT(R20:R23,F65:F68,$F84:$F87,$I84:$I87)*F95)/SUM(F65:F68)</f>
        <v>35.50442414222195</v>
      </c>
      <c r="G112" s="335">
        <f>(SUMPRODUCT(G20:G23,G65:G68,$D84:$D87,$H84:$H87)*G95+SUMPRODUCT(S20:S23,G65:G68,$F84:$F87,$I84:$I87)*G95)/SUM(G65:G68)</f>
        <v>36.309027247110606</v>
      </c>
      <c r="H112" s="335">
        <f>(SUMPRODUCT(H20:H23,H65:H68,$D84:$D87,$H84:$H87)*H95+SUMPRODUCT(T20:T23,H65:H68,$F84:$F87,$I84:$I87)*H95)/SUM(H65:H68)</f>
        <v>35.968250504699789</v>
      </c>
      <c r="I112" s="335">
        <f>(SUMPRODUCT(I20:I23,I65:I68,$D84:$D87,$H84:$H87)*I95+SUMPRODUCT(U20:U23,I65:I68,$F84:$F87,$I84:$I87)*I95)/SUM(I65:I68)</f>
        <v>31.945397749188057</v>
      </c>
      <c r="J112" s="336"/>
      <c r="K112" s="44"/>
      <c r="L112" s="44"/>
      <c r="M112" s="40"/>
      <c r="N112" s="217"/>
      <c r="O112" s="217"/>
      <c r="P112" s="217"/>
      <c r="Q112" s="217"/>
      <c r="R112" s="217"/>
      <c r="S112" s="217"/>
      <c r="T112" s="217"/>
      <c r="U112" s="217"/>
      <c r="V112" s="217"/>
      <c r="W112" s="217"/>
      <c r="X112" s="217"/>
      <c r="Y112" s="217"/>
      <c r="Z112" s="217"/>
      <c r="AA112" s="217"/>
      <c r="AB112" s="215"/>
      <c r="AC112" s="84"/>
    </row>
    <row r="113" spans="1:29" x14ac:dyDescent="0.4">
      <c r="A113" s="76"/>
      <c r="B113" s="236" t="s">
        <v>113</v>
      </c>
      <c r="C113" s="44"/>
      <c r="D113" s="44"/>
      <c r="E113" s="335">
        <f>(SUMPRODUCT(E20:E23,E65:E68,$D84:$D87,$H84:$H87)*E95)/SUMPRODUCT(E20:E23,E65:E68)</f>
        <v>42.739757031469964</v>
      </c>
      <c r="F113" s="335">
        <f>(SUMPRODUCT(F20:F23,F65:F68,$D84:$D87,$H84:$H87)*F95)/SUMPRODUCT(F20:F23,F65:F68)</f>
        <v>42.827481058357662</v>
      </c>
      <c r="G113" s="335">
        <f>(SUMPRODUCT(G20:G23,G65:G68,$D84:$D87,$H84:$H87)*G95)/SUMPRODUCT(G20:G23,G65:G68)</f>
        <v>42.659263730379159</v>
      </c>
      <c r="H113" s="335">
        <f>(SUMPRODUCT(H20:H23,H65:H68,$D84:$D87,$H84:$H87)*H95)/SUMPRODUCT(H20:H23,H65:H68)</f>
        <v>42.555058256360617</v>
      </c>
      <c r="I113" s="335">
        <f>(SUMPRODUCT(I20:I23,I65:I68,$D84:$D87,$H84:$H87)*I95)/SUMPRODUCT(I20:I23,I65:I68)</f>
        <v>42.545192955891558</v>
      </c>
      <c r="J113" s="336"/>
      <c r="K113" s="44"/>
      <c r="L113" s="44"/>
      <c r="M113" s="40"/>
      <c r="N113" s="217"/>
      <c r="O113" s="217"/>
      <c r="P113" s="217"/>
      <c r="Q113" s="217"/>
      <c r="R113" s="217"/>
      <c r="S113" s="107"/>
      <c r="T113" s="217"/>
      <c r="U113" s="217"/>
      <c r="V113" s="217"/>
      <c r="W113" s="217"/>
      <c r="X113" s="217"/>
      <c r="Y113" s="217"/>
      <c r="Z113" s="217"/>
      <c r="AA113" s="217"/>
      <c r="AB113" s="217"/>
      <c r="AC113" s="217"/>
    </row>
    <row r="114" spans="1:29" x14ac:dyDescent="0.4">
      <c r="A114" s="76"/>
      <c r="B114" s="236" t="s">
        <v>114</v>
      </c>
      <c r="C114" s="44"/>
      <c r="D114" s="44"/>
      <c r="E114" s="335">
        <f>(SUMPRODUCT(Q20:Q23,E65:E68,$F84:$F87,$I84:$I87)*E95)/SUMPRODUCT(Q20:Q23,E65:E68)</f>
        <v>27.644256035565071</v>
      </c>
      <c r="F114" s="335">
        <f>(SUMPRODUCT(R20:R23,F65:F68,$F84:$F87,$I84:$I87)*F95)/SUMPRODUCT(R20:R23,F65:F68)</f>
        <v>27.712670971430736</v>
      </c>
      <c r="G114" s="335">
        <f>(SUMPRODUCT(S20:S23,G65:G68,$F84:$F87,$I84:$I87)*G95)/SUMPRODUCT(S20:S23,G65:G68)</f>
        <v>27.61353948845067</v>
      </c>
      <c r="H114" s="335">
        <f>(SUMPRODUCT(T20:T23,H65:H68,$F84:$F87,$I84:$I87)*H95)/SUMPRODUCT(T20:T23,H65:H68)</f>
        <v>27.566487439275527</v>
      </c>
      <c r="I114" s="335">
        <f>(SUMPRODUCT(U20:U23,I65:I68,$F84:$F87,$I84:$I87)*I95)/SUMPRODUCT(U20:U23,I65:I68)</f>
        <v>27.548842789013612</v>
      </c>
      <c r="J114" s="336"/>
      <c r="K114" s="44"/>
      <c r="L114" s="44"/>
      <c r="M114" s="97"/>
      <c r="N114" s="333"/>
      <c r="O114" s="217"/>
      <c r="P114" s="334"/>
      <c r="Q114" s="217"/>
      <c r="R114" s="217"/>
      <c r="S114" s="217"/>
      <c r="T114" s="217"/>
      <c r="U114" s="217"/>
      <c r="V114" s="217"/>
      <c r="W114" s="40"/>
      <c r="X114" s="217"/>
      <c r="Y114" s="217"/>
      <c r="Z114" s="217"/>
      <c r="AA114" s="217"/>
      <c r="AB114" s="217"/>
      <c r="AC114" s="107"/>
    </row>
    <row r="115" spans="1:29" x14ac:dyDescent="0.4">
      <c r="A115" s="76"/>
      <c r="C115" s="32"/>
      <c r="D115" s="32"/>
      <c r="E115" s="337"/>
      <c r="F115" s="337"/>
      <c r="G115" s="337"/>
      <c r="H115" s="337"/>
      <c r="I115" s="337"/>
      <c r="J115" s="336"/>
      <c r="K115" s="32"/>
      <c r="L115" s="32"/>
      <c r="M115" s="217"/>
      <c r="N115" s="217"/>
      <c r="O115" s="217"/>
      <c r="P115" s="217"/>
      <c r="Q115" s="217"/>
      <c r="R115" s="215"/>
      <c r="S115" s="84"/>
      <c r="T115" s="217"/>
      <c r="U115" s="217"/>
      <c r="V115" s="217"/>
      <c r="W115" s="97"/>
      <c r="X115" s="333"/>
      <c r="Y115" s="217"/>
      <c r="Z115" s="334"/>
      <c r="AA115" s="217"/>
      <c r="AB115" s="217"/>
      <c r="AC115" s="217"/>
    </row>
    <row r="116" spans="1:29" x14ac:dyDescent="0.4">
      <c r="A116" s="76"/>
      <c r="B116" s="235" t="s">
        <v>115</v>
      </c>
      <c r="C116" s="44"/>
      <c r="D116" s="44"/>
      <c r="E116" s="335">
        <f>(SUMPRODUCT(E15:E19,E60:E64,$D79:$D83,$H79:$H83)*E95+SUMPRODUCT(Q15:Q19,E60:E64,$F79:$F83,$I79:$I83)*E95+SUMPRODUCT(E24:E26,E69:E71,$D88:$D90,$H88:$H90)*E95+SUMPRODUCT(Q24:Q26,E69:E71,$F88:$F90,$I88:$I90)*E95)/SUM(E60:E64,E69:E71)</f>
        <v>31.064580057771547</v>
      </c>
      <c r="F116" s="335">
        <f>(SUMPRODUCT(F15:F19,F60:F64,$D79:$D83,$H79:$H83)*F95+SUMPRODUCT(R15:R19,F60:F64,$F79:$F83,$I79:$I83)*F95+SUMPRODUCT(F24:F26,F69:F71,$D88:$D90,$H88:$H90)*F95+SUMPRODUCT(R24:R26,F69:F71,$F88:$F90,$I88:$I90)*F95)/SUM(F60:F64,F69:F71)</f>
        <v>30.89125161474405</v>
      </c>
      <c r="G116" s="335">
        <f>(SUMPRODUCT(G15:G19,G60:G64,$D79:$D83,$H79:$H83)*G95+SUMPRODUCT(S15:S19,G60:G64,$F79:$F83,$I79:$I83)*G95+SUMPRODUCT(G24:G26,G69:G71,$D88:$D90,$H88:$H90)*G95+SUMPRODUCT(S24:S26,G69:G71,$F88:$F90,$I88:$I90)*G95)/SUM(G60:G64,G69:G71)</f>
        <v>31.034123730615452</v>
      </c>
      <c r="H116" s="335">
        <f>(SUMPRODUCT(H15:H19,H60:H64,$D79:$D83,$H79:$H83)*H95+SUMPRODUCT(T15:T19,H60:H64,$F79:$F83,$I79:$I83)*H95+SUMPRODUCT(H24:H26,H69:H71,$D88:$D90,$H88:$H90)*H95+SUMPRODUCT(T24:T26,H69:H71,$F88:$F90,$I88:$I90)*H95)/SUM(H60:H64,H69:H71)</f>
        <v>30.610117753457011</v>
      </c>
      <c r="I116" s="335">
        <f>(SUMPRODUCT(I15:I19,I60:I64,$D79:$D83,$H79:$H83)*I95+SUMPRODUCT(U15:U19,I60:I64,$F79:$F83,$I79:$I83)*I95+SUMPRODUCT(I24:I26,I69:I71,$D88:$D90,$H88:$H90)*I95+SUMPRODUCT(U24:U26,I69:I71,$F88:$F90,$I88:$I90)*I95)/SUM(I60:I64,I69:I71)</f>
        <v>29.14202650326445</v>
      </c>
      <c r="J116" s="336"/>
      <c r="K116" s="44"/>
      <c r="L116" s="44"/>
      <c r="M116" s="338"/>
      <c r="N116" s="217"/>
      <c r="O116" s="217"/>
      <c r="P116" s="217"/>
      <c r="Q116" s="217"/>
      <c r="R116" s="217"/>
      <c r="S116" s="217"/>
      <c r="T116" s="217"/>
      <c r="U116" s="217"/>
      <c r="V116" s="217"/>
      <c r="W116" s="217"/>
      <c r="X116" s="217"/>
      <c r="Y116" s="217"/>
      <c r="Z116" s="217"/>
      <c r="AA116" s="217"/>
      <c r="AB116" s="215"/>
      <c r="AC116" s="84"/>
    </row>
    <row r="117" spans="1:29" x14ac:dyDescent="0.4">
      <c r="A117" s="76"/>
      <c r="B117" s="236" t="s">
        <v>113</v>
      </c>
      <c r="C117" s="44"/>
      <c r="D117" s="44"/>
      <c r="E117" s="335">
        <f>(SUMPRODUCT(E15:E19,E60:E64,$D79:$D83,$H79:$H83)*E95+SUMPRODUCT(E24:E26,E69:E71,$D88:$D90,$H88:$H90)*E95)/(SUMPRODUCT(E15:E19,E60:E64)+SUMPRODUCT(E24:E26,E69:E71))</f>
        <v>34.587564232734671</v>
      </c>
      <c r="F117" s="335">
        <f>(SUMPRODUCT(F15:F19,F60:F64,$D79:$D83,$H79:$H83)*F95+SUMPRODUCT(F24:F26,F69:F71,$D88:$D90,$H88:$H90)*F95)/(SUMPRODUCT(F15:F19,F60:F64)+SUMPRODUCT(F24:F26,F69:F71))</f>
        <v>34.21145487729229</v>
      </c>
      <c r="G117" s="335">
        <f>(SUMPRODUCT(G15:G19,G60:G64,$D79:$D83,$H79:$H83)*G95+SUMPRODUCT(G24:G26,G69:G71,$D88:$D90,$H88:$H90)*G95)/(SUMPRODUCT(G15:G19,G60:G64)+SUMPRODUCT(G24:G26,G69:G71))</f>
        <v>33.756376337005456</v>
      </c>
      <c r="H117" s="335">
        <f>(SUMPRODUCT(H15:H19,H60:H64,$D79:$D83,$H79:$H83)*H95+SUMPRODUCT(H24:H26,H69:H71,$D88:$D90,$H88:$H90)*H95)/(SUMPRODUCT(H15:H19,H60:H64)+SUMPRODUCT(H24:H26,H69:H71))</f>
        <v>33.524980737284075</v>
      </c>
      <c r="I117" s="335">
        <f>(SUMPRODUCT(I15:I19,I60:I64,$D79:$D83,$H79:$H83)*I95+SUMPRODUCT(I24:I26,I69:I71,$D88:$D90,$H88:$H90)*I95)/(SUMPRODUCT(I15:I19,I60:I64)+SUMPRODUCT(I24:I26,I69:I71))</f>
        <v>33.658737698701273</v>
      </c>
      <c r="J117" s="336"/>
      <c r="K117" s="44"/>
      <c r="L117" s="44"/>
      <c r="M117" s="40"/>
      <c r="N117" s="217"/>
      <c r="O117" s="217"/>
      <c r="P117" s="217"/>
      <c r="Q117" s="217"/>
      <c r="R117" s="217"/>
      <c r="S117" s="107"/>
      <c r="T117" s="217"/>
      <c r="U117" s="217"/>
      <c r="V117" s="217"/>
      <c r="W117" s="217"/>
      <c r="X117" s="217"/>
      <c r="Y117" s="217"/>
      <c r="Z117" s="217"/>
      <c r="AA117" s="217"/>
      <c r="AB117" s="217"/>
      <c r="AC117" s="217"/>
    </row>
    <row r="118" spans="1:29" x14ac:dyDescent="0.4">
      <c r="A118" s="76"/>
      <c r="B118" s="236" t="s">
        <v>114</v>
      </c>
      <c r="C118" s="44"/>
      <c r="D118" s="44"/>
      <c r="E118" s="335">
        <f>(SUMPRODUCT(Q15:Q19,E60:E64,$F79:$F83,$I79:$I83)*E95+SUMPRODUCT(Q24:Q26,E69:E71,$F88:$F90,$I88:$I90)*E95)/(SUMPRODUCT(Q15:Q19,E60:E64)+SUMPRODUCT(Q24:Q26,E69:E71))</f>
        <v>27.838524511038848</v>
      </c>
      <c r="F118" s="335">
        <f>(SUMPRODUCT(R15:R19,F60:F64,$F79:$F83,$I79:$I83)*F95+SUMPRODUCT(R24:R26,F69:F71,$F88:$F90,$I88:$I90)*F95)/(SUMPRODUCT(R15:R19,F60:F64)+SUMPRODUCT(R24:R26,F69:F71))</f>
        <v>27.523657744456564</v>
      </c>
      <c r="G118" s="335">
        <f>(SUMPRODUCT(S15:S19,G60:G64,$F79:$F83,$I79:$I83)*G95+SUMPRODUCT(S24:S26,G69:G71,$F88:$F90,$I88:$I90)*G95)/(SUMPRODUCT(S15:S19,G60:G64)+SUMPRODUCT(S24:S26,G69:G71))</f>
        <v>27.279016669017889</v>
      </c>
      <c r="H118" s="335">
        <f>(SUMPRODUCT(T15:T19,H60:H64,$F79:$F83,$I79:$I83)*H95+SUMPRODUCT(T24:T26,H69:H71,$F88:$F90,$I88:$I90)*H95)/(SUMPRODUCT(T15:T19,H60:H64)+SUMPRODUCT(T24:T26,H69:H71))</f>
        <v>27.029907815328155</v>
      </c>
      <c r="I118" s="335">
        <f>(SUMPRODUCT(U15:U19,I60:I64,$F79:$F83,$I79:$I83)*I95+SUMPRODUCT(U24:U26,I69:I71,$F88:$F90,$I88:$I90)*I95)/(SUMPRODUCT(U15:U19,I60:I64)+SUMPRODUCT(U24:U26,I69:I71))</f>
        <v>27.047865081201088</v>
      </c>
      <c r="J118" s="336"/>
      <c r="K118" s="44"/>
      <c r="L118" s="44"/>
      <c r="M118" s="97"/>
      <c r="N118" s="333"/>
      <c r="O118" s="217"/>
      <c r="P118" s="334"/>
      <c r="Q118" s="217"/>
      <c r="R118" s="217"/>
      <c r="S118" s="217"/>
      <c r="T118" s="217"/>
      <c r="U118" s="217"/>
      <c r="V118" s="217"/>
      <c r="W118" s="32" t="s">
        <v>427</v>
      </c>
      <c r="AC118" s="339">
        <v>1.2293999999999999E-2</v>
      </c>
    </row>
    <row r="119" spans="1:29" ht="13" thickBot="1" x14ac:dyDescent="0.45">
      <c r="A119" s="76"/>
      <c r="C119" s="32"/>
      <c r="D119" s="32"/>
      <c r="E119" s="337"/>
      <c r="F119" s="337"/>
      <c r="G119" s="337"/>
      <c r="H119" s="337"/>
      <c r="I119" s="337"/>
      <c r="J119" s="336"/>
      <c r="K119" s="32"/>
      <c r="L119" s="32"/>
      <c r="M119" s="217"/>
      <c r="N119" s="217"/>
      <c r="O119" s="217"/>
      <c r="P119" s="217"/>
      <c r="Q119" s="217"/>
      <c r="R119" s="215"/>
      <c r="S119" s="84"/>
      <c r="T119" s="217"/>
      <c r="U119" s="217"/>
      <c r="V119" s="217"/>
      <c r="W119" s="98" t="s">
        <v>3</v>
      </c>
      <c r="X119" s="340">
        <v>1</v>
      </c>
      <c r="Y119" s="211" t="s">
        <v>108</v>
      </c>
      <c r="Z119" s="341">
        <v>1</v>
      </c>
      <c r="AB119" s="211" t="s">
        <v>109</v>
      </c>
    </row>
    <row r="120" spans="1:29" ht="13" thickBot="1" x14ac:dyDescent="0.45">
      <c r="A120" s="76"/>
      <c r="B120" s="211" t="s">
        <v>117</v>
      </c>
      <c r="C120" s="44"/>
      <c r="D120" s="32"/>
      <c r="E120" s="337">
        <f>(E112*SUM(E65:E68)+E116*SUM(E60:E64,E69:E71))/E72</f>
        <v>32.480666819861753</v>
      </c>
      <c r="F120" s="337">
        <f>(F112*SUM(F65:F68)+F116*SUM(F60:F64,F69:F71))/F72</f>
        <v>32.808868989139341</v>
      </c>
      <c r="G120" s="337">
        <f>(G112*SUM(G65:G68)+G116*SUM(G60:G64,G69:G71))/G72</f>
        <v>32.946185257766544</v>
      </c>
      <c r="H120" s="337">
        <f>(H112*SUM(H65:H68)+H116*SUM(H60:H64,H69:H71))/H72</f>
        <v>32.448507671630345</v>
      </c>
      <c r="I120" s="337">
        <f>(I112*SUM(I65:I68)+I116*SUM(I60:I64,I69:I71))/I72</f>
        <v>30.076516059855216</v>
      </c>
      <c r="J120" s="336"/>
      <c r="K120" s="32"/>
      <c r="L120" s="32"/>
      <c r="M120" s="40"/>
      <c r="N120" s="217"/>
      <c r="O120" s="217"/>
      <c r="P120" s="217"/>
      <c r="Q120" s="217"/>
      <c r="R120" s="217"/>
      <c r="S120" s="217"/>
      <c r="T120" s="217"/>
      <c r="U120" s="217"/>
      <c r="V120" s="217"/>
      <c r="W120" s="211" t="s">
        <v>112</v>
      </c>
      <c r="Z120" s="211" t="s">
        <v>250</v>
      </c>
      <c r="AB120" s="212" t="s">
        <v>110</v>
      </c>
      <c r="AC120" s="13">
        <f>1-(1-AC118)/(1-$AC$109)</f>
        <v>7.6687440158579312E-3</v>
      </c>
    </row>
    <row r="121" spans="1:29" x14ac:dyDescent="0.4">
      <c r="A121" s="76"/>
      <c r="C121" s="44"/>
      <c r="D121" s="32"/>
      <c r="E121" s="32"/>
      <c r="F121" s="32"/>
      <c r="G121" s="32"/>
      <c r="H121" s="32"/>
      <c r="I121" s="32"/>
      <c r="J121" s="32"/>
      <c r="K121" s="32"/>
      <c r="L121" s="32"/>
      <c r="M121" s="40"/>
      <c r="N121" s="217"/>
      <c r="O121" s="217"/>
      <c r="P121" s="217"/>
      <c r="Q121" s="217"/>
      <c r="R121" s="217"/>
      <c r="S121" s="107"/>
      <c r="T121" s="217"/>
      <c r="U121" s="217"/>
      <c r="V121" s="217"/>
    </row>
    <row r="122" spans="1:29" x14ac:dyDescent="0.4">
      <c r="A122" s="76"/>
      <c r="B122" s="211" t="s">
        <v>118</v>
      </c>
      <c r="C122" s="44">
        <f>SUMPRODUCT(C120:I120,C72:I72)/SUM(C72:I72)</f>
        <v>32.828771961493025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97"/>
      <c r="N122" s="333"/>
      <c r="O122" s="217"/>
      <c r="P122" s="334"/>
      <c r="Q122" s="217"/>
      <c r="R122" s="217"/>
      <c r="S122" s="217"/>
      <c r="T122" s="217"/>
      <c r="U122" s="217"/>
      <c r="V122" s="217"/>
    </row>
    <row r="123" spans="1:29" x14ac:dyDescent="0.4">
      <c r="A123" s="76"/>
      <c r="C123" s="44"/>
      <c r="D123" s="32"/>
      <c r="E123" s="32"/>
      <c r="F123" s="32"/>
      <c r="G123" s="32"/>
      <c r="H123" s="32"/>
      <c r="I123" s="32"/>
      <c r="J123" s="32"/>
      <c r="K123" s="32"/>
      <c r="L123" s="32"/>
      <c r="M123" s="217"/>
      <c r="N123" s="217"/>
      <c r="O123" s="217"/>
      <c r="P123" s="217"/>
      <c r="Q123" s="217"/>
      <c r="R123" s="215"/>
      <c r="S123" s="84"/>
      <c r="T123" s="217"/>
      <c r="U123" s="217"/>
      <c r="V123" s="217"/>
    </row>
    <row r="124" spans="1:29" x14ac:dyDescent="0.4">
      <c r="A124" s="76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40"/>
      <c r="N124" s="217"/>
      <c r="O124" s="217"/>
      <c r="P124" s="217"/>
      <c r="Q124" s="217"/>
      <c r="R124" s="217"/>
      <c r="S124" s="217"/>
      <c r="T124" s="217"/>
      <c r="U124" s="217"/>
      <c r="V124" s="217"/>
    </row>
    <row r="125" spans="1:29" x14ac:dyDescent="0.4">
      <c r="A125" s="77" t="s">
        <v>119</v>
      </c>
      <c r="B125" s="78" t="s">
        <v>120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40"/>
      <c r="N125" s="217"/>
      <c r="O125" s="217"/>
      <c r="P125" s="217"/>
      <c r="Q125" s="217"/>
      <c r="R125" s="217"/>
      <c r="S125" s="107"/>
      <c r="T125" s="217"/>
      <c r="U125" s="217"/>
      <c r="V125" s="217"/>
    </row>
    <row r="126" spans="1:29" x14ac:dyDescent="0.4">
      <c r="A126" s="76"/>
      <c r="B126" s="79" t="s">
        <v>121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97"/>
      <c r="N126" s="333"/>
      <c r="O126" s="217"/>
      <c r="P126" s="334"/>
      <c r="Q126" s="217"/>
      <c r="R126" s="217"/>
      <c r="S126" s="217"/>
      <c r="T126" s="217"/>
      <c r="U126" s="217"/>
      <c r="V126" s="217"/>
    </row>
    <row r="127" spans="1:29" x14ac:dyDescent="0.4">
      <c r="A127" s="76"/>
      <c r="B127" s="79" t="s">
        <v>122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217"/>
      <c r="N127" s="217"/>
      <c r="O127" s="217"/>
      <c r="P127" s="217"/>
      <c r="Q127" s="217"/>
      <c r="R127" s="215"/>
      <c r="S127" s="84"/>
      <c r="T127" s="217"/>
      <c r="U127" s="217"/>
      <c r="V127" s="217"/>
    </row>
    <row r="128" spans="1:29" x14ac:dyDescent="0.4">
      <c r="A128" s="76"/>
      <c r="B128" s="78"/>
      <c r="C128" s="80"/>
      <c r="D128" s="80"/>
      <c r="E128" s="80" t="str">
        <f>+E$13</f>
        <v>RT{1}</v>
      </c>
      <c r="F128" s="80" t="str">
        <f>+F$13</f>
        <v>RS{2}</v>
      </c>
      <c r="G128" s="80" t="str">
        <f>+G$13</f>
        <v>GS{3}</v>
      </c>
      <c r="H128" s="80" t="str">
        <f>+H$58</f>
        <v>GST {4}</v>
      </c>
      <c r="I128" s="80" t="str">
        <f>+I$13</f>
        <v>OL/SL</v>
      </c>
      <c r="J128" s="80" t="s">
        <v>44</v>
      </c>
      <c r="K128" s="80"/>
      <c r="L128" s="80"/>
      <c r="M128" s="97"/>
      <c r="N128" s="217"/>
      <c r="O128" s="217"/>
      <c r="P128" s="217"/>
      <c r="Q128" s="217"/>
      <c r="R128" s="217"/>
      <c r="S128" s="217"/>
      <c r="T128" s="217"/>
      <c r="U128" s="217"/>
      <c r="V128" s="217"/>
    </row>
    <row r="129" spans="1:22" x14ac:dyDescent="0.4">
      <c r="A129" s="76"/>
      <c r="C129" s="319"/>
      <c r="M129" s="40"/>
      <c r="N129" s="217"/>
      <c r="O129" s="217"/>
      <c r="P129" s="217"/>
      <c r="Q129" s="217"/>
      <c r="R129" s="217"/>
      <c r="S129" s="107"/>
      <c r="T129" s="217"/>
      <c r="U129" s="217"/>
      <c r="V129" s="217"/>
    </row>
    <row r="130" spans="1:22" x14ac:dyDescent="0.4">
      <c r="A130" s="76"/>
      <c r="B130" s="235" t="s">
        <v>111</v>
      </c>
      <c r="C130" s="336"/>
      <c r="D130" s="336"/>
      <c r="E130" s="336">
        <f>SUM(E65:E68)*E112/1000</f>
        <v>2343.0567775567024</v>
      </c>
      <c r="F130" s="336">
        <f>SUM(F65:F68)*F112/1000</f>
        <v>133910.65186467697</v>
      </c>
      <c r="G130" s="336">
        <f>SUM(G65:G68)*G112/1000</f>
        <v>71772.961885044715</v>
      </c>
      <c r="H130" s="336">
        <f>SUM(H65:H68)*H112/1000</f>
        <v>2364.7326294314876</v>
      </c>
      <c r="I130" s="336">
        <f>SUM(I65:I68)*I112/1000</f>
        <v>1225.6810208408474</v>
      </c>
      <c r="J130" s="336">
        <f>SUM(E130:I130)</f>
        <v>211617.08417755074</v>
      </c>
      <c r="K130" s="336"/>
      <c r="L130" s="336"/>
      <c r="M130" s="97"/>
      <c r="N130" s="333"/>
      <c r="O130" s="217"/>
      <c r="P130" s="334"/>
      <c r="Q130" s="217"/>
      <c r="R130" s="217"/>
      <c r="S130" s="217"/>
      <c r="T130" s="217"/>
      <c r="U130" s="217"/>
      <c r="V130" s="217"/>
    </row>
    <row r="131" spans="1:22" x14ac:dyDescent="0.4">
      <c r="A131" s="76"/>
      <c r="B131" s="236" t="s">
        <v>113</v>
      </c>
      <c r="C131" s="336"/>
      <c r="D131" s="336"/>
      <c r="E131" s="336">
        <f>SUMPRODUCT(E65:E68,E20:E23)*E113/1000</f>
        <v>1448.4022280081726</v>
      </c>
      <c r="F131" s="336">
        <f>SUMPRODUCT(F65:F68,F20:F23)*F113/1000</f>
        <v>83269.829301044781</v>
      </c>
      <c r="G131" s="336">
        <f>SUMPRODUCT(G65:G68,G20:G23)*G113/1000</f>
        <v>48734.942801663296</v>
      </c>
      <c r="H131" s="336">
        <f>SUMPRODUCT(H65:H68,H20:H23)*H113/1000</f>
        <v>1568.2818810845947</v>
      </c>
      <c r="I131" s="336">
        <f>SUMPRODUCT(I65:I68,I20:I23)*I113/1000</f>
        <v>478.57123669975567</v>
      </c>
      <c r="J131" s="336">
        <f>SUM(E131:I131)</f>
        <v>135500.02744850062</v>
      </c>
      <c r="K131" s="336"/>
      <c r="L131" s="336"/>
      <c r="M131" s="217"/>
      <c r="N131" s="217"/>
      <c r="O131" s="217"/>
      <c r="P131" s="217"/>
      <c r="Q131" s="217"/>
      <c r="R131" s="215"/>
      <c r="S131" s="84"/>
      <c r="T131" s="217"/>
      <c r="U131" s="217"/>
      <c r="V131" s="217"/>
    </row>
    <row r="132" spans="1:22" x14ac:dyDescent="0.4">
      <c r="A132" s="76"/>
      <c r="B132" s="236" t="s">
        <v>114</v>
      </c>
      <c r="C132" s="336"/>
      <c r="D132" s="336"/>
      <c r="E132" s="336">
        <f>SUMPRODUCT(E65:E68,Q20:Q23)*E114/1000</f>
        <v>894.65454954852953</v>
      </c>
      <c r="F132" s="336">
        <f>SUMPRODUCT(F65:F68,R20:R23)*F114/1000</f>
        <v>50640.822563632195</v>
      </c>
      <c r="G132" s="336">
        <f>SUMPRODUCT(G65:G68,S20:S23)*G114/1000</f>
        <v>23038.019083381412</v>
      </c>
      <c r="H132" s="336">
        <f>SUMPRODUCT(H65:H68,T20:T23)*H114/1000</f>
        <v>796.45074834689274</v>
      </c>
      <c r="I132" s="336">
        <f>SUMPRODUCT(I65:I68,U20:U23)*I114/1000</f>
        <v>747.10978414109161</v>
      </c>
      <c r="J132" s="336">
        <f>SUM(E132:I132)</f>
        <v>76117.05672905012</v>
      </c>
      <c r="K132" s="336"/>
      <c r="L132" s="336"/>
      <c r="M132" s="342"/>
      <c r="N132" s="217"/>
      <c r="O132" s="217"/>
      <c r="P132" s="217"/>
      <c r="Q132" s="217"/>
      <c r="R132" s="217"/>
      <c r="S132" s="217"/>
      <c r="T132" s="217"/>
      <c r="U132" s="217"/>
      <c r="V132" s="217"/>
    </row>
    <row r="133" spans="1:22" x14ac:dyDescent="0.4">
      <c r="A133" s="76"/>
      <c r="C133" s="21"/>
      <c r="D133" s="21"/>
      <c r="E133" s="21"/>
      <c r="F133" s="21"/>
      <c r="G133" s="21"/>
      <c r="H133" s="21"/>
      <c r="I133" s="21"/>
      <c r="J133" s="336"/>
      <c r="K133" s="21"/>
      <c r="L133" s="21"/>
      <c r="M133" s="40"/>
      <c r="N133" s="217"/>
      <c r="O133" s="217"/>
      <c r="P133" s="217"/>
      <c r="Q133" s="217"/>
      <c r="R133" s="217"/>
      <c r="S133" s="107"/>
      <c r="T133" s="217"/>
      <c r="U133" s="217"/>
      <c r="V133" s="217"/>
    </row>
    <row r="134" spans="1:22" x14ac:dyDescent="0.4">
      <c r="A134" s="76"/>
      <c r="B134" s="235" t="s">
        <v>115</v>
      </c>
      <c r="C134" s="21"/>
      <c r="D134" s="21"/>
      <c r="E134" s="21">
        <f>SUM(E60:E64,E69:E71)*E116/1000</f>
        <v>4193.1902099381768</v>
      </c>
      <c r="F134" s="21">
        <f>SUM(F60:F64,F69:F71)*F116/1000</f>
        <v>163777.56968346279</v>
      </c>
      <c r="G134" s="21">
        <f>SUM(G60:G64,G69:G71)*G116/1000</f>
        <v>107892.27250402202</v>
      </c>
      <c r="H134" s="21">
        <f>SUM(H60:H64,H69:H71)*H116/1000</f>
        <v>3853.0179620986478</v>
      </c>
      <c r="I134" s="21">
        <f>SUM(I60:I64,I69:I71)*I116/1000</f>
        <v>2236.1259776484876</v>
      </c>
      <c r="J134" s="336">
        <f>SUM(E134:I134)</f>
        <v>281952.17633717012</v>
      </c>
      <c r="K134" s="21"/>
      <c r="L134" s="21"/>
      <c r="M134" s="97"/>
      <c r="N134" s="333"/>
      <c r="O134" s="217"/>
      <c r="P134" s="334"/>
      <c r="Q134" s="217"/>
      <c r="R134" s="217"/>
      <c r="S134" s="217"/>
      <c r="T134" s="217"/>
      <c r="U134" s="217"/>
      <c r="V134" s="217"/>
    </row>
    <row r="135" spans="1:22" x14ac:dyDescent="0.4">
      <c r="A135" s="76"/>
      <c r="B135" s="236" t="s">
        <v>113</v>
      </c>
      <c r="C135" s="336"/>
      <c r="D135" s="336"/>
      <c r="E135" s="336">
        <f>(SUMPRODUCT(E60:E64,E15:E19)+SUMPRODUCT(E69:E71,E24:E26))*E117/1000</f>
        <v>2231.6645332901176</v>
      </c>
      <c r="F135" s="336">
        <f>(SUMPRODUCT(F60:F64,F15:F19)+SUMPRODUCT(F69:F71,F24:F26))*F117/1000</f>
        <v>91332.86483427661</v>
      </c>
      <c r="G135" s="336">
        <f>(SUMPRODUCT(G60:G64,G15:G19)+SUMPRODUCT(G69:G71,G24:G26))*G117/1000</f>
        <v>68034.779914581741</v>
      </c>
      <c r="H135" s="336">
        <f>(SUMPRODUCT(H60:H64,H15:H19)+SUMPRODUCT(H69:H71,H24:H26))*H117/1000</f>
        <v>2326.1034890646415</v>
      </c>
      <c r="I135" s="336">
        <f>(SUMPRODUCT(I60:I64,I15:I19)+SUMPRODUCT(I69:I71,I24:I26))*I117/1000</f>
        <v>818.13638725197575</v>
      </c>
      <c r="J135" s="336">
        <f>SUM(E135:I135)</f>
        <v>164743.54915846512</v>
      </c>
      <c r="K135" s="336"/>
      <c r="L135" s="336"/>
      <c r="M135" s="217"/>
      <c r="N135" s="217"/>
      <c r="O135" s="217"/>
      <c r="P135" s="217"/>
      <c r="Q135" s="217"/>
      <c r="R135" s="215"/>
      <c r="S135" s="84"/>
      <c r="T135" s="217"/>
      <c r="U135" s="217"/>
      <c r="V135" s="217"/>
    </row>
    <row r="136" spans="1:22" x14ac:dyDescent="0.4">
      <c r="A136" s="76"/>
      <c r="B136" s="236" t="s">
        <v>114</v>
      </c>
      <c r="C136" s="336"/>
      <c r="D136" s="336"/>
      <c r="E136" s="336">
        <f>+(SUMPRODUCT(E60:E64,Q15:Q19)+SUMPRODUCT(E69:E71,Q24:Q26))*E118/1000</f>
        <v>1961.5256766480593</v>
      </c>
      <c r="F136" s="336">
        <f>+(SUMPRODUCT(F60:F64,R15:R19)+SUMPRODUCT(F69:F71,R24:R26))*F118/1000</f>
        <v>72444.704849186208</v>
      </c>
      <c r="G136" s="336">
        <f>+(SUMPRODUCT(G60:G64,S15:S19)+SUMPRODUCT(G69:G71,S24:S26))*G118/1000</f>
        <v>39857.492589440277</v>
      </c>
      <c r="H136" s="336">
        <f>+(SUMPRODUCT(H60:H64,T15:T19)+SUMPRODUCT(H69:H71,T24:T26))*H118/1000</f>
        <v>1526.9144730340061</v>
      </c>
      <c r="I136" s="336">
        <f>+(SUMPRODUCT(I60:I64,U15:U19)+SUMPRODUCT(I69:I71,U24:U26))*I118/1000</f>
        <v>1417.9895903965119</v>
      </c>
      <c r="J136" s="336">
        <f>SUM(E136:I136)</f>
        <v>117208.62717870505</v>
      </c>
      <c r="K136" s="336"/>
      <c r="L136" s="336"/>
      <c r="M136" s="342"/>
      <c r="N136" s="217"/>
      <c r="O136" s="217"/>
      <c r="P136" s="217"/>
      <c r="Q136" s="217"/>
      <c r="R136" s="217"/>
      <c r="S136" s="217"/>
      <c r="T136" s="217"/>
      <c r="U136" s="217"/>
      <c r="V136" s="217"/>
    </row>
    <row r="137" spans="1:22" x14ac:dyDescent="0.4">
      <c r="A137" s="76"/>
      <c r="C137" s="32"/>
      <c r="D137" s="32"/>
      <c r="E137" s="32"/>
      <c r="F137" s="32"/>
      <c r="G137" s="32"/>
      <c r="H137" s="32"/>
      <c r="I137" s="32"/>
      <c r="J137" s="336"/>
      <c r="K137" s="32"/>
      <c r="L137" s="32"/>
      <c r="M137" s="40"/>
      <c r="N137" s="217"/>
      <c r="O137" s="217"/>
      <c r="P137" s="217"/>
      <c r="Q137" s="217"/>
      <c r="R137" s="217"/>
      <c r="S137" s="107"/>
      <c r="T137" s="217"/>
      <c r="U137" s="217"/>
      <c r="V137" s="217"/>
    </row>
    <row r="138" spans="1:22" x14ac:dyDescent="0.4">
      <c r="A138" s="76"/>
      <c r="B138" s="211" t="s">
        <v>117</v>
      </c>
      <c r="C138" s="21"/>
      <c r="D138" s="21"/>
      <c r="E138" s="21">
        <f>+E130+E134</f>
        <v>6536.2469874948792</v>
      </c>
      <c r="F138" s="21">
        <f>+F130+F134</f>
        <v>297688.22154813976</v>
      </c>
      <c r="G138" s="21">
        <f>+G130+G134</f>
        <v>179665.23438906675</v>
      </c>
      <c r="H138" s="21">
        <f>+H130+H134</f>
        <v>6217.7505915301354</v>
      </c>
      <c r="I138" s="21">
        <f>+I130+I134</f>
        <v>3461.806998489335</v>
      </c>
      <c r="J138" s="336">
        <f>SUM(E138:I138)</f>
        <v>493569.26051472081</v>
      </c>
      <c r="K138" s="21"/>
      <c r="L138" s="21"/>
      <c r="M138" s="97"/>
      <c r="N138" s="333"/>
      <c r="O138" s="217"/>
      <c r="P138" s="334"/>
      <c r="Q138" s="217"/>
      <c r="R138" s="217"/>
      <c r="S138" s="217"/>
      <c r="T138" s="217"/>
      <c r="U138" s="217"/>
      <c r="V138" s="217"/>
    </row>
    <row r="139" spans="1:22" x14ac:dyDescent="0.4">
      <c r="A139" s="76"/>
      <c r="M139" s="217"/>
      <c r="N139" s="217"/>
      <c r="O139" s="217"/>
      <c r="P139" s="217"/>
      <c r="Q139" s="217"/>
      <c r="R139" s="215"/>
      <c r="S139" s="84"/>
      <c r="T139" s="217"/>
      <c r="U139" s="217"/>
      <c r="V139" s="217"/>
    </row>
    <row r="140" spans="1:22" x14ac:dyDescent="0.4">
      <c r="A140" s="76"/>
      <c r="B140" s="211" t="s">
        <v>118</v>
      </c>
      <c r="C140" s="336">
        <f>SUM(C138:I138)</f>
        <v>493569.26051472081</v>
      </c>
      <c r="E140" s="343"/>
      <c r="F140" s="44"/>
      <c r="M140" s="217"/>
      <c r="N140" s="217"/>
      <c r="O140" s="217"/>
      <c r="P140" s="217"/>
      <c r="Q140" s="217"/>
      <c r="R140" s="217"/>
      <c r="S140" s="217"/>
      <c r="T140" s="217"/>
      <c r="U140" s="217"/>
      <c r="V140" s="217"/>
    </row>
    <row r="141" spans="1:22" x14ac:dyDescent="0.4">
      <c r="A141" s="76"/>
      <c r="M141" s="40"/>
      <c r="N141" s="217"/>
      <c r="O141" s="217"/>
      <c r="P141" s="217"/>
      <c r="Q141" s="217"/>
      <c r="R141" s="217"/>
      <c r="S141" s="107"/>
      <c r="T141" s="217"/>
      <c r="U141" s="217"/>
      <c r="V141" s="217"/>
    </row>
    <row r="142" spans="1:22" x14ac:dyDescent="0.4">
      <c r="A142" s="76"/>
      <c r="M142" s="97"/>
      <c r="N142" s="333"/>
      <c r="O142" s="217"/>
      <c r="P142" s="334"/>
      <c r="Q142" s="217"/>
      <c r="R142" s="217"/>
      <c r="S142" s="217"/>
      <c r="T142" s="217"/>
      <c r="U142" s="217"/>
      <c r="V142" s="217"/>
    </row>
    <row r="143" spans="1:22" ht="15.35" x14ac:dyDescent="0.5">
      <c r="A143" s="76"/>
      <c r="B143" s="382" t="str">
        <f>$B$1</f>
        <v xml:space="preserve">Jersey Central Power &amp; Light </v>
      </c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217"/>
      <c r="N143" s="217"/>
      <c r="O143" s="217"/>
      <c r="P143" s="217"/>
      <c r="Q143" s="217"/>
      <c r="R143" s="215"/>
      <c r="S143" s="84"/>
      <c r="T143" s="217"/>
      <c r="U143" s="217"/>
      <c r="V143" s="217"/>
    </row>
    <row r="144" spans="1:22" ht="15.35" x14ac:dyDescent="0.5">
      <c r="A144" s="76"/>
      <c r="B144" s="382" t="str">
        <f>$B$2</f>
        <v>Attachment 2</v>
      </c>
      <c r="C144" s="382"/>
      <c r="D144" s="382"/>
      <c r="E144" s="382"/>
      <c r="F144" s="382"/>
      <c r="G144" s="382"/>
      <c r="H144" s="382"/>
      <c r="I144" s="382"/>
      <c r="J144" s="382"/>
      <c r="K144" s="382"/>
      <c r="L144" s="382"/>
    </row>
    <row r="145" spans="1:51" x14ac:dyDescent="0.4">
      <c r="A145" s="77" t="s">
        <v>123</v>
      </c>
      <c r="B145" s="78" t="s">
        <v>124</v>
      </c>
      <c r="C145" s="32"/>
      <c r="Q145" s="211" t="s">
        <v>125</v>
      </c>
      <c r="T145" s="211" t="s">
        <v>126</v>
      </c>
      <c r="W145" s="211" t="s">
        <v>127</v>
      </c>
      <c r="Z145" s="211" t="s">
        <v>128</v>
      </c>
    </row>
    <row r="146" spans="1:51" x14ac:dyDescent="0.4">
      <c r="A146" s="76"/>
      <c r="B146" s="79" t="s">
        <v>129</v>
      </c>
      <c r="C146" s="32"/>
      <c r="W146" s="211" t="s">
        <v>130</v>
      </c>
      <c r="Z146" s="211" t="s">
        <v>131</v>
      </c>
      <c r="AC146" s="211" t="s">
        <v>132</v>
      </c>
    </row>
    <row r="147" spans="1:51" x14ac:dyDescent="0.4">
      <c r="A147" s="76"/>
      <c r="B147" s="79" t="s">
        <v>81</v>
      </c>
      <c r="C147" s="32"/>
    </row>
    <row r="148" spans="1:51" x14ac:dyDescent="0.4">
      <c r="A148" s="76"/>
      <c r="B148" s="78"/>
      <c r="C148" s="80"/>
      <c r="D148" s="80"/>
      <c r="E148" s="80" t="str">
        <f>+E$13</f>
        <v>RT{1}</v>
      </c>
      <c r="F148" s="80" t="str">
        <f>+F$13</f>
        <v>RS{2}</v>
      </c>
      <c r="G148" s="80" t="str">
        <f>+G$13</f>
        <v>GS{3}</v>
      </c>
      <c r="H148" s="80" t="str">
        <f>+H$58</f>
        <v>GST {4}</v>
      </c>
      <c r="I148" s="80" t="str">
        <f>+I$13</f>
        <v>OL/SL</v>
      </c>
      <c r="J148" s="80"/>
      <c r="K148" s="80"/>
      <c r="L148" s="80"/>
      <c r="M148" s="80"/>
      <c r="Q148" s="80" t="str">
        <f>+$H148</f>
        <v>GST {4}</v>
      </c>
      <c r="R148" s="80"/>
      <c r="S148" s="80"/>
      <c r="T148" s="80" t="str">
        <f>+$H148</f>
        <v>GST {4}</v>
      </c>
      <c r="U148" s="80"/>
      <c r="V148" s="80"/>
      <c r="W148" s="80" t="str">
        <f>+$H148</f>
        <v>GST {4}</v>
      </c>
      <c r="X148" s="80"/>
      <c r="Z148" s="80" t="str">
        <f>+$H148</f>
        <v>GST {4}</v>
      </c>
      <c r="AA148" s="80"/>
      <c r="AC148" s="80" t="str">
        <f>+$H148</f>
        <v>GST {4}</v>
      </c>
      <c r="AD148" s="80"/>
      <c r="AU148" s="80"/>
      <c r="AV148" s="80"/>
      <c r="AW148" s="80"/>
      <c r="AX148" s="80"/>
      <c r="AY148" s="80"/>
    </row>
    <row r="149" spans="1:51" x14ac:dyDescent="0.4">
      <c r="A149" s="76"/>
      <c r="C149" s="319"/>
    </row>
    <row r="150" spans="1:51" x14ac:dyDescent="0.4">
      <c r="A150" s="76"/>
      <c r="B150" s="235" t="s">
        <v>111</v>
      </c>
      <c r="C150" s="44"/>
      <c r="D150" s="44"/>
      <c r="E150" s="335">
        <f>+E130/SUM(E65:E68)*1000</f>
        <v>35.365827107962062</v>
      </c>
      <c r="F150" s="335">
        <f>+F130/SUM(F65:F68)*1000</f>
        <v>35.50442414222195</v>
      </c>
      <c r="G150" s="335">
        <f>+G130/SUM(G65:G68)*1000</f>
        <v>36.309027247110613</v>
      </c>
      <c r="H150" s="335">
        <f>+H130/SUM(H65:H68)*1000</f>
        <v>35.968250504699789</v>
      </c>
      <c r="I150" s="335">
        <f>+I130/SUM(I65:I68)*1000</f>
        <v>31.945397749188061</v>
      </c>
      <c r="J150" s="44"/>
      <c r="K150" s="44"/>
      <c r="L150" s="44"/>
      <c r="M150" s="44"/>
      <c r="P150" s="95" t="s">
        <v>91</v>
      </c>
      <c r="AU150" s="226"/>
      <c r="AV150" s="226"/>
      <c r="AW150" s="226"/>
      <c r="AX150" s="226"/>
      <c r="AY150" s="226"/>
    </row>
    <row r="151" spans="1:51" x14ac:dyDescent="0.4">
      <c r="A151" s="76"/>
      <c r="B151" s="236" t="s">
        <v>133</v>
      </c>
      <c r="C151" s="336"/>
      <c r="D151" s="336"/>
      <c r="E151" s="335">
        <f>+(E131*1000-X163*AVERAGE(E$113,E$114))/R163</f>
        <v>44.606975748694445</v>
      </c>
      <c r="F151" s="335"/>
      <c r="G151" s="335"/>
      <c r="H151" s="335">
        <f>+(H131*1000-W151*AVERAGE(H$113,H$114))/Q151</f>
        <v>44.149647989375147</v>
      </c>
      <c r="I151" s="335"/>
      <c r="J151" s="336"/>
      <c r="K151" s="336"/>
      <c r="L151" s="44"/>
      <c r="M151" s="44"/>
      <c r="P151" s="211" t="s">
        <v>85</v>
      </c>
      <c r="Q151" s="226">
        <f>T65</f>
        <v>30387.3639</v>
      </c>
      <c r="R151" s="226"/>
      <c r="T151" s="226">
        <f>T76</f>
        <v>36853.0075</v>
      </c>
      <c r="U151" s="226"/>
      <c r="W151" s="226">
        <f>+T151-Q151</f>
        <v>6465.6435999999994</v>
      </c>
      <c r="X151" s="226"/>
      <c r="Z151" s="21">
        <f>+H151*Q151/1000</f>
        <v>1341.5914195100461</v>
      </c>
      <c r="AA151" s="21"/>
      <c r="AX151" s="226"/>
    </row>
    <row r="152" spans="1:51" ht="14.7" x14ac:dyDescent="0.7">
      <c r="A152" s="76"/>
      <c r="B152" s="236" t="s">
        <v>134</v>
      </c>
      <c r="C152" s="336"/>
      <c r="D152" s="336"/>
      <c r="E152" s="335">
        <f>+(E132*1000-X164*AVERAGE(E$113,E$114))/R164</f>
        <v>28.93641977246471</v>
      </c>
      <c r="F152" s="335"/>
      <c r="G152" s="335"/>
      <c r="H152" s="335">
        <f>+(H132*1000-W152*AVERAGE(H$113,H$114))/Q152</f>
        <v>28.936923470442114</v>
      </c>
      <c r="I152" s="335"/>
      <c r="J152" s="336"/>
      <c r="K152" s="336"/>
      <c r="L152" s="44"/>
      <c r="M152" s="44"/>
      <c r="P152" s="211" t="s">
        <v>86</v>
      </c>
      <c r="Q152" s="226">
        <f>T66</f>
        <v>35357.636100000003</v>
      </c>
      <c r="R152" s="226"/>
      <c r="T152" s="226">
        <f>T77</f>
        <v>28891.9925</v>
      </c>
      <c r="U152" s="226"/>
      <c r="W152" s="226">
        <f>+T152-Q152</f>
        <v>-6465.6436000000031</v>
      </c>
      <c r="X152" s="226"/>
      <c r="Z152" s="14">
        <f>+H152*Q152/1000</f>
        <v>1023.1412099214415</v>
      </c>
      <c r="AA152" s="14"/>
      <c r="AX152" s="226"/>
    </row>
    <row r="153" spans="1:51" x14ac:dyDescent="0.4">
      <c r="A153" s="76"/>
      <c r="C153" s="21"/>
      <c r="D153" s="21"/>
      <c r="E153" s="337"/>
      <c r="F153" s="337"/>
      <c r="G153" s="337"/>
      <c r="H153" s="337"/>
      <c r="I153" s="337"/>
      <c r="J153" s="21"/>
      <c r="K153" s="21"/>
      <c r="L153" s="21"/>
      <c r="M153" s="21"/>
      <c r="Q153" s="226"/>
      <c r="R153" s="226"/>
      <c r="T153" s="226"/>
      <c r="U153" s="226"/>
      <c r="W153" s="226"/>
      <c r="X153" s="226"/>
      <c r="Z153" s="21">
        <f>+Z152+Z151</f>
        <v>2364.7326294314876</v>
      </c>
      <c r="AA153" s="21"/>
      <c r="AC153" s="319">
        <f>+H130</f>
        <v>2364.7326294314876</v>
      </c>
      <c r="AD153" s="319"/>
    </row>
    <row r="154" spans="1:51" x14ac:dyDescent="0.4">
      <c r="A154" s="76"/>
      <c r="B154" s="235" t="s">
        <v>115</v>
      </c>
      <c r="C154" s="32"/>
      <c r="D154" s="32"/>
      <c r="E154" s="337">
        <f>+E134/SUM(E60:E64,E69:E71)*1000</f>
        <v>31.064580057771551</v>
      </c>
      <c r="F154" s="337">
        <f>+F134/SUM(F60:F64,F69:F71)*1000</f>
        <v>30.891251614744046</v>
      </c>
      <c r="G154" s="337">
        <f>+G134/SUM(G60:G64,G69:G71)*1000</f>
        <v>31.034123730615452</v>
      </c>
      <c r="H154" s="337">
        <f>+H134/SUM(H60:H64,H69:H71)*1000</f>
        <v>30.610117753457011</v>
      </c>
      <c r="I154" s="337">
        <f>+I134/SUM(I60:I64,I69:I71)*1000</f>
        <v>29.14202650326445</v>
      </c>
      <c r="J154" s="32"/>
      <c r="K154" s="32"/>
      <c r="L154" s="32"/>
      <c r="M154" s="32"/>
      <c r="P154" s="95" t="s">
        <v>88</v>
      </c>
      <c r="Q154" s="226"/>
      <c r="R154" s="226"/>
      <c r="T154" s="226"/>
      <c r="U154" s="226"/>
      <c r="W154" s="226"/>
      <c r="X154" s="226"/>
      <c r="Z154" s="21"/>
      <c r="AA154" s="21"/>
      <c r="AC154" s="319"/>
      <c r="AU154" s="226"/>
      <c r="AV154" s="226"/>
      <c r="AW154" s="226"/>
      <c r="AX154" s="226"/>
      <c r="AY154" s="226"/>
    </row>
    <row r="155" spans="1:51" x14ac:dyDescent="0.4">
      <c r="A155" s="76"/>
      <c r="B155" s="236" t="s">
        <v>133</v>
      </c>
      <c r="C155" s="336"/>
      <c r="D155" s="336"/>
      <c r="E155" s="335">
        <f>+(E135*1000-X168*AVERAGE(E$113,E$114))/R168</f>
        <v>34.368234691281167</v>
      </c>
      <c r="F155" s="335"/>
      <c r="G155" s="335"/>
      <c r="H155" s="335">
        <f>+(H135*1000-W155*AVERAGE(H$117,H$118))/Q155</f>
        <v>34.35494034734873</v>
      </c>
      <c r="I155" s="335"/>
      <c r="J155" s="336"/>
      <c r="K155" s="336"/>
      <c r="L155" s="44"/>
      <c r="M155" s="44"/>
      <c r="P155" s="211" t="s">
        <v>85</v>
      </c>
      <c r="Q155" s="226">
        <f>T61</f>
        <v>55261.285100000001</v>
      </c>
      <c r="R155" s="226"/>
      <c r="T155" s="226">
        <f>T72</f>
        <v>69384.185700000002</v>
      </c>
      <c r="U155" s="226"/>
      <c r="W155" s="226">
        <f>+T155-Q155</f>
        <v>14122.900600000001</v>
      </c>
      <c r="X155" s="226"/>
      <c r="Z155" s="21">
        <f>+H155*Q155/1000</f>
        <v>1898.4981531283313</v>
      </c>
      <c r="AA155" s="21"/>
      <c r="AC155" s="319"/>
      <c r="AX155" s="226"/>
    </row>
    <row r="156" spans="1:51" ht="14.7" x14ac:dyDescent="0.7">
      <c r="A156" s="76"/>
      <c r="B156" s="236" t="s">
        <v>134</v>
      </c>
      <c r="C156" s="336"/>
      <c r="D156" s="336"/>
      <c r="E156" s="335">
        <f>+(E136*1000-X169*AVERAGE(E$113,E$114))/R169</f>
        <v>29.26324803798073</v>
      </c>
      <c r="F156" s="335"/>
      <c r="G156" s="335"/>
      <c r="H156" s="335">
        <f>+(H136*1000-W156*AVERAGE(H$117,H$118))/Q156</f>
        <v>27.679431554759784</v>
      </c>
      <c r="I156" s="335"/>
      <c r="J156" s="336"/>
      <c r="K156" s="336"/>
      <c r="L156" s="44"/>
      <c r="M156" s="44"/>
      <c r="P156" s="211" t="s">
        <v>86</v>
      </c>
      <c r="Q156" s="226">
        <f>T62</f>
        <v>70612.714899999992</v>
      </c>
      <c r="R156" s="226"/>
      <c r="T156" s="226">
        <f>T73</f>
        <v>56489.814299999998</v>
      </c>
      <c r="U156" s="226"/>
      <c r="W156" s="226">
        <f>+T156-Q156</f>
        <v>-14122.900599999994</v>
      </c>
      <c r="X156" s="226"/>
      <c r="Z156" s="14">
        <f>+H156*Q156/1000</f>
        <v>1954.519808970316</v>
      </c>
      <c r="AA156" s="14"/>
      <c r="AC156" s="319"/>
      <c r="AX156" s="226"/>
    </row>
    <row r="157" spans="1:51" x14ac:dyDescent="0.4">
      <c r="A157" s="76"/>
      <c r="C157" s="32"/>
      <c r="D157" s="32"/>
      <c r="E157" s="337"/>
      <c r="F157" s="337"/>
      <c r="G157" s="337"/>
      <c r="H157" s="337"/>
      <c r="I157" s="337"/>
      <c r="J157" s="32"/>
      <c r="K157" s="32"/>
      <c r="L157" s="32"/>
      <c r="M157" s="32"/>
      <c r="Z157" s="21">
        <f>+Z156+Z155</f>
        <v>3853.0179620986473</v>
      </c>
      <c r="AA157" s="21"/>
      <c r="AC157" s="319">
        <f>+H134</f>
        <v>3853.0179620986478</v>
      </c>
      <c r="AD157" s="319"/>
    </row>
    <row r="158" spans="1:51" x14ac:dyDescent="0.4">
      <c r="A158" s="76"/>
      <c r="B158" s="211" t="s">
        <v>135</v>
      </c>
      <c r="C158" s="44"/>
      <c r="D158" s="44"/>
      <c r="E158" s="335">
        <f>(E150*SUM(E65:E68)+E154*SUM(E60:E64,E69:E71))/E72</f>
        <v>32.480666819861753</v>
      </c>
      <c r="F158" s="335">
        <f>(F150*SUM(F65:F68)+F154*SUM(F60:F64,F69:F71))/F72</f>
        <v>32.808868989139341</v>
      </c>
      <c r="G158" s="335">
        <f>(G150*SUM(G65:G68)+G154*SUM(G60:G64,G69:G71))/G72</f>
        <v>32.946185257766544</v>
      </c>
      <c r="H158" s="335">
        <f>(H150*SUM(H65:H68)+H154*SUM(H60:H64,H69:H71))/H72</f>
        <v>32.448507671630345</v>
      </c>
      <c r="I158" s="335">
        <f>(I150*SUM(I65:I68)+I154*SUM(I60:I64,I69:I71))/I72</f>
        <v>30.076516059855216</v>
      </c>
      <c r="J158" s="44"/>
      <c r="K158" s="44"/>
      <c r="L158" s="44"/>
      <c r="M158" s="44"/>
      <c r="AU158" s="226"/>
      <c r="AV158" s="226"/>
      <c r="AW158" s="226"/>
      <c r="AX158" s="226"/>
      <c r="AY158" s="226"/>
    </row>
    <row r="159" spans="1:51" x14ac:dyDescent="0.4">
      <c r="A159" s="76"/>
      <c r="B159" s="211" t="s">
        <v>136</v>
      </c>
      <c r="C159" s="44">
        <f>+C140/SUM(C72:I72)*1000</f>
        <v>32.828771961493018</v>
      </c>
    </row>
    <row r="160" spans="1:51" x14ac:dyDescent="0.4">
      <c r="A160" s="76"/>
      <c r="Q160" s="80" t="str">
        <f>+$E148</f>
        <v>RT{1}</v>
      </c>
      <c r="R160" s="80"/>
      <c r="S160" s="80"/>
      <c r="T160" s="80" t="str">
        <f>+$E148</f>
        <v>RT{1}</v>
      </c>
      <c r="U160" s="80"/>
      <c r="V160" s="80"/>
      <c r="W160" s="80" t="str">
        <f>+$E148</f>
        <v>RT{1}</v>
      </c>
      <c r="X160" s="80"/>
      <c r="Z160" s="80" t="str">
        <f>+$E148</f>
        <v>RT{1}</v>
      </c>
      <c r="AA160" s="80"/>
      <c r="AC160" s="80" t="str">
        <f>+$E148</f>
        <v>RT{1}</v>
      </c>
    </row>
    <row r="161" spans="1:51" x14ac:dyDescent="0.4">
      <c r="A161" s="76"/>
    </row>
    <row r="162" spans="1:51" x14ac:dyDescent="0.4">
      <c r="A162" s="77" t="s">
        <v>137</v>
      </c>
      <c r="B162" s="78" t="s">
        <v>138</v>
      </c>
      <c r="P162" s="95" t="s">
        <v>91</v>
      </c>
      <c r="Q162" s="96" t="s">
        <v>139</v>
      </c>
      <c r="R162" s="96" t="s">
        <v>140</v>
      </c>
      <c r="T162" s="96" t="s">
        <v>139</v>
      </c>
      <c r="U162" s="96" t="s">
        <v>140</v>
      </c>
      <c r="W162" s="96" t="s">
        <v>139</v>
      </c>
      <c r="X162" s="96" t="s">
        <v>140</v>
      </c>
      <c r="Z162" s="96" t="s">
        <v>141</v>
      </c>
      <c r="AC162" s="96" t="s">
        <v>141</v>
      </c>
    </row>
    <row r="163" spans="1:51" x14ac:dyDescent="0.4">
      <c r="A163" s="76"/>
      <c r="B163" s="79" t="str">
        <f>'BGS PTY19 Cost Alloc'!$B$161</f>
        <v>obligations - annual average forecasted for 2021; costs are market estimates</v>
      </c>
      <c r="J163" s="80" t="s">
        <v>142</v>
      </c>
      <c r="P163" s="211" t="s">
        <v>85</v>
      </c>
      <c r="Q163" s="226">
        <f>SUMPRODUCT(E38:E41,M65:M68)</f>
        <v>26180.203300000001</v>
      </c>
      <c r="R163" s="226">
        <f>SUMPRODUCT(E38:E41,E65:E68)</f>
        <v>27180.5452</v>
      </c>
      <c r="T163" s="226">
        <f>Q76</f>
        <v>33888.873700000004</v>
      </c>
      <c r="U163" s="226">
        <f>T163-($Q$165*$Q163/($Q$163+$Q$164))</f>
        <v>32885.143730456744</v>
      </c>
      <c r="W163" s="226">
        <f>+T163-Q163</f>
        <v>7708.6704000000027</v>
      </c>
      <c r="X163" s="226">
        <f>-Q163+U163</f>
        <v>6704.9404304567433</v>
      </c>
      <c r="Z163" s="21">
        <f>+E151*Q163/1000</f>
        <v>1167.8196936989905</v>
      </c>
      <c r="AA163" s="21"/>
      <c r="AU163" s="21"/>
      <c r="AV163" s="21"/>
      <c r="AW163" s="21"/>
      <c r="AX163" s="21"/>
      <c r="AY163" s="21"/>
    </row>
    <row r="164" spans="1:51" ht="14.7" x14ac:dyDescent="0.7">
      <c r="A164" s="76"/>
      <c r="B164" s="79" t="s">
        <v>143</v>
      </c>
      <c r="C164" s="80"/>
      <c r="D164" s="80"/>
      <c r="E164" s="80" t="str">
        <f>+E$13</f>
        <v>RT{1}</v>
      </c>
      <c r="F164" s="80" t="str">
        <f>+F$13</f>
        <v>RS{2}</v>
      </c>
      <c r="G164" s="80" t="str">
        <f>+G$13</f>
        <v>GS{3}</v>
      </c>
      <c r="H164" s="80" t="str">
        <f>+H$58</f>
        <v>GST {4}</v>
      </c>
      <c r="I164" s="80" t="str">
        <f>+I$13</f>
        <v>OL/SL</v>
      </c>
      <c r="J164" s="80" t="s">
        <v>144</v>
      </c>
      <c r="K164" s="80"/>
      <c r="L164" s="80"/>
      <c r="M164" s="80"/>
      <c r="P164" s="211" t="s">
        <v>86</v>
      </c>
      <c r="Q164" s="226">
        <f>SUMPRODUCT(Q38:Q41,M65:M68)</f>
        <v>37624.796700000006</v>
      </c>
      <c r="R164" s="226">
        <f>SUMPRODUCT(Q38:Q41,E65:E68)</f>
        <v>39071.4548</v>
      </c>
      <c r="T164" s="226">
        <f>Q77</f>
        <v>32363.126299999996</v>
      </c>
      <c r="U164" s="226">
        <f>T164-($Q$165*$Q164/($Q$163+$Q$164))</f>
        <v>30920.61893621026</v>
      </c>
      <c r="W164" s="226">
        <f>+T164-Q164</f>
        <v>-5261.67040000001</v>
      </c>
      <c r="X164" s="226">
        <f>-Q164+U164</f>
        <v>-6704.1777637897467</v>
      </c>
      <c r="Z164" s="21">
        <f>+E152*Q164/1000</f>
        <v>1088.7269111648452</v>
      </c>
      <c r="AA164" s="14"/>
      <c r="AU164" s="21"/>
      <c r="AV164" s="21"/>
      <c r="AW164" s="21"/>
      <c r="AX164" s="21"/>
      <c r="AY164" s="21"/>
    </row>
    <row r="165" spans="1:51" ht="14.7" x14ac:dyDescent="0.7">
      <c r="A165" s="76"/>
      <c r="P165" s="211" t="s">
        <v>145</v>
      </c>
      <c r="Q165" s="226">
        <f>SUM(W65:W68)/1000</f>
        <v>2446.2373333329997</v>
      </c>
      <c r="R165" s="226"/>
      <c r="T165" s="226">
        <v>0</v>
      </c>
      <c r="U165" s="226">
        <v>0</v>
      </c>
      <c r="W165" s="226">
        <f>+T165-Q165</f>
        <v>-2446.2373333329997</v>
      </c>
      <c r="X165" s="226"/>
      <c r="Z165" s="14">
        <f>+E150*Q165/1000</f>
        <v>86.513206595697028</v>
      </c>
      <c r="AU165" s="21"/>
      <c r="AV165" s="21"/>
      <c r="AW165" s="21"/>
      <c r="AX165" s="21"/>
      <c r="AY165" s="21"/>
    </row>
    <row r="166" spans="1:51" x14ac:dyDescent="0.4">
      <c r="A166" s="76"/>
      <c r="B166" s="211" t="s">
        <v>146</v>
      </c>
      <c r="C166" s="344"/>
      <c r="D166" s="344"/>
      <c r="E166" s="344">
        <f>'BGS PTY19 Cost Alloc'!E164</f>
        <v>49.862481999999986</v>
      </c>
      <c r="F166" s="344">
        <f>'BGS PTY19 Cost Alloc'!F164</f>
        <v>3187.0982709999998</v>
      </c>
      <c r="G166" s="344">
        <f>'BGS PTY19 Cost Alloc'!G164</f>
        <v>1393.6537833999998</v>
      </c>
      <c r="H166" s="344">
        <f>'BGS PTY19 Cost Alloc'!H164</f>
        <v>24.347985000000016</v>
      </c>
      <c r="I166" s="344">
        <f>'BGS PTY19 Cost Alloc'!I164</f>
        <v>0.80814599999999992</v>
      </c>
      <c r="J166" s="344">
        <f>SUM(E166:I166)</f>
        <v>4655.7706674000001</v>
      </c>
      <c r="K166" s="344"/>
      <c r="L166" s="344"/>
      <c r="M166" s="344"/>
      <c r="Z166" s="21">
        <f>SUM(Z163:Z165)</f>
        <v>2343.0598114595323</v>
      </c>
      <c r="AA166" s="21"/>
      <c r="AC166" s="319">
        <f>+E130</f>
        <v>2343.0567775567024</v>
      </c>
      <c r="AU166" s="21"/>
      <c r="AV166" s="21"/>
      <c r="AW166" s="21"/>
      <c r="AX166" s="21"/>
      <c r="AY166" s="21"/>
    </row>
    <row r="167" spans="1:51" x14ac:dyDescent="0.4">
      <c r="A167" s="76"/>
      <c r="P167" s="95" t="s">
        <v>88</v>
      </c>
      <c r="Q167" s="226"/>
      <c r="R167" s="226"/>
      <c r="T167" s="226"/>
      <c r="U167" s="226"/>
      <c r="W167" s="226"/>
      <c r="X167" s="226"/>
      <c r="AU167" s="21"/>
      <c r="AV167" s="21"/>
      <c r="AW167" s="21"/>
      <c r="AX167" s="21"/>
      <c r="AY167" s="21"/>
    </row>
    <row r="168" spans="1:51" x14ac:dyDescent="0.4">
      <c r="A168" s="76"/>
      <c r="B168" s="211" t="s">
        <v>147</v>
      </c>
      <c r="C168" s="344" t="s">
        <v>148</v>
      </c>
      <c r="D168" s="344"/>
      <c r="E168" s="312"/>
      <c r="F168" s="312"/>
      <c r="G168" s="312"/>
      <c r="H168" s="312"/>
      <c r="I168" s="312"/>
      <c r="J168" s="344"/>
      <c r="K168" s="344"/>
      <c r="L168" s="344"/>
      <c r="M168" s="344"/>
      <c r="P168" s="211" t="s">
        <v>85</v>
      </c>
      <c r="Q168" s="226">
        <f>SUMPRODUCT(E33:E37,M60:M64)+SUMPRODUCT(E42:E44,M69:M71)</f>
        <v>45543.3194</v>
      </c>
      <c r="R168" s="226">
        <f>SUMPRODUCT(E33:E37,E60:E64)+SUMPRODUCT(E42:E44,E69:E71)</f>
        <v>47623.064899999998</v>
      </c>
      <c r="T168" s="226">
        <f>Q72</f>
        <v>64522.165199999996</v>
      </c>
      <c r="U168" s="226">
        <f>T168-($Q$170*$Q168/($Q$168+$Q$169))</f>
        <v>62448.972719942627</v>
      </c>
      <c r="W168" s="226">
        <f>+T168-Q168</f>
        <v>18978.845799999996</v>
      </c>
      <c r="X168" s="226">
        <f>-Q168+U168</f>
        <v>16905.653319942627</v>
      </c>
      <c r="Z168" s="21">
        <f>+E155*Q168/1000</f>
        <v>1565.2434897591786</v>
      </c>
      <c r="AA168" s="21"/>
      <c r="AC168" s="319"/>
      <c r="AU168" s="21"/>
      <c r="AV168" s="21"/>
      <c r="AW168" s="21"/>
      <c r="AX168" s="21"/>
      <c r="AY168" s="21"/>
    </row>
    <row r="169" spans="1:51" ht="14.7" x14ac:dyDescent="0.7">
      <c r="A169" s="76"/>
      <c r="C169" s="344"/>
      <c r="D169" s="344"/>
      <c r="E169" s="344"/>
      <c r="F169" s="344"/>
      <c r="G169" s="344"/>
      <c r="H169" s="344"/>
      <c r="I169" s="344"/>
      <c r="J169" s="344"/>
      <c r="K169" s="344"/>
      <c r="L169" s="344"/>
      <c r="M169" s="344"/>
      <c r="P169" s="211" t="s">
        <v>86</v>
      </c>
      <c r="Q169" s="226">
        <f>SUMPRODUCT(Q33:Q37,M60:M64)+SUMPRODUCT(Q42:Q44,M69:M71)</f>
        <v>83561.680600000007</v>
      </c>
      <c r="R169" s="226">
        <f>SUMPRODUCT(Q33:Q37,E60:E64)+SUMPRODUCT(Q42:Q44,E69:E71)</f>
        <v>87359.935100000002</v>
      </c>
      <c r="T169" s="226">
        <f>Q73</f>
        <v>70460.834800000011</v>
      </c>
      <c r="U169" s="226">
        <f>T169-($Q$170*$Q169/($Q$168+$Q$169))</f>
        <v>66656.995946724084</v>
      </c>
      <c r="W169" s="226">
        <f>+T169-Q169</f>
        <v>-13100.845799999996</v>
      </c>
      <c r="X169" s="226">
        <f>-Q169+U169</f>
        <v>-16904.684653275923</v>
      </c>
      <c r="Z169" s="21">
        <f>+E156*Q169/1000</f>
        <v>2445.2861858683227</v>
      </c>
      <c r="AA169" s="14"/>
      <c r="AC169" s="319"/>
      <c r="AU169" s="21"/>
      <c r="AV169" s="21"/>
      <c r="AW169" s="21"/>
      <c r="AX169" s="21"/>
      <c r="AY169" s="21"/>
    </row>
    <row r="170" spans="1:51" ht="14.7" x14ac:dyDescent="0.7">
      <c r="A170" s="76"/>
      <c r="B170" s="211" t="s">
        <v>149</v>
      </c>
      <c r="I170" s="344"/>
      <c r="J170" s="344"/>
      <c r="K170" s="344"/>
      <c r="L170" s="344"/>
      <c r="M170" s="344"/>
      <c r="P170" s="211" t="s">
        <v>145</v>
      </c>
      <c r="Q170" s="226">
        <f>SUM(W60:W64,W69:W71)/1000</f>
        <v>5877.0313333332997</v>
      </c>
      <c r="T170" s="211">
        <v>0</v>
      </c>
      <c r="U170" s="226">
        <v>0</v>
      </c>
      <c r="W170" s="226">
        <f>+T170-Q170</f>
        <v>-5877.0313333332997</v>
      </c>
      <c r="X170" s="226"/>
      <c r="Z170" s="14">
        <f>+E154*Q170/1000</f>
        <v>182.56751035636415</v>
      </c>
      <c r="AU170" s="21"/>
      <c r="AV170" s="21"/>
      <c r="AW170" s="21"/>
      <c r="AX170" s="21"/>
      <c r="AY170" s="21"/>
    </row>
    <row r="171" spans="1:51" x14ac:dyDescent="0.4">
      <c r="A171" s="76"/>
      <c r="D171" s="212" t="s">
        <v>150</v>
      </c>
      <c r="E171" s="211">
        <v>122</v>
      </c>
      <c r="G171" s="212" t="s">
        <v>151</v>
      </c>
      <c r="H171" s="211">
        <v>4</v>
      </c>
      <c r="I171" s="344"/>
      <c r="J171" s="344"/>
      <c r="K171" s="344"/>
      <c r="L171" s="344"/>
      <c r="M171" s="344"/>
      <c r="Q171" s="80"/>
      <c r="R171" s="80"/>
      <c r="S171" s="80"/>
      <c r="T171" s="80"/>
      <c r="U171" s="80"/>
      <c r="V171" s="80"/>
      <c r="W171" s="80"/>
      <c r="X171" s="80"/>
      <c r="Z171" s="21">
        <f>SUM(Z168:Z170)</f>
        <v>4193.0971859838655</v>
      </c>
      <c r="AA171" s="21"/>
      <c r="AC171" s="319">
        <f>+E134</f>
        <v>4193.1902099381768</v>
      </c>
      <c r="AU171" s="319"/>
      <c r="AV171" s="319"/>
      <c r="AW171" s="319"/>
      <c r="AX171" s="319"/>
      <c r="AY171" s="319"/>
    </row>
    <row r="172" spans="1:51" ht="14.7" x14ac:dyDescent="0.7">
      <c r="A172" s="76"/>
      <c r="D172" s="346" t="s">
        <v>152</v>
      </c>
      <c r="E172" s="211">
        <v>243</v>
      </c>
      <c r="G172" s="346" t="s">
        <v>153</v>
      </c>
      <c r="H172" s="211">
        <v>8</v>
      </c>
      <c r="I172" s="344"/>
      <c r="J172" s="344"/>
      <c r="K172" s="344"/>
      <c r="L172" s="344"/>
      <c r="M172" s="344"/>
      <c r="Q172" s="226"/>
      <c r="R172" s="226"/>
      <c r="T172" s="226"/>
      <c r="U172" s="226"/>
      <c r="W172" s="226"/>
      <c r="X172" s="226"/>
      <c r="Z172" s="14"/>
      <c r="AA172" s="14"/>
      <c r="AX172" s="319"/>
    </row>
    <row r="173" spans="1:51" x14ac:dyDescent="0.4">
      <c r="A173" s="76"/>
      <c r="G173" s="212" t="s">
        <v>154</v>
      </c>
      <c r="H173" s="211">
        <f>+H171+H172</f>
        <v>12</v>
      </c>
      <c r="I173" s="344"/>
      <c r="J173" s="344"/>
      <c r="K173" s="344"/>
      <c r="L173" s="344"/>
      <c r="M173" s="344"/>
      <c r="Q173" s="226"/>
      <c r="R173" s="226"/>
      <c r="T173" s="226"/>
      <c r="U173" s="226"/>
      <c r="W173" s="226"/>
      <c r="X173" s="226"/>
      <c r="Z173" s="21"/>
      <c r="AA173" s="21"/>
      <c r="AC173" s="319">
        <f>SUM(AC166:AC171)</f>
        <v>6536.2469874948792</v>
      </c>
    </row>
    <row r="174" spans="1:51" x14ac:dyDescent="0.4">
      <c r="A174" s="76"/>
      <c r="B174" s="211" t="s">
        <v>155</v>
      </c>
      <c r="C174" s="21"/>
      <c r="D174" s="349"/>
      <c r="K174" s="350"/>
      <c r="Q174" s="226"/>
      <c r="R174" s="226"/>
      <c r="T174" s="226"/>
      <c r="U174" s="226"/>
      <c r="W174" s="226"/>
      <c r="X174" s="226"/>
      <c r="Z174" s="21"/>
      <c r="AA174" s="21"/>
      <c r="AC174" s="319"/>
    </row>
    <row r="175" spans="1:51" x14ac:dyDescent="0.4">
      <c r="A175" s="76"/>
      <c r="C175" s="21"/>
      <c r="D175" s="44"/>
      <c r="E175" s="349"/>
      <c r="G175" s="212"/>
      <c r="H175" s="21"/>
      <c r="K175" s="350"/>
      <c r="Q175" s="226"/>
      <c r="R175" s="226"/>
      <c r="T175" s="226"/>
      <c r="U175" s="226"/>
      <c r="W175" s="226"/>
      <c r="X175" s="226"/>
      <c r="Z175" s="21"/>
      <c r="AA175" s="21"/>
      <c r="AC175" s="319"/>
    </row>
    <row r="176" spans="1:51" x14ac:dyDescent="0.4">
      <c r="A176" s="76"/>
      <c r="D176" s="96" t="s">
        <v>83</v>
      </c>
      <c r="E176" s="96" t="s">
        <v>84</v>
      </c>
      <c r="Q176" s="226"/>
      <c r="R176" s="226"/>
      <c r="T176" s="226"/>
      <c r="U176" s="226"/>
      <c r="W176" s="226"/>
      <c r="X176" s="226"/>
      <c r="Z176" s="21"/>
      <c r="AA176" s="21"/>
      <c r="AC176" s="319"/>
    </row>
    <row r="177" spans="1:50" ht="14.7" x14ac:dyDescent="0.7">
      <c r="A177" s="76"/>
      <c r="B177" s="211" t="s">
        <v>156</v>
      </c>
      <c r="C177" s="211" t="s">
        <v>91</v>
      </c>
      <c r="D177" s="32">
        <v>175.11</v>
      </c>
      <c r="E177" s="312">
        <f>ROUND(D177*$H$326,3)</f>
        <v>171.99199999999999</v>
      </c>
      <c r="F177" s="349" t="s">
        <v>157</v>
      </c>
      <c r="G177" s="212" t="s">
        <v>158</v>
      </c>
      <c r="H177" s="319">
        <f>ROUND(E177*E171*J$166,0)</f>
        <v>97692148</v>
      </c>
      <c r="I177" s="212"/>
      <c r="J177" s="212"/>
      <c r="K177" s="32"/>
      <c r="Q177" s="226"/>
      <c r="R177" s="226"/>
      <c r="T177" s="226"/>
      <c r="U177" s="226"/>
      <c r="W177" s="226"/>
      <c r="X177" s="226"/>
      <c r="Z177" s="14"/>
      <c r="AA177" s="14"/>
      <c r="AC177" s="319"/>
    </row>
    <row r="178" spans="1:50" ht="14.7" x14ac:dyDescent="0.7">
      <c r="A178" s="76"/>
      <c r="C178" s="211" t="s">
        <v>88</v>
      </c>
      <c r="D178" s="32">
        <f>D177</f>
        <v>175.11</v>
      </c>
      <c r="E178" s="312">
        <f>ROUND(D178*$H$326,3)</f>
        <v>171.99199999999999</v>
      </c>
      <c r="F178" s="349" t="s">
        <v>157</v>
      </c>
      <c r="G178" s="99" t="s">
        <v>159</v>
      </c>
      <c r="H178" s="100">
        <f>ROUND(E178*E172*J$166,0)</f>
        <v>194583540</v>
      </c>
      <c r="I178" s="212"/>
      <c r="J178" s="212"/>
      <c r="K178" s="32"/>
      <c r="Z178" s="21"/>
      <c r="AA178" s="21"/>
      <c r="AC178" s="319"/>
    </row>
    <row r="179" spans="1:50" x14ac:dyDescent="0.4">
      <c r="A179" s="76"/>
      <c r="B179" s="353"/>
      <c r="C179" s="353"/>
      <c r="D179" s="353"/>
      <c r="E179" s="353"/>
      <c r="F179" s="353"/>
      <c r="G179" s="212" t="s">
        <v>160</v>
      </c>
      <c r="H179" s="319">
        <f>SUM(H177:H178)</f>
        <v>292275688</v>
      </c>
      <c r="I179" s="212"/>
      <c r="J179" s="15">
        <f>H179/(C310*1000)</f>
        <v>0.24007080750886595</v>
      </c>
      <c r="K179" s="32"/>
    </row>
    <row r="180" spans="1:50" x14ac:dyDescent="0.4">
      <c r="A180" s="76"/>
      <c r="B180" s="353"/>
      <c r="C180" s="353"/>
      <c r="D180" s="353"/>
      <c r="E180" s="353"/>
      <c r="F180" s="353"/>
      <c r="G180" s="212"/>
      <c r="H180" s="319"/>
      <c r="I180" s="212"/>
      <c r="J180" s="212"/>
      <c r="K180" s="32"/>
    </row>
    <row r="181" spans="1:50" x14ac:dyDescent="0.4">
      <c r="A181" s="76"/>
      <c r="B181" s="211" t="s">
        <v>161</v>
      </c>
      <c r="I181" s="212"/>
      <c r="J181" s="212"/>
      <c r="K181" s="32"/>
    </row>
    <row r="182" spans="1:50" x14ac:dyDescent="0.4">
      <c r="A182" s="76"/>
      <c r="B182" s="79" t="s">
        <v>162</v>
      </c>
      <c r="I182" s="212"/>
      <c r="J182" s="212"/>
      <c r="K182" s="32"/>
    </row>
    <row r="183" spans="1:50" x14ac:dyDescent="0.4">
      <c r="A183" s="76"/>
      <c r="B183" s="79"/>
      <c r="C183" s="101" t="str">
        <f>" ---------- Rate "&amp;C30&amp;" ----------"</f>
        <v xml:space="preserve"> ---------- Rate  ----------</v>
      </c>
      <c r="D183" s="354"/>
      <c r="E183" s="354"/>
      <c r="I183" s="212"/>
      <c r="J183" s="212"/>
      <c r="K183" s="32"/>
    </row>
    <row r="184" spans="1:50" x14ac:dyDescent="0.4">
      <c r="A184" s="76"/>
      <c r="C184" s="96" t="s">
        <v>163</v>
      </c>
      <c r="E184" s="96" t="s">
        <v>164</v>
      </c>
      <c r="I184" s="212"/>
      <c r="J184" s="212"/>
      <c r="K184" s="32"/>
    </row>
    <row r="185" spans="1:50" x14ac:dyDescent="0.4">
      <c r="A185" s="76"/>
      <c r="B185" s="212" t="s">
        <v>165</v>
      </c>
      <c r="C185" s="311"/>
      <c r="E185" s="230">
        <f>SUM(R65/(R65+R66))</f>
        <v>0.53058432613271322</v>
      </c>
      <c r="F185" s="78"/>
      <c r="I185" s="212"/>
      <c r="J185" s="212"/>
      <c r="K185" s="32"/>
      <c r="AX185" s="230"/>
    </row>
    <row r="186" spans="1:50" x14ac:dyDescent="0.4">
      <c r="A186" s="76"/>
      <c r="B186" s="212" t="s">
        <v>166</v>
      </c>
      <c r="C186" s="95"/>
      <c r="E186" s="230">
        <f>1-E185</f>
        <v>0.46941567386728678</v>
      </c>
      <c r="G186" s="226"/>
      <c r="I186" s="212"/>
      <c r="J186" s="212"/>
      <c r="K186" s="32"/>
    </row>
    <row r="187" spans="1:50" x14ac:dyDescent="0.4">
      <c r="A187" s="76"/>
      <c r="B187" s="212" t="s">
        <v>167</v>
      </c>
      <c r="C187" s="311">
        <v>0.86519999999999997</v>
      </c>
      <c r="D187" s="211" t="s">
        <v>168</v>
      </c>
      <c r="J187" s="212"/>
      <c r="K187" s="32"/>
    </row>
    <row r="188" spans="1:50" x14ac:dyDescent="0.4">
      <c r="A188" s="211"/>
      <c r="J188" s="212"/>
      <c r="K188" s="32"/>
    </row>
    <row r="189" spans="1:50" x14ac:dyDescent="0.4">
      <c r="A189" s="77" t="s">
        <v>169</v>
      </c>
      <c r="B189" s="78" t="s">
        <v>170</v>
      </c>
      <c r="D189" s="96" t="s">
        <v>83</v>
      </c>
      <c r="E189" s="96" t="s">
        <v>84</v>
      </c>
    </row>
    <row r="190" spans="1:50" x14ac:dyDescent="0.4">
      <c r="A190" s="76"/>
      <c r="B190" s="79" t="s">
        <v>171</v>
      </c>
      <c r="D190" s="355">
        <v>2</v>
      </c>
    </row>
    <row r="191" spans="1:50" x14ac:dyDescent="0.4">
      <c r="A191" s="76"/>
      <c r="B191" s="79" t="s">
        <v>173</v>
      </c>
      <c r="D191" s="356">
        <v>16.72</v>
      </c>
      <c r="F191" s="349"/>
    </row>
    <row r="192" spans="1:50" x14ac:dyDescent="0.4">
      <c r="A192" s="76"/>
      <c r="B192" s="79" t="s">
        <v>174</v>
      </c>
      <c r="D192" s="357">
        <f>D190+D191</f>
        <v>18.72</v>
      </c>
      <c r="E192" s="312">
        <f>ROUND(D192*$H$326,3)</f>
        <v>18.387</v>
      </c>
      <c r="F192" s="211" t="s">
        <v>172</v>
      </c>
    </row>
    <row r="193" spans="1:18" x14ac:dyDescent="0.4">
      <c r="A193" s="76"/>
      <c r="B193" s="79"/>
      <c r="E193" s="21"/>
      <c r="F193" s="349"/>
    </row>
    <row r="194" spans="1:18" x14ac:dyDescent="0.4">
      <c r="A194" s="77" t="s">
        <v>175</v>
      </c>
      <c r="B194" s="78" t="s">
        <v>176</v>
      </c>
    </row>
    <row r="195" spans="1:18" x14ac:dyDescent="0.4">
      <c r="A195" s="77"/>
      <c r="B195" s="78"/>
    </row>
    <row r="196" spans="1:18" x14ac:dyDescent="0.4">
      <c r="A196" s="77"/>
      <c r="B196" s="78"/>
      <c r="C196" s="80"/>
      <c r="D196" s="80"/>
      <c r="E196" s="80" t="str">
        <f>+E$13</f>
        <v>RT{1}</v>
      </c>
      <c r="F196" s="80" t="str">
        <f>+F$13</f>
        <v>RS{2}</v>
      </c>
      <c r="G196" s="80" t="str">
        <f>+G$13</f>
        <v>GS{3}</v>
      </c>
      <c r="H196" s="102" t="str">
        <f>+H$58</f>
        <v>GST {4}</v>
      </c>
      <c r="I196" s="80" t="str">
        <f>+I$13</f>
        <v>OL/SL</v>
      </c>
      <c r="J196" s="80"/>
    </row>
    <row r="197" spans="1:18" x14ac:dyDescent="0.4">
      <c r="A197" s="77"/>
      <c r="B197" s="78"/>
    </row>
    <row r="198" spans="1:18" x14ac:dyDescent="0.4">
      <c r="A198" s="76"/>
      <c r="B198" s="212" t="s">
        <v>177</v>
      </c>
      <c r="C198" s="44"/>
      <c r="D198" s="44"/>
      <c r="E198" s="335">
        <v>8.2140000000000004</v>
      </c>
      <c r="F198" s="335">
        <v>8.2140000000000004</v>
      </c>
      <c r="G198" s="335">
        <v>8.2140000000000004</v>
      </c>
      <c r="H198" s="335">
        <v>8.2140000000000004</v>
      </c>
      <c r="I198" s="335">
        <v>0</v>
      </c>
      <c r="J198" s="44"/>
      <c r="K198" s="44" t="s">
        <v>251</v>
      </c>
      <c r="L198" s="44"/>
      <c r="M198" s="336">
        <f>E198*SUM(E255:H255)/1000000</f>
        <v>122549.22477</v>
      </c>
    </row>
    <row r="199" spans="1:18" x14ac:dyDescent="0.4">
      <c r="A199" s="76"/>
      <c r="B199" s="212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336">
        <f>J276-J302</f>
        <v>122549.22476999974</v>
      </c>
    </row>
    <row r="200" spans="1:18" x14ac:dyDescent="0.4">
      <c r="A200" s="76"/>
      <c r="B200" s="212" t="s">
        <v>179</v>
      </c>
      <c r="C200" s="44"/>
      <c r="D200" s="44"/>
      <c r="E200" s="335">
        <f>$H$179*(E$166/$J$166)/E$72</f>
        <v>15.555052676082484</v>
      </c>
      <c r="F200" s="335">
        <f>$H$179*(F$166/$J$166)/F$72</f>
        <v>22.050892610315962</v>
      </c>
      <c r="G200" s="335">
        <f>$H$179*(G$166/$J$166)/G$72</f>
        <v>16.043425342163015</v>
      </c>
      <c r="H200" s="335">
        <f>$H$179*(H$166/$J$166)/H$72</f>
        <v>7.9767424108219016</v>
      </c>
      <c r="I200" s="335">
        <f>$H$179*(I$166/$J$166)/I$72</f>
        <v>0.44077364165597172</v>
      </c>
      <c r="J200" s="44"/>
      <c r="K200" s="44"/>
      <c r="L200" s="44"/>
      <c r="M200" s="44"/>
    </row>
    <row r="201" spans="1:18" x14ac:dyDescent="0.4">
      <c r="A201" s="76"/>
      <c r="B201" s="212" t="s">
        <v>180</v>
      </c>
      <c r="C201" s="44"/>
      <c r="D201" s="44"/>
      <c r="E201" s="335">
        <f>$H$177*(E$166/$J$166)/SUM(E65:E68)</f>
        <v>15.79221246493228</v>
      </c>
      <c r="F201" s="335">
        <f>$H$177*(F$166/$J$166)/SUM(F65:F68)</f>
        <v>17.730904168905301</v>
      </c>
      <c r="G201" s="335">
        <f>$H$177*(G$166/$J$166)/SUM(G65:G68)</f>
        <v>14.793697094324337</v>
      </c>
      <c r="H201" s="335"/>
      <c r="I201" s="335">
        <f>$H$177*(I$166/$J$166)/SUM(I65:I68)</f>
        <v>0.44196588234503054</v>
      </c>
      <c r="J201" s="44"/>
      <c r="K201" s="44"/>
      <c r="L201" s="44"/>
      <c r="M201" s="44"/>
    </row>
    <row r="202" spans="1:18" x14ac:dyDescent="0.4">
      <c r="A202" s="76"/>
      <c r="B202" s="212" t="s">
        <v>181</v>
      </c>
      <c r="C202" s="44"/>
      <c r="D202" s="44"/>
      <c r="E202" s="335">
        <f>$H$177*(E$166/$J$166)/R163</f>
        <v>38.493181521123184</v>
      </c>
      <c r="F202" s="335"/>
      <c r="G202" s="335"/>
      <c r="H202" s="335">
        <f>$H$177*(H$166/$J$166)/Q151</f>
        <v>16.812723772451886</v>
      </c>
      <c r="I202" s="335"/>
      <c r="J202" s="44"/>
      <c r="K202" s="44"/>
      <c r="L202" s="44"/>
      <c r="M202" s="44"/>
    </row>
    <row r="203" spans="1:18" x14ac:dyDescent="0.4">
      <c r="A203" s="76"/>
      <c r="B203" s="212" t="s">
        <v>182</v>
      </c>
      <c r="C203" s="44"/>
      <c r="D203" s="44"/>
      <c r="E203" s="335">
        <f>$H$178*(E$166/$J$166)/(E72-SUM(E65:E68))</f>
        <v>15.438650534102555</v>
      </c>
      <c r="F203" s="335">
        <f>$H$178*(F$166/$J$166)/(F72-SUM(F65:F68))</f>
        <v>25.124131487644181</v>
      </c>
      <c r="G203" s="335">
        <f>$H$178*(G$166/$J$166)/(G72-SUM(G65:G68))</f>
        <v>16.754002083400973</v>
      </c>
      <c r="H203" s="335"/>
      <c r="I203" s="335">
        <f>$H$178*(I$166/$J$166)/(I72-SUM(I65:I68))</f>
        <v>0.44017749023599301</v>
      </c>
      <c r="J203" s="44"/>
      <c r="K203" s="44"/>
      <c r="L203" s="44"/>
      <c r="M203" s="44"/>
    </row>
    <row r="204" spans="1:18" x14ac:dyDescent="0.4">
      <c r="A204" s="76"/>
      <c r="B204" s="212" t="s">
        <v>183</v>
      </c>
      <c r="C204" s="44"/>
      <c r="D204" s="44"/>
      <c r="E204" s="335">
        <f>$H$178*(E$166/$J$166)/R168</f>
        <v>43.759370998500458</v>
      </c>
      <c r="F204" s="358"/>
      <c r="G204" s="358"/>
      <c r="H204" s="335">
        <f>$H$178*(H$166/$J$166)/Q155</f>
        <v>18.4143572983178</v>
      </c>
      <c r="I204" s="335"/>
      <c r="J204" s="44"/>
      <c r="K204" s="44"/>
      <c r="L204" s="44"/>
      <c r="M204" s="44"/>
    </row>
    <row r="205" spans="1:18" x14ac:dyDescent="0.4">
      <c r="A205" s="76"/>
      <c r="B205" s="212"/>
      <c r="C205" s="44"/>
      <c r="D205" s="44"/>
      <c r="E205" s="335"/>
      <c r="F205" s="335"/>
      <c r="G205" s="335"/>
      <c r="H205" s="335"/>
      <c r="I205" s="335"/>
      <c r="J205" s="44"/>
      <c r="K205" s="44"/>
      <c r="L205" s="44"/>
      <c r="M205" s="44"/>
    </row>
    <row r="206" spans="1:18" ht="15.35" x14ac:dyDescent="0.5">
      <c r="A206" s="76"/>
      <c r="B206" s="382" t="str">
        <f>$B$1</f>
        <v xml:space="preserve">Jersey Central Power &amp; Light </v>
      </c>
      <c r="C206" s="382"/>
      <c r="D206" s="382"/>
      <c r="E206" s="382"/>
      <c r="F206" s="382"/>
      <c r="G206" s="382"/>
      <c r="H206" s="382"/>
      <c r="I206" s="382"/>
      <c r="J206" s="382"/>
      <c r="K206" s="382"/>
      <c r="L206" s="382"/>
      <c r="M206" s="44"/>
    </row>
    <row r="207" spans="1:18" ht="15.35" x14ac:dyDescent="0.5">
      <c r="A207" s="76"/>
      <c r="B207" s="382" t="str">
        <f>$B$2</f>
        <v>Attachment 2</v>
      </c>
      <c r="C207" s="382"/>
      <c r="D207" s="382"/>
      <c r="E207" s="382"/>
      <c r="F207" s="382"/>
      <c r="G207" s="382"/>
      <c r="H207" s="382"/>
      <c r="I207" s="382"/>
      <c r="J207" s="382"/>
      <c r="K207" s="382"/>
      <c r="L207" s="382"/>
      <c r="M207" s="44"/>
      <c r="N207" s="44"/>
      <c r="O207" s="44"/>
      <c r="P207" s="44"/>
      <c r="Q207" s="44"/>
      <c r="R207" s="44"/>
    </row>
    <row r="208" spans="1:18" x14ac:dyDescent="0.4">
      <c r="A208" s="76"/>
      <c r="E208" s="44"/>
      <c r="F208" s="44"/>
      <c r="G208" s="44"/>
      <c r="H208" s="44"/>
      <c r="K208" s="44"/>
      <c r="L208" s="44"/>
      <c r="M208" s="44"/>
      <c r="N208" s="44"/>
      <c r="O208" s="44"/>
      <c r="P208" s="44"/>
      <c r="Q208" s="44"/>
      <c r="R208" s="44"/>
    </row>
    <row r="209" spans="1:18" x14ac:dyDescent="0.4">
      <c r="A209" s="76"/>
      <c r="M209" s="44"/>
      <c r="N209" s="44"/>
      <c r="O209" s="44"/>
      <c r="P209" s="44"/>
      <c r="Q209" s="44"/>
      <c r="R209" s="44"/>
    </row>
    <row r="210" spans="1:18" x14ac:dyDescent="0.4">
      <c r="A210" s="77" t="s">
        <v>184</v>
      </c>
      <c r="B210" s="78" t="s">
        <v>185</v>
      </c>
      <c r="M210" s="44"/>
      <c r="N210" s="44"/>
      <c r="O210" s="44"/>
      <c r="P210" s="44"/>
      <c r="Q210" s="44"/>
      <c r="R210" s="44"/>
    </row>
    <row r="211" spans="1:18" x14ac:dyDescent="0.4">
      <c r="A211" s="76"/>
      <c r="B211" s="78"/>
      <c r="M211" s="44"/>
      <c r="N211" s="44"/>
      <c r="O211" s="44"/>
      <c r="P211" s="44"/>
      <c r="Q211" s="44"/>
      <c r="R211" s="44"/>
    </row>
    <row r="212" spans="1:18" x14ac:dyDescent="0.4">
      <c r="A212" s="76"/>
      <c r="B212" s="78" t="s">
        <v>186</v>
      </c>
      <c r="M212" s="44"/>
      <c r="N212" s="44"/>
      <c r="O212" s="44"/>
      <c r="P212" s="44"/>
      <c r="Q212" s="44"/>
      <c r="R212" s="44"/>
    </row>
    <row r="213" spans="1:18" x14ac:dyDescent="0.4">
      <c r="A213" s="76"/>
      <c r="B213" s="79" t="s">
        <v>187</v>
      </c>
      <c r="M213" s="44"/>
      <c r="N213" s="44"/>
      <c r="O213" s="44"/>
      <c r="P213" s="44"/>
      <c r="Q213" s="44"/>
      <c r="R213" s="44"/>
    </row>
    <row r="214" spans="1:18" x14ac:dyDescent="0.4">
      <c r="A214" s="76"/>
      <c r="B214" s="79" t="s">
        <v>81</v>
      </c>
      <c r="M214" s="44"/>
      <c r="N214" s="44"/>
      <c r="O214" s="44"/>
      <c r="P214" s="44"/>
      <c r="Q214" s="44"/>
      <c r="R214" s="44"/>
    </row>
    <row r="215" spans="1:18" x14ac:dyDescent="0.4">
      <c r="A215" s="76"/>
      <c r="C215" s="80"/>
      <c r="D215" s="80"/>
      <c r="E215" s="80" t="str">
        <f>+E$13</f>
        <v>RT{1}</v>
      </c>
      <c r="F215" s="80" t="str">
        <f>+F$13</f>
        <v>RS{2}</v>
      </c>
      <c r="G215" s="80" t="str">
        <f>+G$13</f>
        <v>GS{3}</v>
      </c>
      <c r="H215" s="102" t="str">
        <f>+H$58</f>
        <v>GST {4}</v>
      </c>
      <c r="I215" s="80" t="str">
        <f>+I$13</f>
        <v>OL/SL</v>
      </c>
      <c r="J215" s="80"/>
      <c r="M215" s="44"/>
      <c r="N215" s="44"/>
      <c r="O215" s="44"/>
      <c r="P215" s="44"/>
      <c r="Q215" s="44"/>
      <c r="R215" s="44"/>
    </row>
    <row r="216" spans="1:18" x14ac:dyDescent="0.4">
      <c r="A216" s="76"/>
      <c r="C216" s="80"/>
      <c r="D216" s="80"/>
      <c r="E216" s="44"/>
      <c r="F216" s="80"/>
      <c r="G216" s="80"/>
      <c r="M216" s="44"/>
      <c r="N216" s="44"/>
      <c r="O216" s="44"/>
      <c r="P216" s="44"/>
      <c r="Q216" s="44"/>
      <c r="R216" s="44"/>
    </row>
    <row r="217" spans="1:18" x14ac:dyDescent="0.4">
      <c r="A217" s="76"/>
      <c r="B217" s="235" t="s">
        <v>111</v>
      </c>
      <c r="C217" s="44"/>
      <c r="D217" s="44"/>
      <c r="E217" s="44">
        <f>+E150+(E$95*$E$192)+E$198+E201</f>
        <v>79.92869138880458</v>
      </c>
      <c r="F217" s="44">
        <f>+F150+(F$95*$E$192)+F$198+F201</f>
        <v>82.005980127037489</v>
      </c>
      <c r="G217" s="44">
        <f>+G150+(G$95*$E$192)+G$198+G201</f>
        <v>79.873376157345206</v>
      </c>
      <c r="H217" s="44"/>
      <c r="I217" s="44">
        <f>+I150+(I$95*$E$192)+I$198+I201</f>
        <v>52.944015447443334</v>
      </c>
      <c r="J217" s="44"/>
      <c r="K217" s="44"/>
      <c r="M217" s="44"/>
      <c r="N217" s="44"/>
      <c r="O217" s="44"/>
      <c r="P217" s="44"/>
      <c r="Q217" s="44"/>
      <c r="R217" s="44"/>
    </row>
    <row r="218" spans="1:18" x14ac:dyDescent="0.4">
      <c r="A218" s="76"/>
      <c r="B218" s="236" t="s">
        <v>133</v>
      </c>
      <c r="C218" s="44"/>
      <c r="D218" s="44"/>
      <c r="E218" s="44">
        <f>+E151+(E$95*$E$192)+E$198+E$202</f>
        <v>111.87080908572787</v>
      </c>
      <c r="F218" s="44"/>
      <c r="G218" s="44"/>
      <c r="H218" s="44">
        <f>+H151+(H$95*$E$192)+H$198+H$202</f>
        <v>89.733023577737285</v>
      </c>
      <c r="I218" s="44"/>
      <c r="J218" s="44"/>
      <c r="M218" s="44"/>
      <c r="N218" s="44"/>
      <c r="O218" s="44"/>
      <c r="P218" s="44"/>
      <c r="Q218" s="44"/>
      <c r="R218" s="44"/>
    </row>
    <row r="219" spans="1:18" x14ac:dyDescent="0.4">
      <c r="A219" s="76"/>
      <c r="B219" s="236" t="s">
        <v>134</v>
      </c>
      <c r="C219" s="44"/>
      <c r="D219" s="44"/>
      <c r="E219" s="44">
        <f>+E152+(E$95*$E$192)+E$198</f>
        <v>57.707071588374959</v>
      </c>
      <c r="F219" s="44"/>
      <c r="G219" s="44"/>
      <c r="H219" s="44">
        <f>+H152+(H$95*$E$192)+H$198</f>
        <v>57.707575286352359</v>
      </c>
      <c r="I219" s="44"/>
      <c r="J219" s="44"/>
      <c r="M219" s="44"/>
      <c r="N219" s="44"/>
      <c r="O219" s="44"/>
      <c r="P219" s="44"/>
      <c r="Q219" s="44"/>
      <c r="R219" s="44"/>
    </row>
    <row r="220" spans="1:18" x14ac:dyDescent="0.4">
      <c r="A220" s="76"/>
      <c r="B220" s="212" t="s">
        <v>165</v>
      </c>
      <c r="C220" s="44"/>
      <c r="D220" s="44"/>
      <c r="E220" s="44"/>
      <c r="F220" s="44">
        <f>(F217*SUM(F65:F68)-C187*10*E186*SUM(F65:F68))/SUM(F65:F68)</f>
        <v>77.944595716737723</v>
      </c>
      <c r="G220" s="44"/>
      <c r="H220" s="44"/>
      <c r="I220" s="44"/>
      <c r="J220" s="44"/>
      <c r="M220" s="44"/>
      <c r="N220" s="44"/>
      <c r="O220" s="44"/>
      <c r="P220" s="44"/>
      <c r="Q220" s="44"/>
      <c r="R220" s="44"/>
    </row>
    <row r="221" spans="1:18" x14ac:dyDescent="0.4">
      <c r="A221" s="76"/>
      <c r="B221" s="212" t="s">
        <v>166</v>
      </c>
      <c r="C221" s="44"/>
      <c r="D221" s="44"/>
      <c r="E221" s="44"/>
      <c r="F221" s="44">
        <f>+F220+C187*10</f>
        <v>86.596595716737724</v>
      </c>
      <c r="G221" s="237"/>
      <c r="H221" s="44"/>
      <c r="I221" s="44"/>
      <c r="J221" s="44"/>
      <c r="M221" s="44"/>
      <c r="N221" s="44"/>
      <c r="O221" s="44"/>
      <c r="P221" s="44"/>
      <c r="Q221" s="44"/>
      <c r="R221" s="44"/>
    </row>
    <row r="222" spans="1:18" x14ac:dyDescent="0.4">
      <c r="A222" s="76"/>
      <c r="C222" s="44"/>
      <c r="D222" s="44"/>
      <c r="E222" s="44"/>
      <c r="F222" s="44"/>
      <c r="G222" s="44"/>
      <c r="H222" s="44"/>
      <c r="I222" s="44"/>
      <c r="J222" s="44"/>
      <c r="M222" s="44"/>
      <c r="N222" s="44"/>
      <c r="O222" s="44"/>
      <c r="P222" s="44"/>
      <c r="Q222" s="44"/>
      <c r="R222" s="44"/>
    </row>
    <row r="223" spans="1:18" x14ac:dyDescent="0.4">
      <c r="A223" s="76"/>
      <c r="B223" s="235" t="s">
        <v>115</v>
      </c>
      <c r="C223" s="44"/>
      <c r="D223" s="44"/>
      <c r="E223" s="44">
        <f>+E154+(E$95*$E$192)+E$198+E203</f>
        <v>75.273882407784342</v>
      </c>
      <c r="F223" s="44">
        <f>+F154+(F$95*$E$192)+F$198+F203</f>
        <v>84.786034918298469</v>
      </c>
      <c r="G223" s="44">
        <f>+G154+(G$95*$E$192)+G$198+G203</f>
        <v>76.558777629926666</v>
      </c>
      <c r="H223" s="44"/>
      <c r="I223" s="44">
        <f>+I154+(I$95*$E$192)+I$198+I203</f>
        <v>50.138855809410693</v>
      </c>
      <c r="J223" s="44"/>
      <c r="K223" s="44"/>
      <c r="M223" s="44"/>
      <c r="N223" s="44"/>
      <c r="O223" s="44"/>
      <c r="P223" s="44"/>
      <c r="Q223" s="44"/>
      <c r="R223" s="44"/>
    </row>
    <row r="224" spans="1:18" x14ac:dyDescent="0.4">
      <c r="A224" s="76"/>
      <c r="B224" s="236" t="s">
        <v>133</v>
      </c>
      <c r="C224" s="44"/>
      <c r="D224" s="44"/>
      <c r="E224" s="44">
        <f>+E155+(E$95*$E$192)+E$198+E$204</f>
        <v>106.89825750569187</v>
      </c>
      <c r="F224" s="44"/>
      <c r="G224" s="44"/>
      <c r="H224" s="44">
        <f>+H155+(H$95*$E$192)+H$198+H$204</f>
        <v>81.539949461576768</v>
      </c>
      <c r="I224" s="44"/>
      <c r="J224" s="44"/>
      <c r="M224" s="44"/>
      <c r="N224" s="44"/>
      <c r="O224" s="44"/>
      <c r="P224" s="44"/>
      <c r="Q224" s="44"/>
      <c r="R224" s="44"/>
    </row>
    <row r="225" spans="1:18" x14ac:dyDescent="0.4">
      <c r="A225" s="76"/>
      <c r="B225" s="236" t="s">
        <v>134</v>
      </c>
      <c r="C225" s="44"/>
      <c r="D225" s="44"/>
      <c r="E225" s="44">
        <f>+E156+(E$95*$E$192)+E$198</f>
        <v>58.033899853890972</v>
      </c>
      <c r="F225" s="44"/>
      <c r="G225" s="44"/>
      <c r="H225" s="44">
        <f>+H156+(H$95*$E$192)+H$198</f>
        <v>56.450083370670029</v>
      </c>
      <c r="I225" s="44"/>
      <c r="J225" s="44"/>
      <c r="M225" s="44"/>
      <c r="N225" s="44"/>
      <c r="O225" s="44"/>
      <c r="P225" s="44"/>
      <c r="Q225" s="44"/>
      <c r="R225" s="44"/>
    </row>
    <row r="226" spans="1:18" x14ac:dyDescent="0.4">
      <c r="A226" s="76"/>
      <c r="C226" s="44"/>
      <c r="D226" s="44"/>
      <c r="E226" s="44"/>
      <c r="F226" s="44"/>
      <c r="G226" s="44"/>
      <c r="H226" s="44"/>
      <c r="I226" s="44"/>
      <c r="J226" s="44"/>
      <c r="M226" s="44"/>
      <c r="N226" s="44"/>
      <c r="O226" s="44"/>
      <c r="P226" s="44"/>
      <c r="Q226" s="44"/>
      <c r="R226" s="44"/>
    </row>
    <row r="227" spans="1:18" x14ac:dyDescent="0.4">
      <c r="A227" s="76"/>
      <c r="B227" s="211" t="s">
        <v>188</v>
      </c>
      <c r="C227" s="44"/>
      <c r="D227" s="44"/>
      <c r="E227" s="44">
        <f>+E158+(E$95*$E$192)+E$198+E200</f>
        <v>76.806371311854477</v>
      </c>
      <c r="F227" s="44">
        <f>+F158+(F$95*$E$192)+F$198+F200</f>
        <v>83.630413415365553</v>
      </c>
      <c r="G227" s="44">
        <f>+G158+(G$95*$E$192)+G$198+G200</f>
        <v>77.760262415839804</v>
      </c>
      <c r="H227" s="44">
        <f>((H218*SUMPRODUCT(H38:H41,H65:H68)+H219*SUMPRODUCT(T38:T41,H65:H68))+(H224*(SUMPRODUCT(H33:H37,H60:H64)+SUMPRODUCT(H42:H44,H69:H71))+H225*(SUMPRODUCT(T33:T37,H60:H64)+SUMPRODUCT(T42:T44,H69:H71))))/H72</f>
        <v>69.195901898362493</v>
      </c>
      <c r="I227" s="44">
        <f>+I158+(I$95*$E$192)+I$198+I200</f>
        <v>51.073941517421439</v>
      </c>
      <c r="J227" s="44"/>
      <c r="K227" s="44"/>
      <c r="M227" s="44"/>
      <c r="N227" s="44"/>
      <c r="O227" s="44"/>
      <c r="P227" s="44"/>
      <c r="Q227" s="44"/>
      <c r="R227" s="44"/>
    </row>
    <row r="228" spans="1:18" x14ac:dyDescent="0.4">
      <c r="A228" s="76"/>
      <c r="C228" s="44"/>
      <c r="D228" s="44"/>
      <c r="E228" s="44"/>
      <c r="F228" s="44"/>
      <c r="G228" s="44"/>
      <c r="H228" s="44"/>
      <c r="I228" s="44"/>
      <c r="J228" s="44"/>
      <c r="K228" s="44"/>
      <c r="M228" s="44"/>
      <c r="N228" s="44"/>
      <c r="O228" s="44"/>
      <c r="P228" s="44"/>
      <c r="Q228" s="44"/>
      <c r="R228" s="44"/>
    </row>
    <row r="229" spans="1:18" x14ac:dyDescent="0.4">
      <c r="A229" s="76"/>
      <c r="B229" s="78" t="s">
        <v>189</v>
      </c>
      <c r="M229" s="44"/>
      <c r="N229" s="44"/>
      <c r="O229" s="44"/>
      <c r="P229" s="44"/>
      <c r="Q229" s="44"/>
      <c r="R229" s="44"/>
    </row>
    <row r="230" spans="1:18" x14ac:dyDescent="0.4">
      <c r="A230" s="76"/>
      <c r="B230" s="79" t="s">
        <v>190</v>
      </c>
      <c r="M230" s="44"/>
      <c r="N230" s="44"/>
      <c r="O230" s="44"/>
      <c r="P230" s="44"/>
      <c r="Q230" s="44"/>
      <c r="R230" s="44"/>
    </row>
    <row r="231" spans="1:18" x14ac:dyDescent="0.4">
      <c r="A231" s="76"/>
      <c r="B231" s="79" t="s">
        <v>81</v>
      </c>
      <c r="M231" s="44"/>
      <c r="N231" s="44"/>
      <c r="O231" s="44"/>
      <c r="P231" s="44"/>
      <c r="Q231" s="44"/>
      <c r="R231" s="44"/>
    </row>
    <row r="232" spans="1:18" x14ac:dyDescent="0.4">
      <c r="A232" s="76"/>
      <c r="B232" s="236"/>
      <c r="C232" s="44"/>
      <c r="D232" s="44"/>
      <c r="I232" s="212"/>
      <c r="J232" s="44"/>
      <c r="K232" s="349"/>
    </row>
    <row r="233" spans="1:18" x14ac:dyDescent="0.4">
      <c r="A233" s="76"/>
      <c r="C233" s="44"/>
      <c r="D233" s="44"/>
    </row>
    <row r="234" spans="1:18" x14ac:dyDescent="0.4">
      <c r="A234" s="76"/>
      <c r="B234" s="82" t="s">
        <v>191</v>
      </c>
      <c r="C234" s="44"/>
      <c r="D234" s="44"/>
      <c r="I234" s="103"/>
      <c r="K234" s="349"/>
    </row>
    <row r="235" spans="1:18" x14ac:dyDescent="0.4">
      <c r="A235" s="76"/>
      <c r="B235" s="236"/>
      <c r="C235" s="44"/>
      <c r="D235" s="44"/>
      <c r="I235" s="212"/>
      <c r="J235" s="32"/>
      <c r="K235" s="349"/>
    </row>
    <row r="236" spans="1:18" ht="15.35" x14ac:dyDescent="0.5">
      <c r="A236" s="76"/>
      <c r="B236" s="382" t="str">
        <f>$B$1</f>
        <v xml:space="preserve">Jersey Central Power &amp; Light </v>
      </c>
      <c r="C236" s="382"/>
      <c r="D236" s="382"/>
      <c r="E236" s="382"/>
      <c r="F236" s="382"/>
      <c r="G236" s="382"/>
      <c r="H236" s="382"/>
      <c r="I236" s="382"/>
      <c r="J236" s="382"/>
      <c r="K236" s="382"/>
      <c r="L236" s="382"/>
    </row>
    <row r="237" spans="1:18" ht="15.35" x14ac:dyDescent="0.5">
      <c r="A237" s="76"/>
      <c r="B237" s="382" t="str">
        <f>$B$2</f>
        <v>Attachment 2</v>
      </c>
      <c r="C237" s="382"/>
      <c r="D237" s="382"/>
      <c r="E237" s="382"/>
      <c r="F237" s="382"/>
      <c r="G237" s="382"/>
      <c r="H237" s="382"/>
      <c r="I237" s="382"/>
      <c r="J237" s="382"/>
      <c r="K237" s="382"/>
      <c r="L237" s="382"/>
    </row>
    <row r="238" spans="1:18" ht="15.35" x14ac:dyDescent="0.5">
      <c r="A238" s="7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</row>
    <row r="239" spans="1:18" ht="15.35" x14ac:dyDescent="0.5">
      <c r="A239" s="77" t="s">
        <v>192</v>
      </c>
      <c r="B239" s="78" t="s">
        <v>193</v>
      </c>
      <c r="C239" s="248"/>
      <c r="E239" s="104"/>
      <c r="F239" s="96"/>
      <c r="K239" s="116"/>
      <c r="L239" s="116"/>
    </row>
    <row r="240" spans="1:18" ht="15.35" x14ac:dyDescent="0.5">
      <c r="B240" s="211" t="s">
        <v>194</v>
      </c>
      <c r="K240" s="116"/>
      <c r="L240" s="116"/>
    </row>
    <row r="241" spans="1:12" ht="15.35" x14ac:dyDescent="0.5">
      <c r="E241" s="80" t="s">
        <v>13</v>
      </c>
      <c r="F241" s="80" t="s">
        <v>14</v>
      </c>
      <c r="G241" s="80" t="s">
        <v>15</v>
      </c>
      <c r="H241" s="80" t="s">
        <v>46</v>
      </c>
      <c r="I241" s="80" t="s">
        <v>17</v>
      </c>
      <c r="K241" s="116"/>
      <c r="L241" s="116"/>
    </row>
    <row r="242" spans="1:12" ht="15.35" x14ac:dyDescent="0.5">
      <c r="K242" s="116"/>
      <c r="L242" s="116"/>
    </row>
    <row r="243" spans="1:12" ht="15.35" x14ac:dyDescent="0.5">
      <c r="B243" s="235" t="s">
        <v>111</v>
      </c>
      <c r="E243" s="226">
        <f>'Composite Cost Allocation'!E106</f>
        <v>2446237.3333329996</v>
      </c>
      <c r="G243" s="226">
        <f>'Composite Cost Allocation'!G106</f>
        <v>1976725000</v>
      </c>
      <c r="I243" s="226">
        <f>'Composite Cost Allocation'!I106</f>
        <v>38368000</v>
      </c>
      <c r="K243" s="116"/>
      <c r="L243" s="116"/>
    </row>
    <row r="244" spans="1:12" ht="15.35" x14ac:dyDescent="0.5">
      <c r="B244" s="236" t="s">
        <v>133</v>
      </c>
      <c r="E244" s="226">
        <f>'Composite Cost Allocation'!E107</f>
        <v>26178933</v>
      </c>
      <c r="H244" s="226">
        <f>'Composite Cost Allocation'!H107</f>
        <v>30387363.899999999</v>
      </c>
      <c r="K244" s="116"/>
      <c r="L244" s="116"/>
    </row>
    <row r="245" spans="1:12" ht="15.35" x14ac:dyDescent="0.5">
      <c r="B245" s="236" t="s">
        <v>134</v>
      </c>
      <c r="E245" s="226">
        <f>'Composite Cost Allocation'!E108</f>
        <v>37626829.666666999</v>
      </c>
      <c r="H245" s="226">
        <f>'Composite Cost Allocation'!H108</f>
        <v>35357636.100000001</v>
      </c>
      <c r="K245" s="116"/>
      <c r="L245" s="116"/>
    </row>
    <row r="246" spans="1:12" ht="15.35" x14ac:dyDescent="0.5">
      <c r="B246" s="212" t="s">
        <v>165</v>
      </c>
      <c r="F246" s="226">
        <f>'Composite Cost Allocation'!F109</f>
        <v>2001184000</v>
      </c>
      <c r="K246" s="116"/>
      <c r="L246" s="116"/>
    </row>
    <row r="247" spans="1:12" ht="15.35" x14ac:dyDescent="0.5">
      <c r="B247" s="212" t="s">
        <v>166</v>
      </c>
      <c r="F247" s="226">
        <f>'Composite Cost Allocation'!F110</f>
        <v>1770477000</v>
      </c>
      <c r="K247" s="116"/>
      <c r="L247" s="116"/>
    </row>
    <row r="248" spans="1:12" ht="15.35" x14ac:dyDescent="0.5">
      <c r="K248" s="116"/>
      <c r="L248" s="116"/>
    </row>
    <row r="249" spans="1:12" ht="15.35" x14ac:dyDescent="0.5">
      <c r="B249" s="235" t="s">
        <v>115</v>
      </c>
      <c r="E249" s="226">
        <f>'Composite Cost Allocation'!E112</f>
        <v>5877031.3333332986</v>
      </c>
      <c r="F249" s="226">
        <f>'Composite Cost Allocation'!F112</f>
        <v>5301746000</v>
      </c>
      <c r="G249" s="226">
        <f>'Composite Cost Allocation'!G112</f>
        <v>3476569000</v>
      </c>
      <c r="I249" s="226">
        <f>'Composite Cost Allocation'!I112</f>
        <v>76732000</v>
      </c>
      <c r="K249" s="116"/>
      <c r="L249" s="116"/>
    </row>
    <row r="250" spans="1:12" ht="15.35" x14ac:dyDescent="0.5">
      <c r="B250" s="236" t="s">
        <v>133</v>
      </c>
      <c r="E250" s="226">
        <f>'Composite Cost Allocation'!E113</f>
        <v>45545243.856866822</v>
      </c>
      <c r="H250" s="226">
        <f>'Composite Cost Allocation'!H113</f>
        <v>55261285.100000001</v>
      </c>
      <c r="K250" s="116"/>
      <c r="L250" s="116"/>
    </row>
    <row r="251" spans="1:12" ht="15.35" x14ac:dyDescent="0.5">
      <c r="B251" s="236" t="s">
        <v>134</v>
      </c>
      <c r="E251" s="226">
        <f>'Composite Cost Allocation'!E114</f>
        <v>83560724.80979988</v>
      </c>
      <c r="H251" s="226">
        <f>'Composite Cost Allocation'!H114</f>
        <v>70612714.900000006</v>
      </c>
      <c r="K251" s="116"/>
      <c r="L251" s="116"/>
    </row>
    <row r="252" spans="1:12" ht="15.35" x14ac:dyDescent="0.5">
      <c r="J252" s="80" t="s">
        <v>44</v>
      </c>
      <c r="K252" s="116"/>
      <c r="L252" s="116"/>
    </row>
    <row r="253" spans="1:12" ht="15.35" x14ac:dyDescent="0.5">
      <c r="B253" s="212" t="s">
        <v>158</v>
      </c>
      <c r="E253" s="226">
        <f>SUM(E243:E247)</f>
        <v>66252000</v>
      </c>
      <c r="F253" s="226">
        <f>SUM(F243:F247)</f>
        <v>3771661000</v>
      </c>
      <c r="G253" s="226">
        <f>SUM(G243:G247)</f>
        <v>1976725000</v>
      </c>
      <c r="H253" s="226">
        <f>SUM(H243:H247)</f>
        <v>65745000</v>
      </c>
      <c r="I253" s="226">
        <f>SUM(I243:I247)</f>
        <v>38368000</v>
      </c>
      <c r="J253" s="226">
        <f>SUM(E253:I253)</f>
        <v>5918751000</v>
      </c>
      <c r="K253" s="116"/>
      <c r="L253" s="116"/>
    </row>
    <row r="254" spans="1:12" ht="15.35" x14ac:dyDescent="0.5">
      <c r="B254" s="212" t="s">
        <v>159</v>
      </c>
      <c r="E254" s="105">
        <f>SUM(E249:E251)</f>
        <v>134983000</v>
      </c>
      <c r="F254" s="105">
        <f>SUM(F249:F251)</f>
        <v>5301746000</v>
      </c>
      <c r="G254" s="95">
        <f>SUM(G249:G251)</f>
        <v>3476569000</v>
      </c>
      <c r="H254" s="95">
        <f>SUM(H249:H251)</f>
        <v>125874000</v>
      </c>
      <c r="I254" s="95">
        <f>SUM(I249:I251)</f>
        <v>76732000</v>
      </c>
      <c r="J254" s="105">
        <f>SUM(E254:I254)</f>
        <v>9115904000</v>
      </c>
      <c r="K254" s="116"/>
      <c r="L254" s="116"/>
    </row>
    <row r="255" spans="1:12" ht="15.35" x14ac:dyDescent="0.5">
      <c r="B255" s="212" t="s">
        <v>160</v>
      </c>
      <c r="E255" s="226">
        <f>SUM(E253:E254)</f>
        <v>201235000</v>
      </c>
      <c r="F255" s="226">
        <f>SUM(F253:F254)</f>
        <v>9073407000</v>
      </c>
      <c r="G255" s="226">
        <f>SUM(G253:G254)</f>
        <v>5453294000</v>
      </c>
      <c r="H255" s="226">
        <f>SUM(H253:H254)</f>
        <v>191619000</v>
      </c>
      <c r="I255" s="226">
        <f>SUM(I253:I254)</f>
        <v>115100000</v>
      </c>
      <c r="J255" s="226">
        <f>SUM(E255:I255)</f>
        <v>15034655000</v>
      </c>
      <c r="K255" s="116"/>
      <c r="L255" s="116"/>
    </row>
    <row r="256" spans="1:12" ht="15.35" x14ac:dyDescent="0.5">
      <c r="A256" s="7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</row>
    <row r="257" spans="1:15" ht="15.35" x14ac:dyDescent="0.5">
      <c r="A257" s="7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</row>
    <row r="259" spans="1:15" x14ac:dyDescent="0.4">
      <c r="A259" s="77" t="s">
        <v>195</v>
      </c>
      <c r="B259" s="78" t="s">
        <v>196</v>
      </c>
    </row>
    <row r="260" spans="1:15" x14ac:dyDescent="0.4">
      <c r="A260" s="76"/>
      <c r="B260" s="78"/>
    </row>
    <row r="261" spans="1:15" x14ac:dyDescent="0.4">
      <c r="A261" s="76"/>
      <c r="C261" s="80"/>
      <c r="D261" s="80"/>
      <c r="E261" s="80" t="str">
        <f>+E$13</f>
        <v>RT{1}</v>
      </c>
      <c r="F261" s="80" t="str">
        <f>+F$13</f>
        <v>RS{2}</v>
      </c>
      <c r="G261" s="80" t="str">
        <f>+G$13</f>
        <v>GS{3}</v>
      </c>
      <c r="H261" s="102" t="str">
        <f>+H$58</f>
        <v>GST {4}</v>
      </c>
      <c r="I261" s="80" t="str">
        <f>+I$13</f>
        <v>OL/SL</v>
      </c>
      <c r="J261" s="80" t="s">
        <v>44</v>
      </c>
      <c r="K261" s="80"/>
      <c r="L261" s="80"/>
    </row>
    <row r="262" spans="1:15" x14ac:dyDescent="0.4">
      <c r="A262" s="76"/>
      <c r="B262" s="211" t="s">
        <v>197</v>
      </c>
    </row>
    <row r="263" spans="1:15" x14ac:dyDescent="0.4">
      <c r="A263" s="76"/>
      <c r="B263" s="235" t="s">
        <v>111</v>
      </c>
      <c r="C263" s="21"/>
      <c r="D263" s="21"/>
      <c r="E263" s="21">
        <f>+E217*E243/1000000</f>
        <v>195.52454887974559</v>
      </c>
      <c r="F263" s="21"/>
      <c r="G263" s="21">
        <f>+G217*G243/1000000</f>
        <v>157887.69948462822</v>
      </c>
      <c r="H263" s="21"/>
      <c r="I263" s="21">
        <f>+I217*I243/1000000</f>
        <v>2031.355984687506</v>
      </c>
      <c r="J263" s="21"/>
      <c r="K263" s="21"/>
      <c r="L263" s="21"/>
    </row>
    <row r="264" spans="1:15" x14ac:dyDescent="0.4">
      <c r="A264" s="76"/>
      <c r="B264" s="236" t="s">
        <v>133</v>
      </c>
      <c r="C264" s="21"/>
      <c r="D264" s="21"/>
      <c r="E264" s="21">
        <f>+E218*E244/1000000</f>
        <v>2928.658415711061</v>
      </c>
      <c r="F264" s="21"/>
      <c r="G264" s="21"/>
      <c r="H264" s="21">
        <f>+H218*H244/1000000</f>
        <v>2726.7500413039829</v>
      </c>
      <c r="I264" s="21"/>
      <c r="J264" s="21"/>
      <c r="K264" s="21"/>
      <c r="L264" s="21"/>
    </row>
    <row r="265" spans="1:15" x14ac:dyDescent="0.4">
      <c r="A265" s="76"/>
      <c r="B265" s="236" t="s">
        <v>134</v>
      </c>
      <c r="C265" s="21"/>
      <c r="D265" s="21"/>
      <c r="E265" s="21">
        <f>+E219*E245/1000000</f>
        <v>2171.3341532179434</v>
      </c>
      <c r="F265" s="21"/>
      <c r="G265" s="21"/>
      <c r="H265" s="21">
        <f>+H219*H245/1000000</f>
        <v>2040.4034471882001</v>
      </c>
      <c r="I265" s="21"/>
      <c r="J265" s="21"/>
      <c r="K265" s="319"/>
      <c r="L265" s="319"/>
      <c r="M265" s="319"/>
      <c r="N265" s="319"/>
      <c r="O265" s="319"/>
    </row>
    <row r="266" spans="1:15" x14ac:dyDescent="0.4">
      <c r="A266" s="76"/>
      <c r="B266" s="212" t="s">
        <v>165</v>
      </c>
      <c r="C266" s="21"/>
      <c r="D266" s="21"/>
      <c r="E266" s="21"/>
      <c r="F266" s="21">
        <f>+F220*F246/1000000</f>
        <v>155981.47783480407</v>
      </c>
      <c r="G266" s="21"/>
      <c r="H266" s="21"/>
      <c r="I266" s="21"/>
      <c r="J266" s="21"/>
      <c r="K266" s="21"/>
      <c r="L266" s="21"/>
    </row>
    <row r="267" spans="1:15" x14ac:dyDescent="0.4">
      <c r="A267" s="76"/>
      <c r="B267" s="212" t="s">
        <v>166</v>
      </c>
      <c r="C267" s="21"/>
      <c r="D267" s="21"/>
      <c r="E267" s="21"/>
      <c r="F267" s="21">
        <f>+F221*F247/1000000</f>
        <v>153317.28099478266</v>
      </c>
      <c r="G267" s="21"/>
      <c r="H267" s="21"/>
      <c r="I267" s="21"/>
      <c r="J267" s="21"/>
      <c r="K267" s="21"/>
      <c r="L267" s="21"/>
    </row>
    <row r="268" spans="1:15" x14ac:dyDescent="0.4">
      <c r="A268" s="76"/>
      <c r="C268" s="21"/>
      <c r="D268" s="21"/>
      <c r="E268" s="21"/>
      <c r="F268" s="21"/>
      <c r="G268" s="21"/>
      <c r="H268" s="21"/>
      <c r="I268" s="21"/>
      <c r="J268" s="21"/>
      <c r="K268" s="21"/>
      <c r="L268" s="21"/>
    </row>
    <row r="269" spans="1:15" x14ac:dyDescent="0.4">
      <c r="A269" s="76"/>
      <c r="B269" s="235" t="s">
        <v>115</v>
      </c>
      <c r="C269" s="21"/>
      <c r="D269" s="21"/>
      <c r="E269" s="21">
        <f>+E223*E249/1000000</f>
        <v>442.38696549219469</v>
      </c>
      <c r="F269" s="21">
        <f>+F223*F249/1000000</f>
        <v>449514.02148394921</v>
      </c>
      <c r="G269" s="21">
        <f>+G223*G249/1000000</f>
        <v>266161.87298609654</v>
      </c>
      <c r="I269" s="21">
        <f>+I223*I249/1000000</f>
        <v>3847.2546839677016</v>
      </c>
      <c r="J269" s="21"/>
      <c r="K269" s="21"/>
      <c r="L269" s="21"/>
    </row>
    <row r="270" spans="1:15" x14ac:dyDescent="0.4">
      <c r="A270" s="76"/>
      <c r="B270" s="236" t="s">
        <v>133</v>
      </c>
      <c r="C270" s="21"/>
      <c r="D270" s="21"/>
      <c r="E270" s="21">
        <f>+E224*E250/1000000</f>
        <v>4868.7072059708808</v>
      </c>
      <c r="F270" s="319"/>
      <c r="G270" s="319"/>
      <c r="H270" s="21">
        <f>+H224*H250/1000000</f>
        <v>4506.0023942357857</v>
      </c>
      <c r="I270" s="319"/>
      <c r="J270" s="21"/>
      <c r="K270" s="21"/>
      <c r="L270" s="21"/>
    </row>
    <row r="271" spans="1:15" x14ac:dyDescent="0.4">
      <c r="A271" s="76"/>
      <c r="B271" s="236" t="s">
        <v>134</v>
      </c>
      <c r="C271" s="319"/>
      <c r="D271" s="319"/>
      <c r="E271" s="21">
        <f>+E225*E251/1000000</f>
        <v>4849.3547353304693</v>
      </c>
      <c r="H271" s="21">
        <f>+H225*H251/1000000</f>
        <v>3986.0936431343539</v>
      </c>
      <c r="J271" s="21"/>
      <c r="K271" s="21"/>
      <c r="L271" s="21"/>
    </row>
    <row r="272" spans="1:15" x14ac:dyDescent="0.4">
      <c r="A272" s="76"/>
      <c r="B272" s="219"/>
    </row>
    <row r="273" spans="1:12" x14ac:dyDescent="0.4">
      <c r="A273" s="76"/>
      <c r="B273" s="211" t="s">
        <v>198</v>
      </c>
    </row>
    <row r="274" spans="1:12" x14ac:dyDescent="0.4">
      <c r="A274" s="76"/>
      <c r="B274" s="219" t="s">
        <v>91</v>
      </c>
      <c r="E274" s="319">
        <f>SUM(E263:E267)</f>
        <v>5295.5171178087494</v>
      </c>
      <c r="F274" s="319">
        <f>SUM(F263:F267)</f>
        <v>309298.75882958673</v>
      </c>
      <c r="G274" s="319">
        <f>SUM(G263:G267)</f>
        <v>157887.69948462822</v>
      </c>
      <c r="H274" s="319">
        <f>SUM(H263:H267)</f>
        <v>4767.153488492183</v>
      </c>
      <c r="I274" s="319">
        <f>SUM(I263:I267)</f>
        <v>2031.355984687506</v>
      </c>
      <c r="J274" s="360">
        <f>SUM(E274:I274)</f>
        <v>479280.4849052034</v>
      </c>
    </row>
    <row r="275" spans="1:12" x14ac:dyDescent="0.4">
      <c r="A275" s="76"/>
      <c r="B275" s="219" t="s">
        <v>88</v>
      </c>
      <c r="E275" s="319">
        <f>SUM(E269:E271)</f>
        <v>10160.448906793545</v>
      </c>
      <c r="F275" s="319">
        <f>SUM(F269:F271)</f>
        <v>449514.02148394921</v>
      </c>
      <c r="G275" s="319">
        <f>SUM(G269:G271)</f>
        <v>266161.87298609654</v>
      </c>
      <c r="H275" s="319">
        <f>SUM(H269:H271)</f>
        <v>8492.09603737014</v>
      </c>
      <c r="I275" s="319">
        <f>SUM(I269:I271)</f>
        <v>3847.2546839677016</v>
      </c>
      <c r="J275" s="360">
        <f>SUM(E275:I275)</f>
        <v>738175.69409817713</v>
      </c>
    </row>
    <row r="276" spans="1:12" x14ac:dyDescent="0.4">
      <c r="A276" s="76"/>
      <c r="B276" s="219" t="s">
        <v>44</v>
      </c>
      <c r="E276" s="319">
        <f>SUM(E274:E275)</f>
        <v>15455.966024602294</v>
      </c>
      <c r="F276" s="319">
        <f>SUM(F274:F275)</f>
        <v>758812.78031353594</v>
      </c>
      <c r="G276" s="319">
        <f>SUM(G274:G275)</f>
        <v>424049.57247072476</v>
      </c>
      <c r="H276" s="319">
        <f>SUM(H274:H275)</f>
        <v>13259.249525862324</v>
      </c>
      <c r="I276" s="319">
        <f>SUM(I274:I275)</f>
        <v>5878.6106686552075</v>
      </c>
      <c r="J276" s="319">
        <f>SUM(E276:I276)</f>
        <v>1217456.1790033805</v>
      </c>
    </row>
    <row r="277" spans="1:12" x14ac:dyDescent="0.4">
      <c r="A277" s="76"/>
    </row>
    <row r="278" spans="1:12" x14ac:dyDescent="0.4">
      <c r="A278" s="76"/>
      <c r="B278" s="211" t="s">
        <v>199</v>
      </c>
    </row>
    <row r="279" spans="1:12" x14ac:dyDescent="0.4">
      <c r="A279" s="76"/>
      <c r="B279" s="219" t="s">
        <v>91</v>
      </c>
      <c r="E279" s="28">
        <f t="shared" ref="E279:J279" si="12">+E274/E276</f>
        <v>0.34261961428871679</v>
      </c>
      <c r="F279" s="28">
        <f t="shared" si="12"/>
        <v>0.40760878948531509</v>
      </c>
      <c r="G279" s="28">
        <f t="shared" si="12"/>
        <v>0.37233311795292134</v>
      </c>
      <c r="H279" s="28">
        <f t="shared" si="12"/>
        <v>0.35953418624438688</v>
      </c>
      <c r="I279" s="28">
        <f t="shared" si="12"/>
        <v>0.34555035180654337</v>
      </c>
      <c r="J279" s="28">
        <f t="shared" si="12"/>
        <v>0.39367370519861034</v>
      </c>
    </row>
    <row r="280" spans="1:12" x14ac:dyDescent="0.4">
      <c r="A280" s="76"/>
      <c r="B280" s="219" t="s">
        <v>88</v>
      </c>
      <c r="E280" s="28">
        <f t="shared" ref="E280:J280" si="13">+E275/E276</f>
        <v>0.65738038571128321</v>
      </c>
      <c r="F280" s="28">
        <f t="shared" si="13"/>
        <v>0.59239121051468491</v>
      </c>
      <c r="G280" s="28">
        <f t="shared" si="13"/>
        <v>0.62766688204707866</v>
      </c>
      <c r="H280" s="28">
        <f t="shared" si="13"/>
        <v>0.64046581375561307</v>
      </c>
      <c r="I280" s="28">
        <f t="shared" si="13"/>
        <v>0.65444964819345663</v>
      </c>
      <c r="J280" s="28">
        <f t="shared" si="13"/>
        <v>0.60632629480138966</v>
      </c>
    </row>
    <row r="281" spans="1:12" x14ac:dyDescent="0.4">
      <c r="A281" s="76"/>
      <c r="B281" s="219"/>
      <c r="E281" s="28"/>
      <c r="F281" s="28"/>
      <c r="G281" s="28"/>
      <c r="H281" s="28"/>
      <c r="I281" s="28"/>
      <c r="J281" s="28"/>
    </row>
    <row r="282" spans="1:12" x14ac:dyDescent="0.4">
      <c r="A282" s="76"/>
      <c r="B282" s="219"/>
      <c r="E282" s="28"/>
      <c r="F282" s="28"/>
      <c r="G282" s="28"/>
      <c r="H282" s="28"/>
      <c r="I282" s="28"/>
      <c r="J282" s="28"/>
    </row>
    <row r="283" spans="1:12" ht="15.35" x14ac:dyDescent="0.5">
      <c r="A283" s="76"/>
      <c r="B283" s="382" t="str">
        <f>$B$1</f>
        <v xml:space="preserve">Jersey Central Power &amp; Light </v>
      </c>
      <c r="C283" s="382"/>
      <c r="D283" s="382"/>
      <c r="E283" s="382"/>
      <c r="F283" s="382"/>
      <c r="G283" s="382"/>
      <c r="H283" s="382"/>
      <c r="I283" s="382"/>
      <c r="J283" s="382"/>
      <c r="K283" s="382"/>
      <c r="L283" s="382"/>
    </row>
    <row r="284" spans="1:12" ht="15.35" x14ac:dyDescent="0.5">
      <c r="A284" s="76"/>
      <c r="B284" s="382" t="str">
        <f>$B$2</f>
        <v>Attachment 2</v>
      </c>
      <c r="C284" s="382"/>
      <c r="D284" s="382"/>
      <c r="E284" s="382"/>
      <c r="F284" s="382"/>
      <c r="G284" s="382"/>
      <c r="H284" s="382"/>
      <c r="I284" s="382"/>
      <c r="J284" s="382"/>
      <c r="K284" s="382"/>
      <c r="L284" s="382"/>
    </row>
    <row r="285" spans="1:12" x14ac:dyDescent="0.4">
      <c r="A285" s="77" t="s">
        <v>200</v>
      </c>
      <c r="B285" s="78" t="s">
        <v>201</v>
      </c>
      <c r="E285" s="28"/>
      <c r="F285" s="28"/>
      <c r="G285" s="28"/>
      <c r="H285" s="28"/>
      <c r="I285" s="28"/>
      <c r="J285" s="28"/>
    </row>
    <row r="286" spans="1:12" x14ac:dyDescent="0.4">
      <c r="A286" s="76"/>
      <c r="B286" s="78"/>
      <c r="E286" s="28"/>
      <c r="F286" s="28"/>
      <c r="G286" s="28"/>
      <c r="H286" s="28"/>
      <c r="I286" s="28"/>
      <c r="J286" s="28"/>
    </row>
    <row r="287" spans="1:12" x14ac:dyDescent="0.4">
      <c r="A287" s="76"/>
      <c r="E287" s="80" t="str">
        <f>+E$13</f>
        <v>RT{1}</v>
      </c>
      <c r="F287" s="80" t="str">
        <f>+F$13</f>
        <v>RS{2}</v>
      </c>
      <c r="G287" s="80" t="str">
        <f>+G$13</f>
        <v>GS{3}</v>
      </c>
      <c r="H287" s="102" t="str">
        <f>+H$58</f>
        <v>GST {4}</v>
      </c>
      <c r="I287" s="80" t="str">
        <f>+I$13</f>
        <v>OL/SL</v>
      </c>
      <c r="J287" s="80" t="s">
        <v>44</v>
      </c>
    </row>
    <row r="288" spans="1:12" x14ac:dyDescent="0.4">
      <c r="A288" s="76"/>
      <c r="B288" s="211" t="s">
        <v>197</v>
      </c>
      <c r="E288" s="28"/>
      <c r="F288" s="28"/>
      <c r="G288" s="28"/>
      <c r="H288" s="28"/>
      <c r="I288" s="28"/>
      <c r="J288" s="28"/>
    </row>
    <row r="289" spans="1:10" x14ac:dyDescent="0.4">
      <c r="A289" s="76"/>
      <c r="B289" s="235" t="s">
        <v>111</v>
      </c>
      <c r="E289" s="21">
        <f>E263-E243*E$198/1000000</f>
        <v>175.43115542374835</v>
      </c>
      <c r="F289" s="28"/>
      <c r="G289" s="21">
        <f>G263-G243*G$198/1000000</f>
        <v>141650.88033462822</v>
      </c>
      <c r="H289" s="21"/>
      <c r="I289" s="21">
        <f>I263-I243*I$198/1000000</f>
        <v>2031.355984687506</v>
      </c>
      <c r="J289" s="28"/>
    </row>
    <row r="290" spans="1:10" x14ac:dyDescent="0.4">
      <c r="A290" s="76"/>
      <c r="B290" s="236" t="s">
        <v>133</v>
      </c>
      <c r="E290" s="21">
        <f>E264-E244*E$198/1000000</f>
        <v>2713.6246600490608</v>
      </c>
      <c r="F290" s="28"/>
      <c r="G290" s="28"/>
      <c r="H290" s="21">
        <f>H264-H244*H$198/1000000</f>
        <v>2477.148234229383</v>
      </c>
      <c r="I290" s="28"/>
      <c r="J290" s="28"/>
    </row>
    <row r="291" spans="1:10" x14ac:dyDescent="0.4">
      <c r="A291" s="76"/>
      <c r="B291" s="236" t="s">
        <v>134</v>
      </c>
      <c r="E291" s="21">
        <f>E265-E245*E$198/1000000</f>
        <v>1862.2673743359405</v>
      </c>
      <c r="F291" s="28"/>
      <c r="G291" s="28"/>
      <c r="H291" s="21">
        <f>H265-H245*H$198/1000000</f>
        <v>1749.9758242628</v>
      </c>
      <c r="I291" s="28"/>
      <c r="J291" s="28"/>
    </row>
    <row r="292" spans="1:10" x14ac:dyDescent="0.4">
      <c r="A292" s="76"/>
      <c r="B292" s="212" t="s">
        <v>165</v>
      </c>
      <c r="E292" s="28"/>
      <c r="F292" s="21">
        <f>F266-F246*F$198/1000000</f>
        <v>139543.75245880408</v>
      </c>
      <c r="G292" s="28"/>
      <c r="H292" s="28"/>
      <c r="I292" s="28"/>
      <c r="J292" s="28"/>
    </row>
    <row r="293" spans="1:10" x14ac:dyDescent="0.4">
      <c r="A293" s="76"/>
      <c r="B293" s="212" t="s">
        <v>166</v>
      </c>
      <c r="E293" s="28"/>
      <c r="F293" s="21">
        <f>F267-F247*F$198/1000000</f>
        <v>138774.58291678267</v>
      </c>
      <c r="G293" s="28"/>
      <c r="H293" s="28"/>
      <c r="I293" s="28"/>
      <c r="J293" s="28"/>
    </row>
    <row r="294" spans="1:10" x14ac:dyDescent="0.4">
      <c r="A294" s="76"/>
      <c r="E294" s="28"/>
      <c r="F294" s="28"/>
      <c r="G294" s="28"/>
      <c r="H294" s="28"/>
      <c r="I294" s="28"/>
      <c r="J294" s="28"/>
    </row>
    <row r="295" spans="1:10" x14ac:dyDescent="0.4">
      <c r="A295" s="76"/>
      <c r="B295" s="235" t="s">
        <v>115</v>
      </c>
      <c r="E295" s="21">
        <f>E269-E249*E$198/1000000</f>
        <v>394.11303012019499</v>
      </c>
      <c r="F295" s="21">
        <f>F269-F249*F$198/1000000</f>
        <v>405965.47983994923</v>
      </c>
      <c r="G295" s="21">
        <f>G269-G249*G$198/1000000</f>
        <v>237605.33522009655</v>
      </c>
      <c r="H295" s="28"/>
      <c r="I295" s="21">
        <f>I269-I249*I$198/1000000</f>
        <v>3847.2546839677016</v>
      </c>
      <c r="J295" s="28"/>
    </row>
    <row r="296" spans="1:10" x14ac:dyDescent="0.4">
      <c r="A296" s="76"/>
      <c r="B296" s="236" t="s">
        <v>133</v>
      </c>
      <c r="E296" s="21">
        <f>E270-E250*E$198/1000000</f>
        <v>4494.5985729305767</v>
      </c>
      <c r="F296" s="28"/>
      <c r="G296" s="28"/>
      <c r="H296" s="21">
        <f>H270-H250*H$198/1000000</f>
        <v>4052.0861984243857</v>
      </c>
      <c r="I296" s="28"/>
      <c r="J296" s="28"/>
    </row>
    <row r="297" spans="1:10" x14ac:dyDescent="0.4">
      <c r="A297" s="76"/>
      <c r="B297" s="236" t="s">
        <v>134</v>
      </c>
      <c r="E297" s="21">
        <f>E271-E251*E$198/1000000</f>
        <v>4162.9869417427735</v>
      </c>
      <c r="F297" s="28"/>
      <c r="G297" s="28"/>
      <c r="H297" s="21">
        <f>H271-H251*H$198/1000000</f>
        <v>3406.0808029457539</v>
      </c>
      <c r="I297" s="28"/>
      <c r="J297" s="28"/>
    </row>
    <row r="298" spans="1:10" x14ac:dyDescent="0.4">
      <c r="A298" s="76"/>
      <c r="B298" s="219"/>
      <c r="E298" s="28"/>
      <c r="F298" s="28"/>
      <c r="G298" s="28"/>
      <c r="H298" s="28"/>
      <c r="I298" s="28"/>
      <c r="J298" s="28"/>
    </row>
    <row r="299" spans="1:10" x14ac:dyDescent="0.4">
      <c r="A299" s="76"/>
      <c r="B299" s="211" t="s">
        <v>198</v>
      </c>
      <c r="E299" s="28"/>
      <c r="F299" s="28"/>
      <c r="G299" s="28"/>
      <c r="H299" s="28"/>
      <c r="I299" s="28"/>
      <c r="J299" s="28"/>
    </row>
    <row r="300" spans="1:10" x14ac:dyDescent="0.4">
      <c r="A300" s="76"/>
      <c r="B300" s="219" t="s">
        <v>91</v>
      </c>
      <c r="E300" s="319">
        <f>SUM(E289:E293)</f>
        <v>4751.3231898087497</v>
      </c>
      <c r="F300" s="319">
        <f>SUM(F289:F293)</f>
        <v>278318.33537558676</v>
      </c>
      <c r="G300" s="319">
        <f>SUM(G289:G293)</f>
        <v>141650.88033462822</v>
      </c>
      <c r="H300" s="319">
        <f>SUM(H289:H293)</f>
        <v>4227.1240584921834</v>
      </c>
      <c r="I300" s="319">
        <f>SUM(I289:I293)</f>
        <v>2031.355984687506</v>
      </c>
      <c r="J300" s="360">
        <f>SUM(E300:I300)</f>
        <v>430979.01894320344</v>
      </c>
    </row>
    <row r="301" spans="1:10" x14ac:dyDescent="0.4">
      <c r="A301" s="76"/>
      <c r="B301" s="219" t="s">
        <v>88</v>
      </c>
      <c r="E301" s="319">
        <f>SUM(E295:E297)</f>
        <v>9051.698544793544</v>
      </c>
      <c r="F301" s="319">
        <f>SUM(F295:F297)</f>
        <v>405965.47983994923</v>
      </c>
      <c r="G301" s="319">
        <f>SUM(G295:G297)</f>
        <v>237605.33522009655</v>
      </c>
      <c r="H301" s="319">
        <f>SUM(H295:H297)</f>
        <v>7458.1670013701396</v>
      </c>
      <c r="I301" s="319">
        <f>SUM(I295:I297)</f>
        <v>3847.2546839677016</v>
      </c>
      <c r="J301" s="360">
        <f>SUM(E301:I301)</f>
        <v>663927.93529017712</v>
      </c>
    </row>
    <row r="302" spans="1:10" x14ac:dyDescent="0.4">
      <c r="A302" s="76"/>
      <c r="B302" s="219" t="s">
        <v>44</v>
      </c>
      <c r="E302" s="319">
        <f>SUM(E300:E301)</f>
        <v>13803.021734602295</v>
      </c>
      <c r="F302" s="319">
        <f>SUM(F300:F301)</f>
        <v>684283.81521553593</v>
      </c>
      <c r="G302" s="319">
        <f>SUM(G300:G301)</f>
        <v>379256.2155547248</v>
      </c>
      <c r="H302" s="319">
        <f>SUM(H300:H301)</f>
        <v>11685.291059862324</v>
      </c>
      <c r="I302" s="319">
        <f>SUM(I300:I301)</f>
        <v>5878.6106686552075</v>
      </c>
      <c r="J302" s="319">
        <f>SUM(E302:I302)</f>
        <v>1094906.9542333807</v>
      </c>
    </row>
    <row r="303" spans="1:10" x14ac:dyDescent="0.4">
      <c r="A303" s="76"/>
      <c r="E303" s="28"/>
      <c r="F303" s="28"/>
      <c r="G303" s="28"/>
      <c r="H303" s="28"/>
      <c r="I303" s="28"/>
      <c r="J303" s="28"/>
    </row>
    <row r="304" spans="1:10" x14ac:dyDescent="0.4">
      <c r="A304" s="76"/>
      <c r="B304" s="211" t="s">
        <v>199</v>
      </c>
      <c r="E304" s="28"/>
      <c r="F304" s="28"/>
      <c r="G304" s="28"/>
      <c r="H304" s="28"/>
      <c r="I304" s="28"/>
      <c r="J304" s="28"/>
    </row>
    <row r="305" spans="1:10" x14ac:dyDescent="0.4">
      <c r="A305" s="76"/>
      <c r="B305" s="219" t="s">
        <v>91</v>
      </c>
      <c r="E305" s="28">
        <f t="shared" ref="E305:J305" si="14">+E300/E302</f>
        <v>0.34422340855247874</v>
      </c>
      <c r="F305" s="28">
        <f t="shared" si="14"/>
        <v>0.40672938506944223</v>
      </c>
      <c r="G305" s="28">
        <f t="shared" si="14"/>
        <v>0.37349652958868568</v>
      </c>
      <c r="H305" s="28">
        <f t="shared" si="14"/>
        <v>0.36174743417490768</v>
      </c>
      <c r="I305" s="28">
        <f t="shared" si="14"/>
        <v>0.34555035180654337</v>
      </c>
      <c r="J305" s="28">
        <f t="shared" si="14"/>
        <v>0.39362159248039608</v>
      </c>
    </row>
    <row r="306" spans="1:10" x14ac:dyDescent="0.4">
      <c r="A306" s="76"/>
      <c r="B306" s="219" t="s">
        <v>88</v>
      </c>
      <c r="E306" s="28">
        <f t="shared" ref="E306:J306" si="15">+E301/E302</f>
        <v>0.65577659144752121</v>
      </c>
      <c r="F306" s="28">
        <f t="shared" si="15"/>
        <v>0.59327061493055788</v>
      </c>
      <c r="G306" s="28">
        <f t="shared" si="15"/>
        <v>0.62650347041131427</v>
      </c>
      <c r="H306" s="28">
        <f t="shared" si="15"/>
        <v>0.63825256582509227</v>
      </c>
      <c r="I306" s="28">
        <f t="shared" si="15"/>
        <v>0.65444964819345663</v>
      </c>
      <c r="J306" s="28">
        <f t="shared" si="15"/>
        <v>0.60637840751960381</v>
      </c>
    </row>
    <row r="307" spans="1:10" x14ac:dyDescent="0.4">
      <c r="A307" s="76"/>
      <c r="B307" s="219"/>
      <c r="E307" s="28"/>
      <c r="F307" s="28"/>
      <c r="G307" s="28"/>
      <c r="H307" s="28"/>
      <c r="I307" s="28"/>
      <c r="J307" s="28"/>
    </row>
    <row r="308" spans="1:10" x14ac:dyDescent="0.4">
      <c r="A308" s="77" t="s">
        <v>202</v>
      </c>
      <c r="B308" s="78" t="s">
        <v>203</v>
      </c>
      <c r="G308" s="319"/>
    </row>
    <row r="309" spans="1:10" x14ac:dyDescent="0.4">
      <c r="A309" s="76"/>
      <c r="B309" s="78" t="s">
        <v>204</v>
      </c>
      <c r="C309" s="44"/>
      <c r="D309" s="44"/>
    </row>
    <row r="310" spans="1:10" x14ac:dyDescent="0.4">
      <c r="A310" s="76"/>
      <c r="B310" s="212" t="s">
        <v>205</v>
      </c>
      <c r="C310" s="21">
        <f>J276</f>
        <v>1217456.1790033805</v>
      </c>
    </row>
    <row r="311" spans="1:10" x14ac:dyDescent="0.4">
      <c r="A311" s="76"/>
      <c r="B311" s="78"/>
      <c r="C311" s="21"/>
    </row>
    <row r="312" spans="1:10" x14ac:dyDescent="0.4">
      <c r="A312" s="76"/>
      <c r="B312" s="78" t="s">
        <v>206</v>
      </c>
      <c r="C312" s="21"/>
      <c r="E312" s="80" t="str">
        <f>+E$13</f>
        <v>RT{1}</v>
      </c>
      <c r="F312" s="80" t="str">
        <f>+F$13</f>
        <v>RS{2}</v>
      </c>
      <c r="G312" s="80" t="str">
        <f>+G$13</f>
        <v>GS{3}</v>
      </c>
      <c r="H312" s="102" t="str">
        <f>+H$58</f>
        <v>GST {4}</v>
      </c>
      <c r="I312" s="80" t="str">
        <f>+I$13</f>
        <v>OL/SL</v>
      </c>
      <c r="J312" s="80" t="s">
        <v>44</v>
      </c>
    </row>
    <row r="313" spans="1:10" x14ac:dyDescent="0.4">
      <c r="A313" s="76"/>
      <c r="B313" s="211" t="s">
        <v>91</v>
      </c>
      <c r="C313" s="21"/>
      <c r="E313" s="290">
        <f>ROUND(SUM(E65:E68)*E95,0)</f>
        <v>74070</v>
      </c>
      <c r="F313" s="290">
        <f>ROUND(SUM(F65:F68)*F95,0)</f>
        <v>4216714</v>
      </c>
      <c r="G313" s="290">
        <f>ROUND(SUM(G65:G68)*G95,0)</f>
        <v>2209977</v>
      </c>
      <c r="H313" s="290">
        <f>ROUND(SUM(H65:H68)*H95,0)</f>
        <v>73503</v>
      </c>
      <c r="I313" s="290">
        <f>ROUND(SUM(I65:I68)*I95,0)</f>
        <v>42895</v>
      </c>
      <c r="J313" s="290">
        <f>SUM(E313:I313)</f>
        <v>6617159</v>
      </c>
    </row>
    <row r="314" spans="1:10" x14ac:dyDescent="0.4">
      <c r="A314" s="76"/>
      <c r="B314" s="247" t="s">
        <v>88</v>
      </c>
      <c r="C314" s="21"/>
      <c r="E314" s="290">
        <f>ROUND((E72-SUM(E65:E68))*E95,0)</f>
        <v>150911</v>
      </c>
      <c r="F314" s="290">
        <f>ROUND((F72-SUM(F65:F68))*F95,0)</f>
        <v>5927348</v>
      </c>
      <c r="G314" s="290">
        <f>ROUND((G72-SUM(G65:G68))*G95,0)</f>
        <v>3886801</v>
      </c>
      <c r="H314" s="290">
        <f>ROUND((H72-SUM(H65:H68))*H95,0)</f>
        <v>140727</v>
      </c>
      <c r="I314" s="290">
        <f>ROUND((I72-SUM(I65:I68))*I95,0)</f>
        <v>85786</v>
      </c>
      <c r="J314" s="290">
        <f>SUM(E314:I314)</f>
        <v>10191573</v>
      </c>
    </row>
    <row r="315" spans="1:10" x14ac:dyDescent="0.4">
      <c r="A315" s="76"/>
      <c r="C315" s="212"/>
      <c r="D315" s="44"/>
      <c r="J315" s="226"/>
    </row>
    <row r="316" spans="1:10" x14ac:dyDescent="0.4">
      <c r="A316" s="76"/>
      <c r="B316" s="78" t="s">
        <v>428</v>
      </c>
      <c r="C316" s="212"/>
      <c r="D316" s="371" t="s">
        <v>207</v>
      </c>
      <c r="E316" s="95" t="s">
        <v>208</v>
      </c>
    </row>
    <row r="317" spans="1:10" x14ac:dyDescent="0.4">
      <c r="A317" s="76"/>
      <c r="B317" s="108" t="s">
        <v>252</v>
      </c>
      <c r="D317" s="96" t="s">
        <v>210</v>
      </c>
      <c r="E317" s="372">
        <v>72.430000000000007</v>
      </c>
      <c r="F317" s="96" t="s">
        <v>211</v>
      </c>
      <c r="G317" s="96" t="s">
        <v>212</v>
      </c>
    </row>
    <row r="318" spans="1:10" x14ac:dyDescent="0.4">
      <c r="A318" s="76"/>
      <c r="B318" s="211" t="s">
        <v>213</v>
      </c>
      <c r="C318" s="212"/>
      <c r="D318" s="373">
        <v>1</v>
      </c>
      <c r="E318" s="372">
        <f>ROUND($E$317*D318,3)</f>
        <v>72.430000000000007</v>
      </c>
      <c r="F318" s="226">
        <f>J313</f>
        <v>6617159</v>
      </c>
      <c r="G318" s="21">
        <f>ROUND(F318*E318/1000,0)</f>
        <v>479281</v>
      </c>
    </row>
    <row r="319" spans="1:10" ht="14.7" x14ac:dyDescent="0.7">
      <c r="A319" s="76"/>
      <c r="B319" s="211" t="s">
        <v>214</v>
      </c>
      <c r="C319" s="212"/>
      <c r="D319" s="373">
        <v>1</v>
      </c>
      <c r="E319" s="372">
        <f>ROUND($E$317*D319,3)</f>
        <v>72.430000000000007</v>
      </c>
      <c r="F319" s="226">
        <f>J314</f>
        <v>10191573</v>
      </c>
      <c r="G319" s="14">
        <f>ROUND(F319*E319/1000,0)</f>
        <v>738176</v>
      </c>
    </row>
    <row r="320" spans="1:10" x14ac:dyDescent="0.4">
      <c r="A320" s="76"/>
      <c r="B320" s="211" t="s">
        <v>215</v>
      </c>
      <c r="C320" s="212"/>
      <c r="D320" s="44"/>
      <c r="G320" s="319">
        <f>SUM(G318:G319)</f>
        <v>1217457</v>
      </c>
    </row>
    <row r="321" spans="1:15" x14ac:dyDescent="0.4">
      <c r="A321" s="76"/>
      <c r="C321" s="212"/>
      <c r="D321" s="44"/>
    </row>
    <row r="322" spans="1:15" x14ac:dyDescent="0.4">
      <c r="A322" s="77" t="s">
        <v>216</v>
      </c>
      <c r="B322" s="78" t="s">
        <v>217</v>
      </c>
      <c r="C322" s="212"/>
      <c r="D322" s="44"/>
      <c r="F322" s="219" t="s">
        <v>207</v>
      </c>
      <c r="G322" s="219" t="s">
        <v>218</v>
      </c>
      <c r="H322" s="219"/>
    </row>
    <row r="323" spans="1:15" x14ac:dyDescent="0.4">
      <c r="A323" s="76"/>
      <c r="F323" s="219" t="s">
        <v>219</v>
      </c>
      <c r="G323" s="219" t="s">
        <v>210</v>
      </c>
      <c r="H323" s="219" t="s">
        <v>218</v>
      </c>
    </row>
    <row r="324" spans="1:15" x14ac:dyDescent="0.4">
      <c r="A324" s="76"/>
      <c r="B324" s="211" t="s">
        <v>220</v>
      </c>
      <c r="F324" s="96" t="s">
        <v>212</v>
      </c>
      <c r="G324" s="96" t="s">
        <v>221</v>
      </c>
      <c r="H324" s="96" t="s">
        <v>210</v>
      </c>
      <c r="I324" s="95"/>
    </row>
    <row r="325" spans="1:15" x14ac:dyDescent="0.4">
      <c r="A325" s="76"/>
      <c r="B325" s="219" t="s">
        <v>91</v>
      </c>
      <c r="C325" s="32">
        <f>J274*1000/J313</f>
        <v>72.42994839706941</v>
      </c>
      <c r="D325" s="211" t="s">
        <v>222</v>
      </c>
      <c r="F325" s="221">
        <f>E318</f>
        <v>72.430000000000007</v>
      </c>
      <c r="G325" s="373">
        <f>E318/C325</f>
        <v>1.0000007124529526</v>
      </c>
      <c r="H325" s="374">
        <v>1.338768</v>
      </c>
    </row>
    <row r="326" spans="1:15" x14ac:dyDescent="0.4">
      <c r="A326" s="76"/>
      <c r="B326" s="219" t="s">
        <v>88</v>
      </c>
      <c r="C326" s="32">
        <f>J275*1000/J314</f>
        <v>72.430006054823636</v>
      </c>
      <c r="D326" s="211" t="s">
        <v>222</v>
      </c>
      <c r="F326" s="221">
        <f>E319</f>
        <v>72.430000000000007</v>
      </c>
      <c r="G326" s="373">
        <f>E319/C326</f>
        <v>0.99999991640448538</v>
      </c>
      <c r="H326" s="374">
        <v>0.98219199999999995</v>
      </c>
    </row>
    <row r="327" spans="1:15" x14ac:dyDescent="0.4">
      <c r="A327" s="76"/>
      <c r="B327" s="219"/>
      <c r="C327" s="32"/>
      <c r="H327" s="80"/>
      <c r="I327" s="33"/>
      <c r="M327" s="78"/>
      <c r="N327" s="33"/>
      <c r="O327" s="33"/>
    </row>
    <row r="328" spans="1:15" x14ac:dyDescent="0.4">
      <c r="A328" s="78" t="s">
        <v>223</v>
      </c>
      <c r="E328" s="20"/>
      <c r="F328" s="106"/>
    </row>
    <row r="329" spans="1:15" x14ac:dyDescent="0.4">
      <c r="A329" s="76"/>
      <c r="B329" s="212" t="s">
        <v>224</v>
      </c>
      <c r="C329" s="362">
        <f>E177</f>
        <v>171.99199999999999</v>
      </c>
      <c r="D329" s="349" t="s">
        <v>225</v>
      </c>
      <c r="E329" s="20"/>
      <c r="F329" s="106"/>
    </row>
    <row r="330" spans="1:15" x14ac:dyDescent="0.4">
      <c r="A330" s="76"/>
      <c r="B330" s="212"/>
      <c r="C330" s="362">
        <f>E178</f>
        <v>171.99199999999999</v>
      </c>
      <c r="D330" s="349" t="s">
        <v>226</v>
      </c>
      <c r="E330" s="20"/>
      <c r="F330" s="106"/>
    </row>
    <row r="331" spans="1:15" x14ac:dyDescent="0.4">
      <c r="A331" s="76"/>
      <c r="B331" s="212" t="s">
        <v>227</v>
      </c>
      <c r="C331" s="319" t="s">
        <v>253</v>
      </c>
      <c r="D331" s="349"/>
      <c r="E331" s="20"/>
      <c r="F331" s="106"/>
    </row>
    <row r="332" spans="1:15" x14ac:dyDescent="0.4">
      <c r="A332" s="76"/>
      <c r="B332" s="212" t="s">
        <v>229</v>
      </c>
      <c r="C332" s="29">
        <f>+H171</f>
        <v>4</v>
      </c>
      <c r="D332" s="211" t="s">
        <v>230</v>
      </c>
      <c r="E332" s="20"/>
      <c r="F332" s="106"/>
    </row>
    <row r="333" spans="1:15" x14ac:dyDescent="0.4">
      <c r="A333" s="76"/>
      <c r="B333" s="212"/>
      <c r="C333" s="29">
        <f>+H172</f>
        <v>8</v>
      </c>
      <c r="D333" s="211" t="s">
        <v>231</v>
      </c>
      <c r="E333" s="20"/>
      <c r="F333" s="106"/>
    </row>
    <row r="334" spans="1:15" x14ac:dyDescent="0.4">
      <c r="A334" s="76"/>
      <c r="B334" s="212" t="s">
        <v>232</v>
      </c>
      <c r="C334" s="362">
        <f>+E192</f>
        <v>18.387</v>
      </c>
      <c r="D334" s="211" t="s">
        <v>233</v>
      </c>
      <c r="E334" s="20"/>
      <c r="F334" s="106"/>
    </row>
    <row r="335" spans="1:15" x14ac:dyDescent="0.4">
      <c r="A335" s="76"/>
      <c r="B335" s="212" t="s">
        <v>234</v>
      </c>
      <c r="C335" s="211" t="s">
        <v>235</v>
      </c>
      <c r="E335" s="20"/>
      <c r="F335" s="106"/>
    </row>
    <row r="336" spans="1:15" x14ac:dyDescent="0.4">
      <c r="A336" s="76"/>
      <c r="B336" s="212"/>
      <c r="C336" s="211" t="s">
        <v>429</v>
      </c>
      <c r="E336" s="20"/>
      <c r="F336" s="106"/>
    </row>
    <row r="337" spans="1:12" x14ac:dyDescent="0.4">
      <c r="A337" s="76"/>
      <c r="B337" s="212" t="s">
        <v>236</v>
      </c>
      <c r="C337" s="247" t="str">
        <f>'BGS PTY19 Cost Alloc'!C$308</f>
        <v xml:space="preserve"> forecasted 2020 energy use by class based upon PJM on/off % from 2017 through 2019 class load profiles</v>
      </c>
      <c r="E337" s="20"/>
      <c r="F337" s="106"/>
    </row>
    <row r="338" spans="1:12" x14ac:dyDescent="0.4">
      <c r="A338" s="76"/>
      <c r="B338" s="212"/>
      <c r="C338" s="247" t="str">
        <f>'BGS PTY19 Cost Alloc'!C$309</f>
        <v xml:space="preserve">   JCP&amp;L billing on/off % from 2020 forecasted billing determinants</v>
      </c>
      <c r="E338" s="20"/>
      <c r="F338" s="106"/>
    </row>
    <row r="339" spans="1:12" x14ac:dyDescent="0.4">
      <c r="A339" s="76"/>
      <c r="B339" s="212" t="s">
        <v>237</v>
      </c>
      <c r="C339" s="247" t="str">
        <f>'BGS PTY19 Cost Alloc'!C$310</f>
        <v xml:space="preserve"> class totals for 2020 excluding accounts required to take service under BGS-CIEP as of June 1, 2021</v>
      </c>
      <c r="E339" s="20"/>
      <c r="F339" s="106"/>
    </row>
    <row r="340" spans="1:12" x14ac:dyDescent="0.4">
      <c r="A340" s="76"/>
      <c r="B340" s="212" t="s">
        <v>238</v>
      </c>
      <c r="C340" s="211" t="s">
        <v>239</v>
      </c>
      <c r="E340" s="20"/>
      <c r="F340" s="106"/>
    </row>
    <row r="341" spans="1:12" x14ac:dyDescent="0.4">
      <c r="A341" s="76"/>
      <c r="B341" s="212" t="s">
        <v>240</v>
      </c>
      <c r="C341" s="211" t="s">
        <v>241</v>
      </c>
      <c r="E341" s="242"/>
      <c r="F341" s="106"/>
    </row>
    <row r="342" spans="1:12" x14ac:dyDescent="0.4">
      <c r="C342" s="211" t="s">
        <v>242</v>
      </c>
      <c r="E342" s="20"/>
      <c r="F342" s="106"/>
    </row>
    <row r="343" spans="1:12" x14ac:dyDescent="0.4">
      <c r="B343" s="212" t="s">
        <v>243</v>
      </c>
      <c r="C343" s="363" t="s">
        <v>244</v>
      </c>
      <c r="E343" s="20"/>
      <c r="F343" s="106"/>
    </row>
    <row r="344" spans="1:12" x14ac:dyDescent="0.4">
      <c r="A344" s="76"/>
      <c r="C344" s="363" t="s">
        <v>245</v>
      </c>
      <c r="E344" s="245"/>
    </row>
    <row r="345" spans="1:12" x14ac:dyDescent="0.4">
      <c r="C345" s="363" t="s">
        <v>246</v>
      </c>
    </row>
    <row r="346" spans="1:12" x14ac:dyDescent="0.4">
      <c r="A346" s="76"/>
      <c r="B346" s="212" t="s">
        <v>247</v>
      </c>
      <c r="C346" s="364" t="s">
        <v>248</v>
      </c>
      <c r="E346" s="348"/>
      <c r="F346" s="226"/>
    </row>
    <row r="347" spans="1:12" x14ac:dyDescent="0.4">
      <c r="A347" s="76"/>
      <c r="B347" s="211" t="str">
        <f>'BGS PTY19 Cost Alloc'!B319</f>
        <v xml:space="preserve"> </v>
      </c>
      <c r="C347" s="245"/>
      <c r="E347" s="348"/>
      <c r="F347" s="348"/>
    </row>
    <row r="352" spans="1:12" x14ac:dyDescent="0.4">
      <c r="L352" s="21"/>
    </row>
    <row r="361" spans="12:12" x14ac:dyDescent="0.4">
      <c r="L361" s="21"/>
    </row>
    <row r="362" spans="12:12" x14ac:dyDescent="0.4">
      <c r="L362" s="21"/>
    </row>
    <row r="363" spans="12:12" x14ac:dyDescent="0.4">
      <c r="L363" s="21"/>
    </row>
    <row r="364" spans="12:12" x14ac:dyDescent="0.4">
      <c r="L364" s="25"/>
    </row>
    <row r="365" spans="12:12" x14ac:dyDescent="0.4">
      <c r="L365" s="25"/>
    </row>
    <row r="366" spans="12:12" x14ac:dyDescent="0.4">
      <c r="L366" s="25"/>
    </row>
  </sheetData>
  <mergeCells count="16">
    <mergeCell ref="B53:L53"/>
    <mergeCell ref="B1:L1"/>
    <mergeCell ref="B2:L2"/>
    <mergeCell ref="B3:L3"/>
    <mergeCell ref="B5:L5"/>
    <mergeCell ref="B52:L52"/>
    <mergeCell ref="B236:L236"/>
    <mergeCell ref="B237:L237"/>
    <mergeCell ref="B283:L283"/>
    <mergeCell ref="B284:L284"/>
    <mergeCell ref="B103:L103"/>
    <mergeCell ref="B104:L104"/>
    <mergeCell ref="B143:L143"/>
    <mergeCell ref="B144:L144"/>
    <mergeCell ref="B206:L206"/>
    <mergeCell ref="B207:L207"/>
  </mergeCells>
  <pageMargins left="0.97" right="0.79" top="0.69" bottom="0.69" header="0.33" footer="0.5"/>
  <pageSetup scale="60" orientation="landscape" r:id="rId1"/>
  <headerFooter alignWithMargins="0">
    <oddFooter>&amp;L&amp;A&amp;CPage &amp;P of &amp;N&amp;R&amp;D</oddFooter>
  </headerFooter>
  <rowBreaks count="6" manualBreakCount="6">
    <brk id="51" max="11" man="1"/>
    <brk id="102" max="11" man="1"/>
    <brk id="142" max="11" man="1"/>
    <brk id="205" max="11" man="1"/>
    <brk id="235" max="11" man="1"/>
    <brk id="282" max="11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100F-6F5A-4638-85F7-E38128CBF785}">
  <dimension ref="A1:AY319"/>
  <sheetViews>
    <sheetView tabSelected="1" view="pageBreakPreview" zoomScale="60" zoomScaleNormal="70" workbookViewId="0"/>
  </sheetViews>
  <sheetFormatPr defaultColWidth="9.05859375" defaultRowHeight="12.7" x14ac:dyDescent="0.4"/>
  <cols>
    <col min="1" max="1" width="16.05859375" style="247" customWidth="1"/>
    <col min="2" max="2" width="27.87890625" style="211" customWidth="1"/>
    <col min="3" max="3" width="14.52734375" style="211" customWidth="1"/>
    <col min="4" max="4" width="12.52734375" style="211" customWidth="1"/>
    <col min="5" max="5" width="14.46875" style="211" customWidth="1"/>
    <col min="6" max="7" width="16.05859375" style="211" customWidth="1"/>
    <col min="8" max="8" width="15.05859375" style="211" customWidth="1"/>
    <col min="9" max="9" width="14.52734375" style="211" customWidth="1"/>
    <col min="10" max="10" width="15.46875" style="211" customWidth="1"/>
    <col min="11" max="11" width="4.87890625" style="211" customWidth="1"/>
    <col min="12" max="12" width="6.52734375" style="211" customWidth="1"/>
    <col min="13" max="13" width="15.87890625" style="211" hidden="1" customWidth="1"/>
    <col min="14" max="14" width="18" style="211" hidden="1" customWidth="1"/>
    <col min="15" max="16" width="12.46875" style="211" hidden="1" customWidth="1"/>
    <col min="17" max="17" width="15.52734375" style="211" hidden="1" customWidth="1"/>
    <col min="18" max="18" width="14.46875" style="211" hidden="1" customWidth="1"/>
    <col min="19" max="19" width="14.87890625" style="211" hidden="1" customWidth="1"/>
    <col min="20" max="20" width="15.05859375" style="211" hidden="1" customWidth="1"/>
    <col min="21" max="21" width="14.05859375" style="211" hidden="1" customWidth="1"/>
    <col min="22" max="22" width="12.46875" style="211" hidden="1" customWidth="1"/>
    <col min="23" max="23" width="13.46875" style="211" hidden="1" customWidth="1"/>
    <col min="24" max="24" width="15.46875" style="211" hidden="1" customWidth="1"/>
    <col min="25" max="25" width="12.87890625" style="211" hidden="1" customWidth="1"/>
    <col min="26" max="26" width="11.52734375" style="211" hidden="1" customWidth="1"/>
    <col min="27" max="27" width="12.52734375" style="211" hidden="1" customWidth="1"/>
    <col min="28" max="28" width="16.87890625" style="211" hidden="1" customWidth="1"/>
    <col min="29" max="29" width="15.64453125" style="211" hidden="1" customWidth="1"/>
    <col min="30" max="30" width="14.05859375" style="211" hidden="1" customWidth="1"/>
    <col min="31" max="31" width="16.46875" style="211" hidden="1" customWidth="1"/>
    <col min="32" max="32" width="9.05859375" style="211" hidden="1" customWidth="1"/>
    <col min="33" max="33" width="12" style="211" hidden="1" customWidth="1"/>
    <col min="34" max="34" width="13.46875" style="211" hidden="1" customWidth="1"/>
    <col min="35" max="35" width="9.05859375" style="211" hidden="1" customWidth="1"/>
    <col min="36" max="36" width="11" style="211" hidden="1" customWidth="1"/>
    <col min="37" max="37" width="14.52734375" style="211" hidden="1" customWidth="1"/>
    <col min="38" max="38" width="12.46875" style="211" customWidth="1"/>
    <col min="39" max="46" width="9.05859375" style="211" customWidth="1"/>
    <col min="47" max="48" width="10.87890625" style="211" customWidth="1"/>
    <col min="49" max="49" width="12.46875" style="211" customWidth="1"/>
    <col min="50" max="50" width="10.87890625" style="211" customWidth="1"/>
    <col min="51" max="51" width="11.46875" style="211" customWidth="1"/>
    <col min="52" max="16384" width="9.05859375" style="211"/>
  </cols>
  <sheetData>
    <row r="1" spans="1:26" ht="15.35" x14ac:dyDescent="0.5">
      <c r="B1" s="382" t="s">
        <v>0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spans="1:26" ht="15.35" x14ac:dyDescent="0.5">
      <c r="B2" s="382" t="s">
        <v>1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26" ht="15.35" x14ac:dyDescent="0.5">
      <c r="B3" s="382" t="s">
        <v>254</v>
      </c>
      <c r="C3" s="382"/>
      <c r="D3" s="382"/>
      <c r="E3" s="382"/>
      <c r="F3" s="382"/>
      <c r="G3" s="382"/>
      <c r="H3" s="382"/>
      <c r="I3" s="382"/>
      <c r="J3" s="382"/>
      <c r="K3" s="382"/>
      <c r="L3" s="382"/>
    </row>
    <row r="4" spans="1:26" ht="15.35" x14ac:dyDescent="0.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26" ht="15.35" x14ac:dyDescent="0.5">
      <c r="B5" s="382" t="s">
        <v>255</v>
      </c>
      <c r="C5" s="382"/>
      <c r="D5" s="382"/>
      <c r="E5" s="382"/>
      <c r="F5" s="382"/>
      <c r="G5" s="382"/>
      <c r="H5" s="382"/>
      <c r="I5" s="382"/>
      <c r="J5" s="382"/>
      <c r="K5" s="382"/>
      <c r="L5" s="382"/>
    </row>
    <row r="8" spans="1:26" ht="15.35" x14ac:dyDescent="0.5">
      <c r="B8" s="86" t="s">
        <v>4</v>
      </c>
    </row>
    <row r="9" spans="1:26" x14ac:dyDescent="0.4">
      <c r="A9" s="87"/>
      <c r="B9" s="78" t="s">
        <v>5</v>
      </c>
    </row>
    <row r="10" spans="1:26" x14ac:dyDescent="0.4">
      <c r="E10" s="79" t="s">
        <v>418</v>
      </c>
    </row>
    <row r="11" spans="1:26" x14ac:dyDescent="0.4">
      <c r="A11" s="77" t="s">
        <v>6</v>
      </c>
      <c r="B11" s="83" t="s">
        <v>7</v>
      </c>
      <c r="C11" s="248"/>
      <c r="E11" s="79" t="s">
        <v>8</v>
      </c>
      <c r="N11" s="83"/>
      <c r="Q11" s="83" t="s">
        <v>9</v>
      </c>
    </row>
    <row r="12" spans="1:26" ht="25.35" x14ac:dyDescent="0.4">
      <c r="A12" s="76"/>
      <c r="C12" s="88"/>
      <c r="D12" s="88"/>
      <c r="E12" s="88" t="s">
        <v>10</v>
      </c>
      <c r="F12" s="88" t="s">
        <v>10</v>
      </c>
      <c r="G12" s="88" t="s">
        <v>10</v>
      </c>
      <c r="H12" s="88" t="s">
        <v>10</v>
      </c>
      <c r="I12" s="88" t="s">
        <v>11</v>
      </c>
      <c r="L12" s="88"/>
      <c r="M12" s="88"/>
      <c r="N12" s="79"/>
      <c r="O12" s="88"/>
      <c r="P12" s="88"/>
      <c r="Q12" s="88" t="s">
        <v>10</v>
      </c>
      <c r="R12" s="88" t="s">
        <v>10</v>
      </c>
      <c r="S12" s="88" t="s">
        <v>10</v>
      </c>
      <c r="T12" s="88" t="s">
        <v>10</v>
      </c>
      <c r="U12" s="88" t="s">
        <v>11</v>
      </c>
      <c r="W12" s="88"/>
      <c r="X12" s="88"/>
      <c r="Y12" s="88"/>
      <c r="Z12" s="88"/>
    </row>
    <row r="13" spans="1:26" x14ac:dyDescent="0.4">
      <c r="A13" s="76"/>
      <c r="B13" s="89" t="s">
        <v>12</v>
      </c>
      <c r="C13" s="80"/>
      <c r="D13" s="80"/>
      <c r="E13" s="80" t="s">
        <v>13</v>
      </c>
      <c r="F13" s="80" t="s">
        <v>14</v>
      </c>
      <c r="G13" s="80" t="s">
        <v>15</v>
      </c>
      <c r="H13" s="80" t="s">
        <v>16</v>
      </c>
      <c r="I13" s="80" t="s">
        <v>17</v>
      </c>
      <c r="J13" s="80"/>
      <c r="K13" s="80"/>
      <c r="L13" s="80"/>
      <c r="M13" s="80"/>
      <c r="N13" s="90"/>
      <c r="O13" s="80"/>
      <c r="P13" s="80"/>
      <c r="Q13" s="80" t="str">
        <f>+E13</f>
        <v>RT{1}</v>
      </c>
      <c r="R13" s="80" t="str">
        <f>+F13</f>
        <v>RS{2}</v>
      </c>
      <c r="S13" s="80" t="str">
        <f>+G13</f>
        <v>GS{3}</v>
      </c>
      <c r="T13" s="80" t="str">
        <f>+H13</f>
        <v>GST</v>
      </c>
      <c r="U13" s="80" t="str">
        <f>+I13</f>
        <v>OL/SL</v>
      </c>
      <c r="V13" s="80"/>
      <c r="W13" s="80"/>
      <c r="X13" s="80"/>
      <c r="Y13" s="80"/>
      <c r="Z13" s="80"/>
    </row>
    <row r="14" spans="1:26" x14ac:dyDescent="0.4">
      <c r="A14" s="76"/>
    </row>
    <row r="15" spans="1:26" x14ac:dyDescent="0.4">
      <c r="A15" s="76"/>
      <c r="B15" s="235" t="s">
        <v>18</v>
      </c>
      <c r="C15" s="25"/>
      <c r="D15" s="25"/>
      <c r="E15" s="34">
        <v>0.47939999999999999</v>
      </c>
      <c r="F15" s="34">
        <v>0.50639999999999996</v>
      </c>
      <c r="G15" s="34">
        <v>0.56850000000000001</v>
      </c>
      <c r="H15" s="34">
        <v>0.54759999999999998</v>
      </c>
      <c r="I15" s="34">
        <v>0.33100000000000002</v>
      </c>
      <c r="J15" s="25"/>
      <c r="K15" s="25"/>
      <c r="L15" s="198"/>
      <c r="M15" s="198"/>
      <c r="N15" s="205"/>
      <c r="O15" s="205"/>
      <c r="P15" s="205"/>
      <c r="Q15" s="205">
        <f t="shared" ref="Q15:U26" si="0">1-E15</f>
        <v>0.52059999999999995</v>
      </c>
      <c r="R15" s="205">
        <f t="shared" si="0"/>
        <v>0.49360000000000004</v>
      </c>
      <c r="S15" s="205">
        <f t="shared" si="0"/>
        <v>0.43149999999999999</v>
      </c>
      <c r="T15" s="205">
        <f t="shared" si="0"/>
        <v>0.45240000000000002</v>
      </c>
      <c r="U15" s="205">
        <f t="shared" si="0"/>
        <v>0.66900000000000004</v>
      </c>
      <c r="V15" s="205"/>
      <c r="W15" s="205"/>
      <c r="X15" s="205"/>
      <c r="Y15" s="205"/>
      <c r="Z15" s="205"/>
    </row>
    <row r="16" spans="1:26" x14ac:dyDescent="0.4">
      <c r="A16" s="76"/>
      <c r="B16" s="235" t="s">
        <v>19</v>
      </c>
      <c r="C16" s="25"/>
      <c r="D16" s="25"/>
      <c r="E16" s="34">
        <v>0.47899999999999998</v>
      </c>
      <c r="F16" s="34">
        <v>0.50590000000000002</v>
      </c>
      <c r="G16" s="34">
        <v>0.57499999999999996</v>
      </c>
      <c r="H16" s="34">
        <v>0.55400000000000005</v>
      </c>
      <c r="I16" s="34">
        <v>0.31019999999999998</v>
      </c>
      <c r="J16" s="25"/>
      <c r="K16" s="25"/>
      <c r="L16" s="198"/>
      <c r="M16" s="198"/>
      <c r="N16" s="205"/>
      <c r="O16" s="205"/>
      <c r="P16" s="205"/>
      <c r="Q16" s="205">
        <f t="shared" si="0"/>
        <v>0.52100000000000002</v>
      </c>
      <c r="R16" s="205">
        <f t="shared" si="0"/>
        <v>0.49409999999999998</v>
      </c>
      <c r="S16" s="205">
        <f t="shared" si="0"/>
        <v>0.42500000000000004</v>
      </c>
      <c r="T16" s="205">
        <f t="shared" si="0"/>
        <v>0.44599999999999995</v>
      </c>
      <c r="U16" s="205">
        <f t="shared" si="0"/>
        <v>0.68979999999999997</v>
      </c>
      <c r="V16" s="205"/>
      <c r="W16" s="205"/>
      <c r="X16" s="205"/>
      <c r="Y16" s="205"/>
      <c r="Z16" s="205"/>
    </row>
    <row r="17" spans="1:26" x14ac:dyDescent="0.4">
      <c r="A17" s="76"/>
      <c r="B17" s="235" t="s">
        <v>20</v>
      </c>
      <c r="C17" s="25"/>
      <c r="D17" s="25"/>
      <c r="E17" s="34">
        <v>0.4824</v>
      </c>
      <c r="F17" s="34">
        <v>0.50990000000000002</v>
      </c>
      <c r="G17" s="34">
        <v>0.58879999999999999</v>
      </c>
      <c r="H17" s="34">
        <v>0.54679999999999995</v>
      </c>
      <c r="I17" s="34">
        <v>0.3054</v>
      </c>
      <c r="J17" s="25"/>
      <c r="K17" s="25"/>
      <c r="L17" s="198"/>
      <c r="M17" s="198"/>
      <c r="N17" s="205"/>
      <c r="O17" s="205"/>
      <c r="P17" s="205"/>
      <c r="Q17" s="205">
        <f t="shared" si="0"/>
        <v>0.51760000000000006</v>
      </c>
      <c r="R17" s="205">
        <f t="shared" si="0"/>
        <v>0.49009999999999998</v>
      </c>
      <c r="S17" s="205">
        <f t="shared" si="0"/>
        <v>0.41120000000000001</v>
      </c>
      <c r="T17" s="205">
        <f t="shared" si="0"/>
        <v>0.45320000000000005</v>
      </c>
      <c r="U17" s="205">
        <f t="shared" si="0"/>
        <v>0.6946</v>
      </c>
      <c r="V17" s="205"/>
      <c r="W17" s="205"/>
      <c r="X17" s="205"/>
      <c r="Y17" s="205"/>
      <c r="Z17" s="205"/>
    </row>
    <row r="18" spans="1:26" x14ac:dyDescent="0.4">
      <c r="A18" s="76"/>
      <c r="B18" s="235" t="s">
        <v>21</v>
      </c>
      <c r="C18" s="25"/>
      <c r="D18" s="25"/>
      <c r="E18" s="34">
        <v>0.48449999999999999</v>
      </c>
      <c r="F18" s="34">
        <v>0.50270000000000004</v>
      </c>
      <c r="G18" s="34">
        <v>0.58799999999999997</v>
      </c>
      <c r="H18" s="34">
        <v>0.5524</v>
      </c>
      <c r="I18" s="34">
        <v>0.30349999999999999</v>
      </c>
      <c r="J18" s="25"/>
      <c r="K18" s="25"/>
      <c r="L18" s="198"/>
      <c r="M18" s="198"/>
      <c r="N18" s="205"/>
      <c r="O18" s="205"/>
      <c r="P18" s="205"/>
      <c r="Q18" s="205">
        <f t="shared" si="0"/>
        <v>0.51550000000000007</v>
      </c>
      <c r="R18" s="205">
        <f t="shared" si="0"/>
        <v>0.49729999999999996</v>
      </c>
      <c r="S18" s="205">
        <f t="shared" si="0"/>
        <v>0.41200000000000003</v>
      </c>
      <c r="T18" s="205">
        <f t="shared" si="0"/>
        <v>0.4476</v>
      </c>
      <c r="U18" s="205">
        <f t="shared" si="0"/>
        <v>0.69650000000000001</v>
      </c>
      <c r="V18" s="205"/>
      <c r="W18" s="205"/>
      <c r="X18" s="205"/>
      <c r="Y18" s="205"/>
      <c r="Z18" s="205"/>
    </row>
    <row r="19" spans="1:26" x14ac:dyDescent="0.4">
      <c r="A19" s="76"/>
      <c r="B19" s="235" t="s">
        <v>22</v>
      </c>
      <c r="C19" s="25"/>
      <c r="D19" s="25"/>
      <c r="E19" s="34">
        <v>0.49959999999999999</v>
      </c>
      <c r="F19" s="34">
        <v>0.52010000000000001</v>
      </c>
      <c r="G19" s="34">
        <v>0.60260000000000002</v>
      </c>
      <c r="H19" s="34">
        <v>0.57609999999999995</v>
      </c>
      <c r="I19" s="34">
        <v>0.30480000000000002</v>
      </c>
      <c r="J19" s="25"/>
      <c r="K19" s="25"/>
      <c r="L19" s="198"/>
      <c r="M19" s="198"/>
      <c r="N19" s="205"/>
      <c r="O19" s="205"/>
      <c r="P19" s="205"/>
      <c r="Q19" s="205">
        <f t="shared" si="0"/>
        <v>0.50039999999999996</v>
      </c>
      <c r="R19" s="205">
        <f t="shared" si="0"/>
        <v>0.47989999999999999</v>
      </c>
      <c r="S19" s="205">
        <f t="shared" si="0"/>
        <v>0.39739999999999998</v>
      </c>
      <c r="T19" s="205">
        <f t="shared" si="0"/>
        <v>0.42390000000000005</v>
      </c>
      <c r="U19" s="205">
        <f t="shared" si="0"/>
        <v>0.69520000000000004</v>
      </c>
      <c r="V19" s="205"/>
      <c r="W19" s="205"/>
      <c r="X19" s="205"/>
      <c r="Y19" s="205"/>
      <c r="Z19" s="205"/>
    </row>
    <row r="20" spans="1:26" x14ac:dyDescent="0.4">
      <c r="A20" s="76"/>
      <c r="B20" s="249" t="s">
        <v>23</v>
      </c>
      <c r="C20" s="250"/>
      <c r="D20" s="250"/>
      <c r="E20" s="251">
        <v>0.51549999999999996</v>
      </c>
      <c r="F20" s="251">
        <v>0.52139999999999997</v>
      </c>
      <c r="G20" s="251">
        <v>0.57830000000000004</v>
      </c>
      <c r="H20" s="251">
        <v>0.56779999999999997</v>
      </c>
      <c r="I20" s="252">
        <v>0.29139999999999999</v>
      </c>
      <c r="J20" s="25"/>
      <c r="K20" s="25"/>
      <c r="L20" s="198"/>
      <c r="M20" s="198"/>
      <c r="N20" s="205"/>
      <c r="O20" s="205"/>
      <c r="P20" s="205"/>
      <c r="Q20" s="205">
        <f t="shared" si="0"/>
        <v>0.48450000000000004</v>
      </c>
      <c r="R20" s="205">
        <f t="shared" si="0"/>
        <v>0.47860000000000003</v>
      </c>
      <c r="S20" s="205">
        <f t="shared" si="0"/>
        <v>0.42169999999999996</v>
      </c>
      <c r="T20" s="205">
        <f t="shared" si="0"/>
        <v>0.43220000000000003</v>
      </c>
      <c r="U20" s="205">
        <f t="shared" si="0"/>
        <v>0.70860000000000001</v>
      </c>
      <c r="V20" s="205"/>
      <c r="W20" s="205"/>
      <c r="X20" s="205"/>
      <c r="Y20" s="205"/>
      <c r="Z20" s="205"/>
    </row>
    <row r="21" spans="1:26" x14ac:dyDescent="0.4">
      <c r="A21" s="76"/>
      <c r="B21" s="253" t="s">
        <v>24</v>
      </c>
      <c r="C21" s="35"/>
      <c r="D21" s="35"/>
      <c r="E21" s="39">
        <v>0.50960000000000005</v>
      </c>
      <c r="F21" s="39">
        <v>0.50970000000000004</v>
      </c>
      <c r="G21" s="39">
        <v>0.5665</v>
      </c>
      <c r="H21" s="39">
        <v>0.54690000000000005</v>
      </c>
      <c r="I21" s="254">
        <v>0.27879999999999999</v>
      </c>
      <c r="J21" s="25"/>
      <c r="K21" s="25"/>
      <c r="L21" s="198"/>
      <c r="M21" s="198"/>
      <c r="N21" s="205"/>
      <c r="O21" s="205"/>
      <c r="P21" s="205"/>
      <c r="Q21" s="205">
        <f t="shared" si="0"/>
        <v>0.49039999999999995</v>
      </c>
      <c r="R21" s="205">
        <f t="shared" si="0"/>
        <v>0.49029999999999996</v>
      </c>
      <c r="S21" s="205">
        <f t="shared" si="0"/>
        <v>0.4335</v>
      </c>
      <c r="T21" s="205">
        <f t="shared" si="0"/>
        <v>0.45309999999999995</v>
      </c>
      <c r="U21" s="205">
        <f t="shared" si="0"/>
        <v>0.72120000000000006</v>
      </c>
      <c r="V21" s="205"/>
      <c r="W21" s="205"/>
      <c r="X21" s="205"/>
      <c r="Y21" s="205"/>
      <c r="Z21" s="205"/>
    </row>
    <row r="22" spans="1:26" x14ac:dyDescent="0.4">
      <c r="A22" s="76"/>
      <c r="B22" s="253" t="s">
        <v>25</v>
      </c>
      <c r="C22" s="35"/>
      <c r="D22" s="35"/>
      <c r="E22" s="39">
        <v>0.55400000000000005</v>
      </c>
      <c r="F22" s="39">
        <v>0.55510000000000004</v>
      </c>
      <c r="G22" s="39">
        <v>0.60399999999999998</v>
      </c>
      <c r="H22" s="39">
        <v>0.58540000000000003</v>
      </c>
      <c r="I22" s="254">
        <v>0.3095</v>
      </c>
      <c r="J22" s="25"/>
      <c r="K22" s="25"/>
      <c r="L22" s="198"/>
      <c r="M22" s="198"/>
      <c r="N22" s="205"/>
      <c r="O22" s="205"/>
      <c r="P22" s="205"/>
      <c r="Q22" s="205">
        <f t="shared" si="0"/>
        <v>0.44599999999999995</v>
      </c>
      <c r="R22" s="205">
        <f t="shared" si="0"/>
        <v>0.44489999999999996</v>
      </c>
      <c r="S22" s="205">
        <f t="shared" si="0"/>
        <v>0.39600000000000002</v>
      </c>
      <c r="T22" s="205">
        <f t="shared" si="0"/>
        <v>0.41459999999999997</v>
      </c>
      <c r="U22" s="205">
        <f t="shared" si="0"/>
        <v>0.6905</v>
      </c>
      <c r="V22" s="205"/>
      <c r="W22" s="205"/>
      <c r="X22" s="205"/>
      <c r="Y22" s="205"/>
      <c r="Z22" s="205"/>
    </row>
    <row r="23" spans="1:26" x14ac:dyDescent="0.4">
      <c r="A23" s="76"/>
      <c r="B23" s="255" t="s">
        <v>26</v>
      </c>
      <c r="C23" s="256"/>
      <c r="D23" s="256"/>
      <c r="E23" s="257">
        <v>0.45910000000000001</v>
      </c>
      <c r="F23" s="257">
        <v>0.46850000000000003</v>
      </c>
      <c r="G23" s="257">
        <v>0.56210000000000004</v>
      </c>
      <c r="H23" s="257">
        <v>0.54239999999999999</v>
      </c>
      <c r="I23" s="258">
        <v>0.29299999999999998</v>
      </c>
      <c r="J23" s="25"/>
      <c r="K23" s="25"/>
      <c r="L23" s="198"/>
      <c r="M23" s="198"/>
      <c r="N23" s="205"/>
      <c r="O23" s="205"/>
      <c r="P23" s="205"/>
      <c r="Q23" s="205">
        <f t="shared" si="0"/>
        <v>0.54089999999999994</v>
      </c>
      <c r="R23" s="205">
        <f t="shared" si="0"/>
        <v>0.53149999999999997</v>
      </c>
      <c r="S23" s="205">
        <f t="shared" si="0"/>
        <v>0.43789999999999996</v>
      </c>
      <c r="T23" s="205">
        <f t="shared" si="0"/>
        <v>0.45760000000000001</v>
      </c>
      <c r="U23" s="205">
        <f t="shared" si="0"/>
        <v>0.70700000000000007</v>
      </c>
      <c r="V23" s="205"/>
      <c r="W23" s="205"/>
      <c r="X23" s="205"/>
      <c r="Y23" s="205"/>
      <c r="Z23" s="205"/>
    </row>
    <row r="24" spans="1:26" x14ac:dyDescent="0.4">
      <c r="A24" s="76"/>
      <c r="B24" s="235" t="s">
        <v>27</v>
      </c>
      <c r="C24" s="25"/>
      <c r="D24" s="25"/>
      <c r="E24" s="34">
        <v>0.50360000000000005</v>
      </c>
      <c r="F24" s="34">
        <v>0.52669999999999995</v>
      </c>
      <c r="G24" s="34">
        <v>0.60609999999999997</v>
      </c>
      <c r="H24" s="34">
        <v>0.58120000000000005</v>
      </c>
      <c r="I24" s="34">
        <v>0.3407</v>
      </c>
      <c r="J24" s="25"/>
      <c r="K24" s="25"/>
      <c r="L24" s="198"/>
      <c r="M24" s="198"/>
      <c r="N24" s="205"/>
      <c r="O24" s="205"/>
      <c r="P24" s="205"/>
      <c r="Q24" s="205">
        <f t="shared" si="0"/>
        <v>0.49639999999999995</v>
      </c>
      <c r="R24" s="205">
        <f t="shared" si="0"/>
        <v>0.47330000000000005</v>
      </c>
      <c r="S24" s="205">
        <f t="shared" si="0"/>
        <v>0.39390000000000003</v>
      </c>
      <c r="T24" s="205">
        <f t="shared" si="0"/>
        <v>0.41879999999999995</v>
      </c>
      <c r="U24" s="205">
        <f t="shared" si="0"/>
        <v>0.6593</v>
      </c>
      <c r="V24" s="205"/>
      <c r="W24" s="205"/>
      <c r="X24" s="205"/>
      <c r="Y24" s="205"/>
      <c r="Z24" s="205"/>
    </row>
    <row r="25" spans="1:26" x14ac:dyDescent="0.4">
      <c r="A25" s="76"/>
      <c r="B25" s="235" t="s">
        <v>28</v>
      </c>
      <c r="C25" s="25"/>
      <c r="D25" s="25"/>
      <c r="E25" s="34">
        <v>0.45889999999999997</v>
      </c>
      <c r="F25" s="34">
        <v>0.49099999999999999</v>
      </c>
      <c r="G25" s="34">
        <v>0.57220000000000004</v>
      </c>
      <c r="H25" s="34">
        <v>0.5423</v>
      </c>
      <c r="I25" s="34">
        <v>0.32469999999999999</v>
      </c>
      <c r="J25" s="25"/>
      <c r="K25" s="25"/>
      <c r="L25" s="198"/>
      <c r="M25" s="198"/>
      <c r="N25" s="205"/>
      <c r="O25" s="205"/>
      <c r="P25" s="205"/>
      <c r="Q25" s="205">
        <f t="shared" si="0"/>
        <v>0.54110000000000003</v>
      </c>
      <c r="R25" s="205">
        <f t="shared" si="0"/>
        <v>0.50900000000000001</v>
      </c>
      <c r="S25" s="205">
        <f t="shared" si="0"/>
        <v>0.42779999999999996</v>
      </c>
      <c r="T25" s="205">
        <f t="shared" si="0"/>
        <v>0.4577</v>
      </c>
      <c r="U25" s="205">
        <f t="shared" si="0"/>
        <v>0.67530000000000001</v>
      </c>
      <c r="V25" s="205"/>
      <c r="W25" s="205"/>
      <c r="X25" s="205"/>
      <c r="Y25" s="205"/>
      <c r="Z25" s="205"/>
    </row>
    <row r="26" spans="1:26" x14ac:dyDescent="0.4">
      <c r="A26" s="76"/>
      <c r="B26" s="235" t="s">
        <v>29</v>
      </c>
      <c r="C26" s="25"/>
      <c r="D26" s="25"/>
      <c r="E26" s="34">
        <v>0.44529999999999997</v>
      </c>
      <c r="F26" s="34">
        <v>0.46700000000000003</v>
      </c>
      <c r="G26" s="34">
        <v>0.54069999999999996</v>
      </c>
      <c r="H26" s="34">
        <v>0.51339999999999997</v>
      </c>
      <c r="I26" s="34">
        <v>0.31390000000000001</v>
      </c>
      <c r="J26" s="25"/>
      <c r="K26" s="25"/>
      <c r="L26" s="198"/>
      <c r="M26" s="198"/>
      <c r="N26" s="205"/>
      <c r="O26" s="205"/>
      <c r="P26" s="205"/>
      <c r="Q26" s="205">
        <f t="shared" si="0"/>
        <v>0.55469999999999997</v>
      </c>
      <c r="R26" s="205">
        <f t="shared" si="0"/>
        <v>0.53299999999999992</v>
      </c>
      <c r="S26" s="205">
        <f t="shared" si="0"/>
        <v>0.45930000000000004</v>
      </c>
      <c r="T26" s="205">
        <f t="shared" si="0"/>
        <v>0.48660000000000003</v>
      </c>
      <c r="U26" s="205">
        <f t="shared" si="0"/>
        <v>0.68609999999999993</v>
      </c>
      <c r="V26" s="205"/>
      <c r="W26" s="205"/>
      <c r="X26" s="205"/>
      <c r="Y26" s="205"/>
      <c r="Z26" s="205"/>
    </row>
    <row r="27" spans="1:26" x14ac:dyDescent="0.4">
      <c r="A27" s="76"/>
      <c r="B27" s="235"/>
      <c r="C27" s="205"/>
      <c r="D27" s="205"/>
      <c r="E27" s="205"/>
      <c r="F27" s="205"/>
      <c r="G27" s="205"/>
      <c r="H27" s="205"/>
      <c r="I27" s="28"/>
      <c r="J27" s="28"/>
      <c r="K27" s="28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</row>
    <row r="28" spans="1:26" x14ac:dyDescent="0.4">
      <c r="A28" s="76"/>
      <c r="B28" s="235"/>
      <c r="C28" s="205"/>
      <c r="D28" s="205"/>
      <c r="E28" s="205"/>
      <c r="F28" s="205"/>
      <c r="G28" s="205"/>
      <c r="H28" s="205"/>
      <c r="I28" s="205"/>
      <c r="J28" s="28"/>
      <c r="K28" s="28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</row>
    <row r="29" spans="1:26" x14ac:dyDescent="0.4">
      <c r="A29" s="77" t="s">
        <v>30</v>
      </c>
      <c r="B29" s="83" t="s">
        <v>31</v>
      </c>
      <c r="C29" s="205"/>
      <c r="D29" s="205"/>
      <c r="E29" s="205"/>
      <c r="F29" s="10" t="s">
        <v>32</v>
      </c>
      <c r="G29" s="205"/>
      <c r="H29" s="205"/>
      <c r="I29" s="28"/>
      <c r="J29" s="28"/>
      <c r="K29" s="28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</row>
    <row r="30" spans="1:26" ht="53.25" customHeight="1" x14ac:dyDescent="0.4">
      <c r="A30" s="76"/>
      <c r="C30" s="88"/>
      <c r="D30" s="88"/>
      <c r="E30" s="88" t="s">
        <v>419</v>
      </c>
      <c r="F30" s="88" t="s">
        <v>33</v>
      </c>
      <c r="G30" s="88" t="s">
        <v>33</v>
      </c>
      <c r="H30" s="88" t="s">
        <v>419</v>
      </c>
      <c r="I30" s="88" t="s">
        <v>33</v>
      </c>
      <c r="J30" s="88"/>
      <c r="K30" s="88"/>
      <c r="L30" s="88"/>
      <c r="M30" s="383"/>
      <c r="N30" s="383"/>
      <c r="O30" s="88"/>
      <c r="P30" s="88"/>
      <c r="Q30" s="88" t="str">
        <f>E30</f>
        <v>2020 Forecasted Calendar Month Sales</v>
      </c>
      <c r="R30" s="88" t="s">
        <v>33</v>
      </c>
      <c r="S30" s="88" t="s">
        <v>33</v>
      </c>
      <c r="T30" s="88" t="str">
        <f>H30</f>
        <v>2020 Forecasted Calendar Month Sales</v>
      </c>
      <c r="U30" s="88" t="s">
        <v>33</v>
      </c>
      <c r="V30" s="88"/>
      <c r="W30" s="88"/>
      <c r="X30" s="88"/>
      <c r="Y30" s="88"/>
      <c r="Z30" s="88"/>
    </row>
    <row r="31" spans="1:26" x14ac:dyDescent="0.4">
      <c r="A31" s="76"/>
      <c r="B31" s="89" t="s">
        <v>12</v>
      </c>
      <c r="C31" s="80"/>
      <c r="D31" s="80"/>
      <c r="E31" s="80" t="str">
        <f>+E$13</f>
        <v>RT{1}</v>
      </c>
      <c r="F31" s="80" t="str">
        <f>+F$13</f>
        <v>RS{2}</v>
      </c>
      <c r="G31" s="80" t="str">
        <f>+G$13</f>
        <v>GS{3}</v>
      </c>
      <c r="H31" s="80" t="str">
        <f>+H$13</f>
        <v>GST</v>
      </c>
      <c r="I31" s="80" t="str">
        <f>+I$13</f>
        <v>OL/SL</v>
      </c>
      <c r="J31" s="80"/>
      <c r="K31" s="80"/>
      <c r="L31" s="80"/>
      <c r="M31" s="80"/>
      <c r="N31" s="90"/>
      <c r="O31" s="80"/>
      <c r="P31" s="80"/>
      <c r="Q31" s="80" t="str">
        <f>+Q$13</f>
        <v>RT{1}</v>
      </c>
      <c r="R31" s="80" t="str">
        <f>+R$13</f>
        <v>RS{2}</v>
      </c>
      <c r="S31" s="80" t="str">
        <f>+S$13</f>
        <v>GS{3}</v>
      </c>
      <c r="T31" s="80" t="str">
        <f>+T$13</f>
        <v>GST</v>
      </c>
      <c r="U31" s="80" t="str">
        <f>+U$13</f>
        <v>OL/SL</v>
      </c>
      <c r="V31" s="80"/>
      <c r="W31" s="80"/>
      <c r="X31" s="80"/>
      <c r="Y31" s="80"/>
      <c r="Z31" s="80"/>
    </row>
    <row r="32" spans="1:26" x14ac:dyDescent="0.4">
      <c r="A32" s="76"/>
    </row>
    <row r="33" spans="1:26" x14ac:dyDescent="0.4">
      <c r="A33" s="76"/>
      <c r="B33" s="235" t="s">
        <v>18</v>
      </c>
      <c r="C33" s="259"/>
      <c r="D33" s="260"/>
      <c r="E33" s="261">
        <v>0.35270000000000001</v>
      </c>
      <c r="F33" s="259" t="s">
        <v>34</v>
      </c>
      <c r="G33" s="259" t="s">
        <v>34</v>
      </c>
      <c r="H33" s="34">
        <v>0.42259999999999998</v>
      </c>
      <c r="I33" s="259" t="s">
        <v>34</v>
      </c>
      <c r="J33" s="259"/>
      <c r="K33" s="259"/>
      <c r="L33" s="259"/>
      <c r="M33" s="198"/>
      <c r="N33" s="205"/>
      <c r="O33" s="205"/>
      <c r="P33" s="205"/>
      <c r="Q33" s="205">
        <f t="shared" ref="Q33:Q44" si="1">1-E33</f>
        <v>0.64729999999999999</v>
      </c>
      <c r="R33" s="205"/>
      <c r="S33" s="205"/>
      <c r="T33" s="205">
        <f t="shared" ref="T33:T44" si="2">1-H33</f>
        <v>0.57740000000000002</v>
      </c>
      <c r="U33" s="205"/>
      <c r="V33" s="205"/>
      <c r="W33" s="205"/>
      <c r="X33" s="205"/>
      <c r="Y33" s="205"/>
      <c r="Z33" s="205"/>
    </row>
    <row r="34" spans="1:26" x14ac:dyDescent="0.4">
      <c r="A34" s="76"/>
      <c r="B34" s="235" t="s">
        <v>19</v>
      </c>
      <c r="C34" s="259"/>
      <c r="D34" s="260"/>
      <c r="E34" s="261">
        <v>0.34670000000000001</v>
      </c>
      <c r="F34" s="259" t="s">
        <v>34</v>
      </c>
      <c r="G34" s="259" t="s">
        <v>34</v>
      </c>
      <c r="H34" s="34">
        <v>0.43049999999999999</v>
      </c>
      <c r="I34" s="259" t="s">
        <v>34</v>
      </c>
      <c r="J34" s="259"/>
      <c r="K34" s="259"/>
      <c r="L34" s="259"/>
      <c r="M34" s="198"/>
      <c r="N34" s="205"/>
      <c r="O34" s="205"/>
      <c r="P34" s="205"/>
      <c r="Q34" s="205">
        <f t="shared" si="1"/>
        <v>0.65329999999999999</v>
      </c>
      <c r="R34" s="205"/>
      <c r="S34" s="205"/>
      <c r="T34" s="205">
        <f t="shared" si="2"/>
        <v>0.56950000000000001</v>
      </c>
      <c r="U34" s="205"/>
      <c r="V34" s="205"/>
      <c r="W34" s="205"/>
      <c r="X34" s="205"/>
      <c r="Y34" s="205"/>
      <c r="Z34" s="205"/>
    </row>
    <row r="35" spans="1:26" x14ac:dyDescent="0.4">
      <c r="A35" s="76"/>
      <c r="B35" s="235" t="s">
        <v>20</v>
      </c>
      <c r="C35" s="259"/>
      <c r="D35" s="260"/>
      <c r="E35" s="261">
        <v>0.34229999999999999</v>
      </c>
      <c r="F35" s="259" t="s">
        <v>34</v>
      </c>
      <c r="G35" s="259" t="s">
        <v>34</v>
      </c>
      <c r="H35" s="34">
        <v>0.43240000000000001</v>
      </c>
      <c r="I35" s="259" t="s">
        <v>34</v>
      </c>
      <c r="J35" s="259"/>
      <c r="K35" s="259"/>
      <c r="L35" s="259"/>
      <c r="M35" s="198"/>
      <c r="N35" s="205"/>
      <c r="O35" s="205"/>
      <c r="P35" s="205"/>
      <c r="Q35" s="205">
        <f t="shared" si="1"/>
        <v>0.65769999999999995</v>
      </c>
      <c r="R35" s="205"/>
      <c r="S35" s="205"/>
      <c r="T35" s="205">
        <f t="shared" si="2"/>
        <v>0.56759999999999999</v>
      </c>
      <c r="U35" s="205"/>
      <c r="V35" s="205"/>
      <c r="W35" s="205"/>
      <c r="X35" s="205"/>
      <c r="Y35" s="205"/>
      <c r="Z35" s="205"/>
    </row>
    <row r="36" spans="1:26" x14ac:dyDescent="0.4">
      <c r="A36" s="76"/>
      <c r="B36" s="235" t="s">
        <v>21</v>
      </c>
      <c r="C36" s="259"/>
      <c r="D36" s="260"/>
      <c r="E36" s="261">
        <v>0.34770000000000001</v>
      </c>
      <c r="F36" s="259" t="s">
        <v>34</v>
      </c>
      <c r="G36" s="259" t="s">
        <v>34</v>
      </c>
      <c r="H36" s="34">
        <v>0.44059999999999999</v>
      </c>
      <c r="I36" s="259" t="s">
        <v>34</v>
      </c>
      <c r="J36" s="259"/>
      <c r="K36" s="259"/>
      <c r="L36" s="259"/>
      <c r="M36" s="198"/>
      <c r="N36" s="205"/>
      <c r="O36" s="205"/>
      <c r="P36" s="205"/>
      <c r="Q36" s="205">
        <f t="shared" si="1"/>
        <v>0.65229999999999999</v>
      </c>
      <c r="R36" s="205"/>
      <c r="S36" s="205"/>
      <c r="T36" s="205">
        <f t="shared" si="2"/>
        <v>0.55940000000000001</v>
      </c>
      <c r="U36" s="205"/>
      <c r="V36" s="205"/>
      <c r="W36" s="205"/>
      <c r="X36" s="205"/>
      <c r="Y36" s="205"/>
      <c r="Z36" s="205"/>
    </row>
    <row r="37" spans="1:26" x14ac:dyDescent="0.4">
      <c r="A37" s="76"/>
      <c r="B37" s="235" t="s">
        <v>22</v>
      </c>
      <c r="C37" s="259"/>
      <c r="D37" s="260"/>
      <c r="E37" s="261">
        <v>0.36670000000000003</v>
      </c>
      <c r="F37" s="259" t="s">
        <v>34</v>
      </c>
      <c r="G37" s="259" t="s">
        <v>34</v>
      </c>
      <c r="H37" s="34">
        <v>0.44819999999999999</v>
      </c>
      <c r="I37" s="259" t="s">
        <v>34</v>
      </c>
      <c r="J37" s="259"/>
      <c r="K37" s="259"/>
      <c r="L37" s="259"/>
      <c r="M37" s="198"/>
      <c r="N37" s="205"/>
      <c r="O37" s="205"/>
      <c r="P37" s="205"/>
      <c r="Q37" s="205">
        <f t="shared" si="1"/>
        <v>0.63329999999999997</v>
      </c>
      <c r="R37" s="205"/>
      <c r="S37" s="205"/>
      <c r="T37" s="205">
        <f t="shared" si="2"/>
        <v>0.55180000000000007</v>
      </c>
      <c r="U37" s="205"/>
      <c r="V37" s="205"/>
      <c r="W37" s="205"/>
      <c r="X37" s="205"/>
      <c r="Y37" s="205"/>
      <c r="Z37" s="205"/>
    </row>
    <row r="38" spans="1:26" x14ac:dyDescent="0.4">
      <c r="A38" s="76"/>
      <c r="B38" s="249" t="s">
        <v>23</v>
      </c>
      <c r="C38" s="262"/>
      <c r="D38" s="263"/>
      <c r="E38" s="264">
        <v>0.3977</v>
      </c>
      <c r="F38" s="262" t="s">
        <v>34</v>
      </c>
      <c r="G38" s="262" t="s">
        <v>34</v>
      </c>
      <c r="H38" s="251">
        <v>0.46250000000000002</v>
      </c>
      <c r="I38" s="265" t="s">
        <v>34</v>
      </c>
      <c r="J38" s="260"/>
      <c r="K38" s="259"/>
      <c r="L38" s="259"/>
      <c r="M38" s="198"/>
      <c r="N38" s="205"/>
      <c r="O38" s="205"/>
      <c r="P38" s="205"/>
      <c r="Q38" s="205">
        <f t="shared" si="1"/>
        <v>0.60230000000000006</v>
      </c>
      <c r="R38" s="205"/>
      <c r="S38" s="205"/>
      <c r="T38" s="205">
        <f t="shared" si="2"/>
        <v>0.53749999999999998</v>
      </c>
      <c r="U38" s="205"/>
      <c r="V38" s="205"/>
      <c r="W38" s="205"/>
      <c r="X38" s="205"/>
      <c r="Y38" s="205"/>
      <c r="Z38" s="205"/>
    </row>
    <row r="39" spans="1:26" x14ac:dyDescent="0.4">
      <c r="A39" s="76"/>
      <c r="B39" s="253" t="s">
        <v>24</v>
      </c>
      <c r="C39" s="266"/>
      <c r="D39" s="267"/>
      <c r="E39" s="268">
        <v>0.41570000000000001</v>
      </c>
      <c r="F39" s="266" t="s">
        <v>34</v>
      </c>
      <c r="G39" s="266" t="s">
        <v>34</v>
      </c>
      <c r="H39" s="39">
        <v>0.46460000000000001</v>
      </c>
      <c r="I39" s="269" t="s">
        <v>34</v>
      </c>
      <c r="J39" s="260"/>
      <c r="K39" s="259"/>
      <c r="L39" s="259"/>
      <c r="M39" s="198"/>
      <c r="N39" s="205"/>
      <c r="O39" s="205"/>
      <c r="P39" s="205"/>
      <c r="Q39" s="205">
        <f t="shared" si="1"/>
        <v>0.58430000000000004</v>
      </c>
      <c r="R39" s="205"/>
      <c r="S39" s="205"/>
      <c r="T39" s="205">
        <f t="shared" si="2"/>
        <v>0.53539999999999999</v>
      </c>
      <c r="U39" s="205"/>
      <c r="V39" s="205"/>
      <c r="W39" s="205"/>
      <c r="X39" s="205"/>
      <c r="Y39" s="205"/>
      <c r="Z39" s="205"/>
    </row>
    <row r="40" spans="1:26" x14ac:dyDescent="0.4">
      <c r="A40" s="76"/>
      <c r="B40" s="253" t="s">
        <v>25</v>
      </c>
      <c r="C40" s="266"/>
      <c r="D40" s="267"/>
      <c r="E40" s="268">
        <v>0.41810000000000003</v>
      </c>
      <c r="F40" s="266" t="s">
        <v>34</v>
      </c>
      <c r="G40" s="266" t="s">
        <v>34</v>
      </c>
      <c r="H40" s="39">
        <v>0.46360000000000001</v>
      </c>
      <c r="I40" s="269" t="s">
        <v>34</v>
      </c>
      <c r="J40" s="260"/>
      <c r="K40" s="259"/>
      <c r="L40" s="259"/>
      <c r="M40" s="198"/>
      <c r="N40" s="205"/>
      <c r="O40" s="205"/>
      <c r="P40" s="205"/>
      <c r="Q40" s="205">
        <f t="shared" si="1"/>
        <v>0.58189999999999997</v>
      </c>
      <c r="R40" s="205"/>
      <c r="S40" s="205"/>
      <c r="T40" s="205">
        <f t="shared" si="2"/>
        <v>0.53639999999999999</v>
      </c>
      <c r="U40" s="205"/>
      <c r="V40" s="205"/>
      <c r="W40" s="205"/>
      <c r="X40" s="205"/>
      <c r="Y40" s="205"/>
      <c r="Z40" s="205"/>
    </row>
    <row r="41" spans="1:26" x14ac:dyDescent="0.4">
      <c r="A41" s="76"/>
      <c r="B41" s="255" t="s">
        <v>26</v>
      </c>
      <c r="C41" s="270"/>
      <c r="D41" s="271"/>
      <c r="E41" s="272">
        <v>0.40629999999999999</v>
      </c>
      <c r="F41" s="270" t="s">
        <v>34</v>
      </c>
      <c r="G41" s="270" t="s">
        <v>34</v>
      </c>
      <c r="H41" s="257">
        <v>0.45789999999999997</v>
      </c>
      <c r="I41" s="273" t="s">
        <v>34</v>
      </c>
      <c r="J41" s="260"/>
      <c r="K41" s="259"/>
      <c r="L41" s="259"/>
      <c r="M41" s="198"/>
      <c r="N41" s="205"/>
      <c r="O41" s="205"/>
      <c r="P41" s="205"/>
      <c r="Q41" s="205">
        <f t="shared" si="1"/>
        <v>0.59370000000000001</v>
      </c>
      <c r="R41" s="205"/>
      <c r="S41" s="205"/>
      <c r="T41" s="205">
        <f t="shared" si="2"/>
        <v>0.54210000000000003</v>
      </c>
      <c r="U41" s="205"/>
      <c r="V41" s="205"/>
      <c r="W41" s="205"/>
      <c r="X41" s="205"/>
      <c r="Y41" s="205"/>
      <c r="Z41" s="205"/>
    </row>
    <row r="42" spans="1:26" x14ac:dyDescent="0.4">
      <c r="A42" s="76"/>
      <c r="B42" s="235" t="s">
        <v>27</v>
      </c>
      <c r="C42" s="259"/>
      <c r="D42" s="260"/>
      <c r="E42" s="261">
        <v>0.37169999999999997</v>
      </c>
      <c r="F42" s="259" t="s">
        <v>34</v>
      </c>
      <c r="G42" s="259" t="s">
        <v>34</v>
      </c>
      <c r="H42" s="34">
        <v>0.46239999999999998</v>
      </c>
      <c r="I42" s="259" t="s">
        <v>34</v>
      </c>
      <c r="J42" s="259"/>
      <c r="K42" s="259"/>
      <c r="L42" s="259"/>
      <c r="M42" s="198"/>
      <c r="N42" s="205"/>
      <c r="O42" s="205"/>
      <c r="P42" s="205"/>
      <c r="Q42" s="205">
        <f t="shared" si="1"/>
        <v>0.62830000000000008</v>
      </c>
      <c r="R42" s="205"/>
      <c r="S42" s="205"/>
      <c r="T42" s="205">
        <f t="shared" si="2"/>
        <v>0.53760000000000008</v>
      </c>
      <c r="U42" s="205"/>
      <c r="V42" s="205"/>
      <c r="W42" s="205"/>
      <c r="X42" s="205"/>
      <c r="Y42" s="205"/>
      <c r="Z42" s="205"/>
    </row>
    <row r="43" spans="1:26" x14ac:dyDescent="0.4">
      <c r="A43" s="76"/>
      <c r="B43" s="235" t="s">
        <v>28</v>
      </c>
      <c r="C43" s="259"/>
      <c r="D43" s="260"/>
      <c r="E43" s="261">
        <v>0.35399999999999998</v>
      </c>
      <c r="F43" s="259" t="s">
        <v>34</v>
      </c>
      <c r="G43" s="259" t="s">
        <v>34</v>
      </c>
      <c r="H43" s="34">
        <v>0.44779999999999998</v>
      </c>
      <c r="I43" s="259" t="s">
        <v>34</v>
      </c>
      <c r="J43" s="259"/>
      <c r="K43" s="259"/>
      <c r="L43" s="259"/>
      <c r="M43" s="198"/>
      <c r="N43" s="205"/>
      <c r="O43" s="205"/>
      <c r="P43" s="205"/>
      <c r="Q43" s="205">
        <f t="shared" si="1"/>
        <v>0.64600000000000002</v>
      </c>
      <c r="R43" s="205"/>
      <c r="S43" s="205"/>
      <c r="T43" s="205">
        <f t="shared" si="2"/>
        <v>0.55220000000000002</v>
      </c>
      <c r="U43" s="205"/>
      <c r="V43" s="205"/>
      <c r="W43" s="205"/>
      <c r="X43" s="205"/>
      <c r="Y43" s="205"/>
      <c r="Z43" s="205"/>
    </row>
    <row r="44" spans="1:26" x14ac:dyDescent="0.4">
      <c r="A44" s="76"/>
      <c r="B44" s="235" t="s">
        <v>29</v>
      </c>
      <c r="C44" s="259"/>
      <c r="D44" s="260"/>
      <c r="E44" s="261">
        <v>0.35349999999999998</v>
      </c>
      <c r="F44" s="259" t="s">
        <v>34</v>
      </c>
      <c r="G44" s="259" t="s">
        <v>34</v>
      </c>
      <c r="H44" s="34">
        <v>0.4289</v>
      </c>
      <c r="I44" s="259" t="s">
        <v>34</v>
      </c>
      <c r="J44" s="259"/>
      <c r="K44" s="259"/>
      <c r="L44" s="259"/>
      <c r="M44" s="198"/>
      <c r="N44" s="205"/>
      <c r="O44" s="205"/>
      <c r="P44" s="205"/>
      <c r="Q44" s="205">
        <f t="shared" si="1"/>
        <v>0.64650000000000007</v>
      </c>
      <c r="R44" s="205"/>
      <c r="S44" s="205"/>
      <c r="T44" s="205">
        <f t="shared" si="2"/>
        <v>0.57109999999999994</v>
      </c>
      <c r="U44" s="205"/>
      <c r="V44" s="205"/>
      <c r="W44" s="205"/>
      <c r="X44" s="205"/>
      <c r="Y44" s="205"/>
      <c r="Z44" s="205"/>
    </row>
    <row r="45" spans="1:26" x14ac:dyDescent="0.4">
      <c r="A45" s="76"/>
      <c r="B45" s="235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198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</row>
    <row r="46" spans="1:26" x14ac:dyDescent="0.4">
      <c r="A46" s="76"/>
      <c r="B46" s="274" t="s">
        <v>35</v>
      </c>
      <c r="C46" s="259"/>
      <c r="D46" s="259"/>
      <c r="E46" s="259"/>
      <c r="F46" s="259"/>
      <c r="G46" s="259"/>
      <c r="H46" s="259"/>
      <c r="I46" s="259"/>
      <c r="J46" s="259"/>
      <c r="K46" s="259"/>
      <c r="L46" s="259"/>
      <c r="M46" s="198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</row>
    <row r="47" spans="1:26" x14ac:dyDescent="0.4">
      <c r="A47" s="76"/>
      <c r="B47" s="274" t="s">
        <v>36</v>
      </c>
      <c r="C47" s="205"/>
      <c r="D47" s="205"/>
      <c r="E47" s="205"/>
      <c r="F47" s="205"/>
      <c r="G47" s="205"/>
      <c r="H47" s="205"/>
      <c r="I47" s="28"/>
      <c r="J47" s="28"/>
      <c r="K47" s="28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6" x14ac:dyDescent="0.4">
      <c r="A48" s="76"/>
      <c r="B48" s="274" t="s">
        <v>37</v>
      </c>
      <c r="C48" s="205"/>
      <c r="D48" s="205"/>
      <c r="E48" s="205"/>
      <c r="F48" s="205"/>
      <c r="G48" s="205"/>
      <c r="H48" s="205"/>
      <c r="I48" s="28"/>
      <c r="J48" s="28"/>
      <c r="K48" s="28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</row>
    <row r="49" spans="1:38" x14ac:dyDescent="0.4">
      <c r="A49" s="76"/>
      <c r="B49" s="274" t="s">
        <v>38</v>
      </c>
      <c r="C49" s="205"/>
      <c r="D49" s="205"/>
      <c r="E49" s="205"/>
      <c r="F49" s="205"/>
      <c r="G49" s="205"/>
      <c r="H49" s="205"/>
      <c r="I49" s="28"/>
      <c r="J49" s="28"/>
      <c r="K49" s="28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</row>
    <row r="50" spans="1:38" x14ac:dyDescent="0.4">
      <c r="A50" s="76"/>
      <c r="B50" s="274" t="s">
        <v>39</v>
      </c>
      <c r="C50" s="205"/>
      <c r="D50" s="205"/>
      <c r="E50" s="205"/>
      <c r="F50" s="205"/>
      <c r="G50" s="205"/>
      <c r="H50" s="205"/>
      <c r="I50" s="28"/>
      <c r="J50" s="28"/>
      <c r="K50" s="28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</row>
    <row r="51" spans="1:38" x14ac:dyDescent="0.4">
      <c r="A51" s="76"/>
      <c r="B51" s="235"/>
      <c r="C51" s="205"/>
      <c r="D51" s="205"/>
      <c r="E51" s="205"/>
      <c r="F51" s="205"/>
      <c r="G51" s="205"/>
      <c r="H51" s="205"/>
      <c r="I51" s="28"/>
      <c r="J51" s="28"/>
      <c r="K51" s="28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</row>
    <row r="52" spans="1:38" ht="15.35" x14ac:dyDescent="0.5">
      <c r="A52" s="76"/>
      <c r="B52" s="382" t="str">
        <f>$B$1</f>
        <v xml:space="preserve">Jersey Central Power &amp; Light </v>
      </c>
      <c r="C52" s="382"/>
      <c r="D52" s="382"/>
      <c r="E52" s="382"/>
      <c r="F52" s="382"/>
      <c r="G52" s="382"/>
      <c r="H52" s="382"/>
      <c r="I52" s="382"/>
      <c r="J52" s="382"/>
      <c r="K52" s="382"/>
      <c r="L52" s="382"/>
      <c r="M52" s="205"/>
      <c r="N52" s="28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</row>
    <row r="53" spans="1:38" ht="15.35" x14ac:dyDescent="0.5">
      <c r="A53" s="76"/>
      <c r="B53" s="382" t="str">
        <f>$B$2</f>
        <v>Attachment 2</v>
      </c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28"/>
      <c r="N53" s="205"/>
      <c r="O53" s="205"/>
      <c r="P53" s="205"/>
      <c r="Q53" s="205"/>
      <c r="R53" s="205"/>
      <c r="S53" s="205"/>
      <c r="T53" s="205"/>
      <c r="U53" s="205"/>
      <c r="V53" s="205"/>
      <c r="X53" s="205"/>
      <c r="Y53" s="205"/>
      <c r="Z53" s="205"/>
      <c r="AA53" s="226"/>
    </row>
    <row r="54" spans="1:38" x14ac:dyDescent="0.4">
      <c r="A54" s="76"/>
      <c r="B54" s="235"/>
      <c r="C54" s="205"/>
      <c r="D54" s="205"/>
      <c r="E54" s="205"/>
      <c r="F54" s="205"/>
      <c r="G54" s="205"/>
      <c r="H54" s="205"/>
      <c r="I54" s="28"/>
      <c r="J54" s="28"/>
      <c r="K54" s="28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75"/>
      <c r="Y54" s="205"/>
      <c r="Z54" s="205"/>
    </row>
    <row r="55" spans="1:38" x14ac:dyDescent="0.4">
      <c r="A55" s="76"/>
      <c r="B55" s="235"/>
      <c r="C55" s="205"/>
      <c r="D55" s="205"/>
      <c r="E55" s="205"/>
      <c r="F55" s="205"/>
      <c r="G55" s="205"/>
      <c r="H55" s="205"/>
      <c r="I55" s="28"/>
      <c r="J55" s="28"/>
      <c r="K55" s="28"/>
      <c r="L55" s="205"/>
      <c r="M55" s="205"/>
      <c r="N55" s="205"/>
      <c r="O55" s="205"/>
      <c r="P55" s="205"/>
      <c r="Q55" s="205"/>
      <c r="R55" s="205"/>
      <c r="S55" s="205"/>
      <c r="T55" s="205"/>
      <c r="U55" s="205"/>
      <c r="V55" s="205"/>
      <c r="X55" s="205"/>
      <c r="Y55" s="275" t="s">
        <v>434</v>
      </c>
      <c r="Z55" s="205"/>
    </row>
    <row r="56" spans="1:38" x14ac:dyDescent="0.4">
      <c r="A56" s="77" t="s">
        <v>40</v>
      </c>
      <c r="B56" s="82" t="s">
        <v>41</v>
      </c>
      <c r="E56" s="205"/>
      <c r="F56" s="205"/>
      <c r="G56" s="205"/>
      <c r="H56" s="205"/>
      <c r="I56" s="28"/>
      <c r="J56" s="28"/>
      <c r="K56" s="28"/>
      <c r="O56" s="78"/>
      <c r="Y56" s="276" t="s">
        <v>420</v>
      </c>
      <c r="Z56" s="276"/>
    </row>
    <row r="57" spans="1:38" x14ac:dyDescent="0.4">
      <c r="A57" s="76"/>
      <c r="B57" s="91" t="s">
        <v>436</v>
      </c>
      <c r="N57" s="277"/>
      <c r="O57" s="278"/>
      <c r="P57" s="278"/>
      <c r="Q57" s="278" t="s">
        <v>256</v>
      </c>
      <c r="R57" s="278"/>
      <c r="S57" s="278"/>
      <c r="T57" s="278"/>
      <c r="U57" s="279"/>
      <c r="W57" s="80" t="s">
        <v>44</v>
      </c>
      <c r="AB57" s="80" t="s">
        <v>257</v>
      </c>
      <c r="AK57" s="235"/>
    </row>
    <row r="58" spans="1:38" x14ac:dyDescent="0.4">
      <c r="A58" s="76"/>
      <c r="B58" s="79" t="s">
        <v>45</v>
      </c>
      <c r="C58" s="80"/>
      <c r="D58" s="80"/>
      <c r="E58" s="80" t="str">
        <f>+E$13</f>
        <v>RT{1}</v>
      </c>
      <c r="F58" s="80" t="str">
        <f>+F$13</f>
        <v>RS{2}</v>
      </c>
      <c r="G58" s="80" t="str">
        <f>+G$13</f>
        <v>GS{3}</v>
      </c>
      <c r="H58" s="80" t="s">
        <v>46</v>
      </c>
      <c r="I58" s="80" t="str">
        <f>+I$13</f>
        <v>OL/SL</v>
      </c>
      <c r="J58" s="80" t="s">
        <v>44</v>
      </c>
      <c r="K58" s="80"/>
      <c r="L58" s="80"/>
      <c r="M58" s="80" t="s">
        <v>47</v>
      </c>
      <c r="N58" s="92"/>
      <c r="O58" s="80"/>
      <c r="P58" s="80"/>
      <c r="Q58" s="80" t="str">
        <f>+Q$13</f>
        <v>RT{1}</v>
      </c>
      <c r="R58" s="80" t="str">
        <f>+R$13</f>
        <v>RS{2}</v>
      </c>
      <c r="S58" s="80" t="str">
        <f>+S$13</f>
        <v>GS{3}</v>
      </c>
      <c r="T58" s="80" t="str">
        <f>+T$13</f>
        <v>GST</v>
      </c>
      <c r="U58" s="93" t="str">
        <f>+U$13</f>
        <v>OL/SL</v>
      </c>
      <c r="V58" s="80"/>
      <c r="W58" s="80" t="s">
        <v>48</v>
      </c>
      <c r="X58" s="80" t="s">
        <v>49</v>
      </c>
      <c r="Y58" s="80" t="s">
        <v>50</v>
      </c>
      <c r="Z58" s="280" t="s">
        <v>51</v>
      </c>
      <c r="AA58" s="80" t="s">
        <v>258</v>
      </c>
      <c r="AB58" s="80" t="s">
        <v>259</v>
      </c>
      <c r="AC58" s="80" t="s">
        <v>260</v>
      </c>
      <c r="AD58" s="108"/>
      <c r="AF58" s="80" t="s">
        <v>17</v>
      </c>
      <c r="AG58" s="80" t="s">
        <v>261</v>
      </c>
      <c r="AH58" s="80"/>
    </row>
    <row r="59" spans="1:38" x14ac:dyDescent="0.4">
      <c r="A59" s="76"/>
      <c r="M59" s="78" t="s">
        <v>55</v>
      </c>
      <c r="N59" s="281"/>
      <c r="U59" s="282"/>
      <c r="W59" s="212" t="s">
        <v>42</v>
      </c>
      <c r="X59" s="212" t="s">
        <v>42</v>
      </c>
      <c r="Y59" s="212" t="s">
        <v>42</v>
      </c>
      <c r="Z59" s="212" t="s">
        <v>42</v>
      </c>
      <c r="AA59" s="212" t="s">
        <v>262</v>
      </c>
      <c r="AB59" s="212" t="s">
        <v>262</v>
      </c>
      <c r="AC59" s="212" t="s">
        <v>262</v>
      </c>
      <c r="AD59" s="212"/>
      <c r="AF59" s="212" t="s">
        <v>262</v>
      </c>
      <c r="AG59" s="212" t="s">
        <v>262</v>
      </c>
    </row>
    <row r="60" spans="1:38" x14ac:dyDescent="0.4">
      <c r="A60" s="76"/>
      <c r="B60" s="235" t="s">
        <v>18</v>
      </c>
      <c r="C60" s="226"/>
      <c r="D60" s="226"/>
      <c r="E60" s="226">
        <f>ROUND(AA60,0)+ROUND($W60/1000,0)</f>
        <v>22142</v>
      </c>
      <c r="F60" s="226">
        <f>ROUND(AB60,0)+ROUND($Z60/1000,0)</f>
        <v>816952</v>
      </c>
      <c r="G60" s="226">
        <f t="shared" ref="G60:G71" si="3">ROUND(AC60,0)-ROUND(SUM($X60/1000),0)</f>
        <v>459648</v>
      </c>
      <c r="H60" s="226">
        <f>ROUND(AG60,0)</f>
        <v>14965</v>
      </c>
      <c r="I60" s="226">
        <f>ROUND(AF60,0)</f>
        <v>9591</v>
      </c>
      <c r="J60" s="226">
        <f t="shared" ref="J60:J72" si="4">SUM(E60:I60)</f>
        <v>1323298</v>
      </c>
      <c r="K60" s="226"/>
      <c r="L60" s="226"/>
      <c r="M60" s="226">
        <f t="shared" ref="M60:M71" si="5">E60-ROUND(SUM($W60/1000),0)</f>
        <v>21307</v>
      </c>
      <c r="N60" s="283" t="s">
        <v>56</v>
      </c>
      <c r="O60" s="284"/>
      <c r="P60" s="226"/>
      <c r="Q60" s="226">
        <f>SUM(E60:E64,E69:E71)</f>
        <v>134983</v>
      </c>
      <c r="R60" s="226">
        <f>SUM(F60:F64,F69:F71)</f>
        <v>5301746</v>
      </c>
      <c r="S60" s="226">
        <f>SUM(G60:G64,G69:G71)</f>
        <v>3476569</v>
      </c>
      <c r="T60" s="226">
        <f>SUM(H60:H64,H69:H71)</f>
        <v>125874</v>
      </c>
      <c r="U60" s="285">
        <f>SUM(I60:I64,I69:I71)</f>
        <v>76732</v>
      </c>
      <c r="V60" s="235">
        <v>44197</v>
      </c>
      <c r="W60" s="226">
        <v>835305.33333340008</v>
      </c>
      <c r="X60" s="226">
        <v>17031.333333400002</v>
      </c>
      <c r="Y60" s="226">
        <f t="shared" ref="Y60:Y71" si="6">W60-X60</f>
        <v>818274.00000000012</v>
      </c>
      <c r="Z60" s="226">
        <v>1765042.4267481999</v>
      </c>
      <c r="AA60" s="226">
        <v>21307.337336645403</v>
      </c>
      <c r="AB60" s="226">
        <v>815187.26223660598</v>
      </c>
      <c r="AC60" s="226">
        <v>459664.78718643199</v>
      </c>
      <c r="AD60" s="226"/>
      <c r="AF60" s="226">
        <v>9590.83</v>
      </c>
      <c r="AG60" s="226">
        <v>14964.75863927</v>
      </c>
      <c r="AH60" s="226"/>
      <c r="AI60" s="226"/>
      <c r="AK60" s="226"/>
      <c r="AL60" s="226"/>
    </row>
    <row r="61" spans="1:38" x14ac:dyDescent="0.4">
      <c r="A61" s="76"/>
      <c r="B61" s="235" t="s">
        <v>19</v>
      </c>
      <c r="C61" s="226"/>
      <c r="D61" s="226"/>
      <c r="E61" s="226">
        <f>ROUND(AA61,0)+ROUND($W61/1000,0)</f>
        <v>20768</v>
      </c>
      <c r="F61" s="226">
        <f>ROUND(AB61,0)+ROUND($Z61/1000,0)</f>
        <v>733590</v>
      </c>
      <c r="G61" s="226">
        <f t="shared" si="3"/>
        <v>454143</v>
      </c>
      <c r="H61" s="226">
        <f t="shared" ref="H61:H71" si="7">ROUND(AG61,0)</f>
        <v>15573</v>
      </c>
      <c r="I61" s="226">
        <f t="shared" ref="I61:I71" si="8">ROUND(AF61,0)</f>
        <v>9591</v>
      </c>
      <c r="J61" s="226">
        <f t="shared" si="4"/>
        <v>1233665</v>
      </c>
      <c r="K61" s="226"/>
      <c r="L61" s="226"/>
      <c r="M61" s="226">
        <f t="shared" si="5"/>
        <v>19994</v>
      </c>
      <c r="N61" s="283"/>
      <c r="O61" s="284"/>
      <c r="P61" s="212" t="s">
        <v>57</v>
      </c>
      <c r="Q61" s="226">
        <f>SUMPRODUCT(E33:E37,M60:M64)+SUMPRODUCT(E42:E44,M69:M71)</f>
        <v>45543.3194</v>
      </c>
      <c r="S61" s="219" t="s">
        <v>58</v>
      </c>
      <c r="T61" s="226">
        <f>SUMPRODUCT(H33:H37,H60:H64)+SUMPRODUCT(H42:H44,H69:H71)</f>
        <v>55261.285100000001</v>
      </c>
      <c r="U61" s="282">
        <f>T61/T60</f>
        <v>0.43902064842620397</v>
      </c>
      <c r="V61" s="235">
        <v>44228</v>
      </c>
      <c r="W61" s="226">
        <v>773514.33333319996</v>
      </c>
      <c r="X61" s="226">
        <v>16190.666666599998</v>
      </c>
      <c r="Y61" s="226">
        <f t="shared" si="6"/>
        <v>757323.66666659992</v>
      </c>
      <c r="Z61" s="226">
        <v>1695865.6894336999</v>
      </c>
      <c r="AA61" s="226">
        <v>19994.198345899702</v>
      </c>
      <c r="AB61" s="226">
        <v>731893.73229800106</v>
      </c>
      <c r="AC61" s="226">
        <v>454159.32081368298</v>
      </c>
      <c r="AD61" s="226"/>
      <c r="AF61" s="226">
        <v>9590.9599999999991</v>
      </c>
      <c r="AG61" s="226">
        <v>15572.745231027498</v>
      </c>
      <c r="AH61" s="226"/>
      <c r="AK61" s="226"/>
      <c r="AL61" s="226"/>
    </row>
    <row r="62" spans="1:38" x14ac:dyDescent="0.4">
      <c r="A62" s="76"/>
      <c r="B62" s="235" t="s">
        <v>20</v>
      </c>
      <c r="C62" s="226"/>
      <c r="D62" s="226"/>
      <c r="E62" s="226">
        <f>ROUND(AA62,0)+ROUND($W62/1000,0)</f>
        <v>19458</v>
      </c>
      <c r="F62" s="226">
        <f>ROUND(AB62,0)+ROUND($Z62/1000,0)</f>
        <v>694392</v>
      </c>
      <c r="G62" s="226">
        <f t="shared" si="3"/>
        <v>444625</v>
      </c>
      <c r="H62" s="226">
        <f t="shared" si="7"/>
        <v>14660</v>
      </c>
      <c r="I62" s="226">
        <f t="shared" si="8"/>
        <v>9591</v>
      </c>
      <c r="J62" s="226">
        <f t="shared" si="4"/>
        <v>1182726</v>
      </c>
      <c r="K62" s="226"/>
      <c r="L62" s="226"/>
      <c r="M62" s="226">
        <f t="shared" si="5"/>
        <v>18695</v>
      </c>
      <c r="N62" s="283"/>
      <c r="O62" s="284"/>
      <c r="P62" s="212" t="s">
        <v>59</v>
      </c>
      <c r="Q62" s="226">
        <f>SUMPRODUCT(Q33:Q37,M60:M64)+SUMPRODUCT(Q42:Q44,M69:M71)</f>
        <v>83561.680600000007</v>
      </c>
      <c r="S62" s="219" t="s">
        <v>60</v>
      </c>
      <c r="T62" s="226">
        <f>+T60-T61</f>
        <v>70612.714899999992</v>
      </c>
      <c r="U62" s="282"/>
      <c r="V62" s="235">
        <v>44256</v>
      </c>
      <c r="W62" s="226">
        <v>762524</v>
      </c>
      <c r="X62" s="226">
        <v>16807.333333299997</v>
      </c>
      <c r="Y62" s="226">
        <f t="shared" si="6"/>
        <v>745716.66666670004</v>
      </c>
      <c r="Z62" s="226">
        <v>1518576.2878121</v>
      </c>
      <c r="AA62" s="226">
        <v>18695.207039934798</v>
      </c>
      <c r="AB62" s="226">
        <v>692873.01100558601</v>
      </c>
      <c r="AC62" s="226">
        <v>444641.79602501</v>
      </c>
      <c r="AD62" s="226"/>
      <c r="AF62" s="226">
        <v>9591.0959999999995</v>
      </c>
      <c r="AG62" s="226">
        <v>14659.9337027743</v>
      </c>
      <c r="AH62" s="226"/>
      <c r="AK62" s="226"/>
      <c r="AL62" s="226"/>
    </row>
    <row r="63" spans="1:38" x14ac:dyDescent="0.4">
      <c r="A63" s="76"/>
      <c r="B63" s="235" t="s">
        <v>21</v>
      </c>
      <c r="C63" s="226"/>
      <c r="D63" s="226"/>
      <c r="E63" s="226">
        <f>ROUND(AA63,0)+ROUND($W63/1000,0)</f>
        <v>17588</v>
      </c>
      <c r="F63" s="226">
        <f>ROUND(AB63,0)+ROUND($Z63/1000,0)</f>
        <v>622304</v>
      </c>
      <c r="G63" s="226">
        <f t="shared" si="3"/>
        <v>422724</v>
      </c>
      <c r="H63" s="226">
        <f t="shared" si="7"/>
        <v>17191</v>
      </c>
      <c r="I63" s="226">
        <f t="shared" si="8"/>
        <v>9591</v>
      </c>
      <c r="J63" s="226">
        <f t="shared" si="4"/>
        <v>1089398</v>
      </c>
      <c r="K63" s="226"/>
      <c r="L63" s="226"/>
      <c r="M63" s="226">
        <f t="shared" si="5"/>
        <v>16806</v>
      </c>
      <c r="N63" s="281"/>
      <c r="P63" s="212" t="s">
        <v>263</v>
      </c>
      <c r="Q63" s="226">
        <f>SUM(W60:W64,W69:W71)/1000</f>
        <v>5877.0313333332997</v>
      </c>
      <c r="U63" s="282"/>
      <c r="V63" s="235">
        <v>44287</v>
      </c>
      <c r="W63" s="226">
        <v>782029.66666670004</v>
      </c>
      <c r="X63" s="226">
        <v>15679.666666699999</v>
      </c>
      <c r="Y63" s="226">
        <f t="shared" si="6"/>
        <v>766350</v>
      </c>
      <c r="Z63" s="226">
        <v>1254456.2899922</v>
      </c>
      <c r="AA63" s="226">
        <v>16805.6496854457</v>
      </c>
      <c r="AB63" s="226">
        <v>621050.23602456297</v>
      </c>
      <c r="AC63" s="226">
        <v>422740.47596152505</v>
      </c>
      <c r="AD63" s="226"/>
      <c r="AF63" s="226">
        <v>9591.2379999999994</v>
      </c>
      <c r="AG63" s="226">
        <v>17191.2134474013</v>
      </c>
      <c r="AH63" s="226"/>
      <c r="AK63" s="226"/>
      <c r="AL63" s="226"/>
    </row>
    <row r="64" spans="1:38" x14ac:dyDescent="0.4">
      <c r="A64" s="76"/>
      <c r="B64" s="235" t="s">
        <v>22</v>
      </c>
      <c r="C64" s="226"/>
      <c r="D64" s="226"/>
      <c r="E64" s="226">
        <f>ROUND(AA64,0)+ROUND($W64/1000,0)</f>
        <v>13518</v>
      </c>
      <c r="F64" s="226">
        <f>ROUND(AB64,0)+ROUND($Z64/1000,0)</f>
        <v>575300</v>
      </c>
      <c r="G64" s="226">
        <f t="shared" si="3"/>
        <v>402492</v>
      </c>
      <c r="H64" s="286">
        <f t="shared" si="7"/>
        <v>16274</v>
      </c>
      <c r="I64" s="226">
        <f t="shared" si="8"/>
        <v>9591</v>
      </c>
      <c r="J64" s="226">
        <f t="shared" si="4"/>
        <v>1017175</v>
      </c>
      <c r="K64" s="226"/>
      <c r="L64" s="226"/>
      <c r="M64" s="226">
        <f t="shared" si="5"/>
        <v>12764</v>
      </c>
      <c r="N64" s="283" t="s">
        <v>62</v>
      </c>
      <c r="O64" s="284"/>
      <c r="P64" s="226"/>
      <c r="Q64" s="226">
        <f>+SUM(E65:E68)</f>
        <v>66252</v>
      </c>
      <c r="R64" s="226">
        <f>+SUM(F65:F68)</f>
        <v>3771661</v>
      </c>
      <c r="S64" s="226">
        <f>+SUM(G65:G68)</f>
        <v>1976725</v>
      </c>
      <c r="T64" s="226">
        <f>+SUM(H65:H68)</f>
        <v>65745</v>
      </c>
      <c r="U64" s="285">
        <f>+SUM(I65:I68)</f>
        <v>38368</v>
      </c>
      <c r="V64" s="235">
        <v>44317</v>
      </c>
      <c r="W64" s="226">
        <v>753569.66666659992</v>
      </c>
      <c r="X64" s="226">
        <v>17137.333333299997</v>
      </c>
      <c r="Y64" s="226">
        <f t="shared" si="6"/>
        <v>736432.33333329996</v>
      </c>
      <c r="Z64" s="226">
        <v>942306.53541420004</v>
      </c>
      <c r="AA64" s="226">
        <v>12764.137949146099</v>
      </c>
      <c r="AB64" s="226">
        <v>574358.45418210607</v>
      </c>
      <c r="AC64" s="226">
        <v>402509.22522720497</v>
      </c>
      <c r="AD64" s="226"/>
      <c r="AF64" s="226">
        <v>9591.3860000000004</v>
      </c>
      <c r="AG64" s="226">
        <v>16274.114462861105</v>
      </c>
      <c r="AH64" s="226"/>
      <c r="AK64" s="226"/>
      <c r="AL64" s="226"/>
    </row>
    <row r="65" spans="1:38" x14ac:dyDescent="0.4">
      <c r="A65" s="76"/>
      <c r="B65" s="249" t="s">
        <v>23</v>
      </c>
      <c r="C65" s="287"/>
      <c r="D65" s="287"/>
      <c r="E65" s="287">
        <f>ROUND(AA65,0)+ROUND(SUM($W65+$Z65)/1000,0)</f>
        <v>14337</v>
      </c>
      <c r="F65" s="287">
        <f>ROUND(AB65,0)</f>
        <v>723824</v>
      </c>
      <c r="G65" s="287">
        <f t="shared" si="3"/>
        <v>450128</v>
      </c>
      <c r="H65" s="226">
        <f t="shared" si="7"/>
        <v>16885</v>
      </c>
      <c r="I65" s="287">
        <f t="shared" si="8"/>
        <v>9592</v>
      </c>
      <c r="J65" s="288">
        <f t="shared" si="4"/>
        <v>1214766</v>
      </c>
      <c r="K65" s="226"/>
      <c r="L65" s="226"/>
      <c r="M65" s="289">
        <f t="shared" si="5"/>
        <v>13623</v>
      </c>
      <c r="N65" s="212"/>
      <c r="O65" s="284"/>
      <c r="P65" s="290" t="s">
        <v>63</v>
      </c>
      <c r="Q65" s="226">
        <f>SUMPRODUCT(E38:E41,M65:M68)</f>
        <v>26180.203300000001</v>
      </c>
      <c r="R65" s="226">
        <f>Q$95/1000*T$95/(S$95/1000)</f>
        <v>2001184.2100860353</v>
      </c>
      <c r="S65" s="219" t="s">
        <v>58</v>
      </c>
      <c r="T65" s="226">
        <f>+SUMPRODUCT(H38:H41,H65:H68)</f>
        <v>30387.3639</v>
      </c>
      <c r="U65" s="291">
        <f>T65/T64</f>
        <v>0.46220037873602554</v>
      </c>
      <c r="V65" s="249">
        <v>44348</v>
      </c>
      <c r="W65" s="287">
        <v>714211.33333319984</v>
      </c>
      <c r="X65" s="287">
        <v>14597.666666599998</v>
      </c>
      <c r="Y65" s="287">
        <f t="shared" si="6"/>
        <v>699613.66666659981</v>
      </c>
      <c r="Z65" s="287">
        <v>958170.39933430008</v>
      </c>
      <c r="AA65" s="287">
        <v>12665.0697668962</v>
      </c>
      <c r="AB65" s="287">
        <v>723823.84716710309</v>
      </c>
      <c r="AC65" s="287">
        <v>450142.68585111602</v>
      </c>
      <c r="AD65" s="287"/>
      <c r="AE65" s="292"/>
      <c r="AF65" s="287">
        <v>9591.5409999999993</v>
      </c>
      <c r="AG65" s="287">
        <v>16885.067081431895</v>
      </c>
      <c r="AH65" s="287"/>
      <c r="AI65" s="292"/>
      <c r="AJ65" s="292"/>
      <c r="AK65" s="287"/>
      <c r="AL65" s="288"/>
    </row>
    <row r="66" spans="1:38" x14ac:dyDescent="0.4">
      <c r="A66" s="76"/>
      <c r="B66" s="253" t="s">
        <v>24</v>
      </c>
      <c r="C66" s="226"/>
      <c r="D66" s="226"/>
      <c r="E66" s="226">
        <f>ROUND(AA66,0)+ROUND(SUM($W66+$Z66)/1000,0)</f>
        <v>17436</v>
      </c>
      <c r="F66" s="226">
        <f>ROUND(AB66,0)</f>
        <v>1009661</v>
      </c>
      <c r="G66" s="226">
        <f t="shared" si="3"/>
        <v>506831</v>
      </c>
      <c r="H66" s="226">
        <f t="shared" si="7"/>
        <v>17003</v>
      </c>
      <c r="I66" s="226">
        <f t="shared" si="8"/>
        <v>9592</v>
      </c>
      <c r="J66" s="293">
        <f t="shared" si="4"/>
        <v>1560523</v>
      </c>
      <c r="K66" s="226"/>
      <c r="L66" s="226"/>
      <c r="M66" s="294">
        <f t="shared" si="5"/>
        <v>16819</v>
      </c>
      <c r="N66" s="212"/>
      <c r="O66" s="284"/>
      <c r="P66" s="290" t="s">
        <v>64</v>
      </c>
      <c r="Q66" s="226">
        <f>SUMPRODUCT(Q38:Q41,M65:M68)</f>
        <v>37624.796700000006</v>
      </c>
      <c r="R66" s="226">
        <f>R$95/1000*T$95/(S$95/1000)</f>
        <v>1770476.7899139645</v>
      </c>
      <c r="S66" s="219" t="s">
        <v>60</v>
      </c>
      <c r="T66" s="226">
        <f>+T64-T65</f>
        <v>35357.636100000003</v>
      </c>
      <c r="V66" s="253">
        <v>44378</v>
      </c>
      <c r="W66" s="226">
        <v>616807.99999989988</v>
      </c>
      <c r="X66" s="226">
        <v>13290</v>
      </c>
      <c r="Y66" s="226">
        <f t="shared" si="6"/>
        <v>603517.99999989988</v>
      </c>
      <c r="Z66" s="226">
        <v>1130406.3633818</v>
      </c>
      <c r="AA66" s="226">
        <v>15689.100177203498</v>
      </c>
      <c r="AB66" s="226">
        <v>1009660.73545941</v>
      </c>
      <c r="AC66" s="226">
        <v>506843.750143855</v>
      </c>
      <c r="AD66" s="226"/>
      <c r="AF66" s="226">
        <v>9591.7019999999993</v>
      </c>
      <c r="AG66" s="226">
        <v>17003.2696142565</v>
      </c>
      <c r="AH66" s="226"/>
      <c r="AK66" s="226"/>
      <c r="AL66" s="293"/>
    </row>
    <row r="67" spans="1:38" x14ac:dyDescent="0.4">
      <c r="A67" s="76"/>
      <c r="B67" s="253" t="s">
        <v>25</v>
      </c>
      <c r="C67" s="226"/>
      <c r="D67" s="226"/>
      <c r="E67" s="226">
        <f>ROUND(AA67,0)+ROUND(SUM($W67+$Z67)/1000,0)</f>
        <v>18793</v>
      </c>
      <c r="F67" s="226">
        <f>ROUND(AB67,0)</f>
        <v>1124675</v>
      </c>
      <c r="G67" s="226">
        <f t="shared" si="3"/>
        <v>519909</v>
      </c>
      <c r="H67" s="226">
        <f t="shared" si="7"/>
        <v>15989</v>
      </c>
      <c r="I67" s="226">
        <f t="shared" si="8"/>
        <v>9592</v>
      </c>
      <c r="J67" s="293">
        <f t="shared" si="4"/>
        <v>1688958</v>
      </c>
      <c r="K67" s="226"/>
      <c r="L67" s="226"/>
      <c r="M67" s="294">
        <f t="shared" si="5"/>
        <v>18245</v>
      </c>
      <c r="N67" s="295"/>
      <c r="O67" s="295"/>
      <c r="P67" s="212" t="s">
        <v>264</v>
      </c>
      <c r="Q67" s="226">
        <f>SUM(W65:W68)/1000</f>
        <v>2446.2373333329997</v>
      </c>
      <c r="R67" s="296"/>
      <c r="S67" s="295"/>
      <c r="T67" s="295"/>
      <c r="U67" s="295"/>
      <c r="V67" s="253">
        <v>44409</v>
      </c>
      <c r="W67" s="226">
        <v>547708.33333329996</v>
      </c>
      <c r="X67" s="226">
        <v>10810</v>
      </c>
      <c r="Y67" s="226">
        <f t="shared" si="6"/>
        <v>536898.33333329996</v>
      </c>
      <c r="Z67" s="226">
        <v>1189656.5865750001</v>
      </c>
      <c r="AA67" s="226">
        <v>17056.286055908298</v>
      </c>
      <c r="AB67" s="226">
        <v>1124674.67502419</v>
      </c>
      <c r="AC67" s="226">
        <v>519920.18315931503</v>
      </c>
      <c r="AD67" s="226"/>
      <c r="AF67" s="226">
        <v>9591.8690000000006</v>
      </c>
      <c r="AG67" s="226">
        <v>15988.8572911029</v>
      </c>
      <c r="AH67" s="226"/>
      <c r="AK67" s="226"/>
      <c r="AL67" s="293"/>
    </row>
    <row r="68" spans="1:38" x14ac:dyDescent="0.4">
      <c r="A68" s="76"/>
      <c r="B68" s="255" t="s">
        <v>26</v>
      </c>
      <c r="C68" s="286"/>
      <c r="D68" s="286"/>
      <c r="E68" s="286">
        <f>ROUND(AA68,0)+ROUND(SUM($W68+$Z68)/1000,0)</f>
        <v>15686</v>
      </c>
      <c r="F68" s="286">
        <f>ROUND(AB68,0)</f>
        <v>913501</v>
      </c>
      <c r="G68" s="286">
        <f t="shared" si="3"/>
        <v>499857</v>
      </c>
      <c r="H68" s="286">
        <f t="shared" si="7"/>
        <v>15868</v>
      </c>
      <c r="I68" s="286">
        <f t="shared" si="8"/>
        <v>9592</v>
      </c>
      <c r="J68" s="297">
        <f t="shared" si="4"/>
        <v>1454504</v>
      </c>
      <c r="K68" s="226"/>
      <c r="L68" s="226"/>
      <c r="M68" s="298">
        <f t="shared" si="5"/>
        <v>15118</v>
      </c>
      <c r="N68" s="299" t="s">
        <v>3</v>
      </c>
      <c r="O68" s="278"/>
      <c r="P68" s="278"/>
      <c r="Q68" s="278" t="s">
        <v>65</v>
      </c>
      <c r="R68" s="278"/>
      <c r="S68" s="278"/>
      <c r="T68" s="278"/>
      <c r="U68" s="278"/>
      <c r="V68" s="255">
        <v>44440</v>
      </c>
      <c r="W68" s="286">
        <v>567509.66666659992</v>
      </c>
      <c r="X68" s="286">
        <v>10542.333333300001</v>
      </c>
      <c r="Y68" s="286">
        <f t="shared" si="6"/>
        <v>556967.33333329996</v>
      </c>
      <c r="Z68" s="286">
        <v>978953.98121590004</v>
      </c>
      <c r="AA68" s="286">
        <v>14140.466268611901</v>
      </c>
      <c r="AB68" s="286">
        <v>913501.49541683996</v>
      </c>
      <c r="AC68" s="286">
        <v>499868.34554450499</v>
      </c>
      <c r="AD68" s="286"/>
      <c r="AE68" s="300"/>
      <c r="AF68" s="286">
        <v>9592.0439999999999</v>
      </c>
      <c r="AG68" s="286">
        <v>15868.042802519798</v>
      </c>
      <c r="AH68" s="286"/>
      <c r="AI68" s="301"/>
      <c r="AJ68" s="301"/>
      <c r="AK68" s="286"/>
      <c r="AL68" s="297"/>
    </row>
    <row r="69" spans="1:38" x14ac:dyDescent="0.4">
      <c r="A69" s="76"/>
      <c r="B69" s="235" t="s">
        <v>27</v>
      </c>
      <c r="C69" s="226"/>
      <c r="D69" s="226"/>
      <c r="E69" s="226">
        <f>ROUND(AA69,0)+ROUND($W69/1000,0)</f>
        <v>11029</v>
      </c>
      <c r="F69" s="226">
        <f>ROUND(AB69,0)+ROUND($Z69/1000,0)</f>
        <v>623412</v>
      </c>
      <c r="G69" s="226">
        <f t="shared" si="3"/>
        <v>431510</v>
      </c>
      <c r="H69" s="226">
        <f t="shared" si="7"/>
        <v>14974</v>
      </c>
      <c r="I69" s="226">
        <f t="shared" si="8"/>
        <v>9592</v>
      </c>
      <c r="J69" s="226">
        <f t="shared" si="4"/>
        <v>1090517</v>
      </c>
      <c r="K69" s="226"/>
      <c r="L69" s="226"/>
      <c r="M69" s="226">
        <f t="shared" si="5"/>
        <v>10446</v>
      </c>
      <c r="N69" s="92"/>
      <c r="O69" s="80"/>
      <c r="P69" s="80"/>
      <c r="Q69" s="80" t="str">
        <f>+Q$13</f>
        <v>RT{1}</v>
      </c>
      <c r="R69" s="80"/>
      <c r="S69" s="80"/>
      <c r="T69" s="80" t="str">
        <f>+T$13</f>
        <v>GST</v>
      </c>
      <c r="U69" s="93"/>
      <c r="V69" s="235">
        <v>44470</v>
      </c>
      <c r="W69" s="226">
        <v>583154.33333339996</v>
      </c>
      <c r="X69" s="226">
        <v>14313.333333400002</v>
      </c>
      <c r="Y69" s="226">
        <f t="shared" si="6"/>
        <v>568841</v>
      </c>
      <c r="Z69" s="226">
        <v>794832.41336419992</v>
      </c>
      <c r="AA69" s="226">
        <v>10445.763041697901</v>
      </c>
      <c r="AB69" s="226">
        <v>622617.13954493799</v>
      </c>
      <c r="AC69" s="226">
        <v>431523.89872447902</v>
      </c>
      <c r="AD69" s="226"/>
      <c r="AF69" s="226">
        <v>9592.223</v>
      </c>
      <c r="AG69" s="226">
        <v>14973.678700734197</v>
      </c>
      <c r="AH69" s="226"/>
      <c r="AK69" s="226"/>
      <c r="AL69" s="226"/>
    </row>
    <row r="70" spans="1:38" x14ac:dyDescent="0.4">
      <c r="A70" s="76"/>
      <c r="B70" s="235" t="s">
        <v>28</v>
      </c>
      <c r="C70" s="226"/>
      <c r="D70" s="226"/>
      <c r="E70" s="226">
        <f>ROUND(AA70,0)+ROUND($W70/1000,0)</f>
        <v>12570</v>
      </c>
      <c r="F70" s="226">
        <f>ROUND(AB70,0)+ROUND($Z70/1000,0)</f>
        <v>551904</v>
      </c>
      <c r="G70" s="226">
        <f t="shared" si="3"/>
        <v>406732</v>
      </c>
      <c r="H70" s="226">
        <f t="shared" si="7"/>
        <v>14557</v>
      </c>
      <c r="I70" s="226">
        <f t="shared" si="8"/>
        <v>9592</v>
      </c>
      <c r="J70" s="226">
        <f t="shared" si="4"/>
        <v>995355</v>
      </c>
      <c r="K70" s="226"/>
      <c r="L70" s="226"/>
      <c r="M70" s="226">
        <f t="shared" si="5"/>
        <v>11927</v>
      </c>
      <c r="N70" s="281"/>
      <c r="U70" s="282"/>
      <c r="V70" s="235">
        <v>44501</v>
      </c>
      <c r="W70" s="226">
        <v>642712.66666670004</v>
      </c>
      <c r="X70" s="226">
        <v>14152.666666700001</v>
      </c>
      <c r="Y70" s="226">
        <f t="shared" si="6"/>
        <v>628560</v>
      </c>
      <c r="Z70" s="226">
        <v>1012227.7764767</v>
      </c>
      <c r="AA70" s="226">
        <v>11927.184929167301</v>
      </c>
      <c r="AB70" s="226">
        <v>550891.622294356</v>
      </c>
      <c r="AC70" s="226">
        <v>406746.08655070502</v>
      </c>
      <c r="AD70" s="226"/>
      <c r="AF70" s="226">
        <v>9592.41</v>
      </c>
      <c r="AG70" s="226">
        <v>14556.948896446898</v>
      </c>
      <c r="AH70" s="226"/>
      <c r="AK70" s="226"/>
      <c r="AL70" s="226"/>
    </row>
    <row r="71" spans="1:38" x14ac:dyDescent="0.4">
      <c r="A71" s="76"/>
      <c r="B71" s="235" t="s">
        <v>29</v>
      </c>
      <c r="C71" s="226"/>
      <c r="D71" s="226"/>
      <c r="E71" s="226">
        <f>ROUND(AA71,0)+ROUND($W71/1000,0)</f>
        <v>17910</v>
      </c>
      <c r="F71" s="226">
        <f>ROUND(AB71,0)+ROUND($Z71/1000,0)</f>
        <v>683892</v>
      </c>
      <c r="G71" s="226">
        <f t="shared" si="3"/>
        <v>454695</v>
      </c>
      <c r="H71" s="226">
        <f t="shared" si="7"/>
        <v>17680</v>
      </c>
      <c r="I71" s="226">
        <f t="shared" si="8"/>
        <v>9593</v>
      </c>
      <c r="J71" s="226">
        <f t="shared" si="4"/>
        <v>1183770</v>
      </c>
      <c r="K71" s="226"/>
      <c r="L71" s="226"/>
      <c r="M71" s="105">
        <f t="shared" si="5"/>
        <v>17166</v>
      </c>
      <c r="N71" s="283"/>
      <c r="O71" s="284"/>
      <c r="P71" s="290" t="s">
        <v>66</v>
      </c>
      <c r="Q71" s="226">
        <f>SUM(E60:E64,E69:E71)</f>
        <v>134983</v>
      </c>
      <c r="R71" s="226"/>
      <c r="S71" s="290" t="s">
        <v>66</v>
      </c>
      <c r="T71" s="226">
        <f>SUM(H60:H64,H69:H71)</f>
        <v>125874</v>
      </c>
      <c r="U71" s="285"/>
      <c r="V71" s="235">
        <v>44531</v>
      </c>
      <c r="W71" s="105">
        <v>744221.33333329984</v>
      </c>
      <c r="X71" s="105">
        <v>15457.666666599998</v>
      </c>
      <c r="Y71" s="226">
        <f t="shared" si="6"/>
        <v>728763.66666669981</v>
      </c>
      <c r="Z71" s="105">
        <v>1464538.6911909999</v>
      </c>
      <c r="AA71" s="226">
        <v>17165.9125120233</v>
      </c>
      <c r="AB71" s="105">
        <v>682427.43413011893</v>
      </c>
      <c r="AC71" s="105">
        <v>454709.83738743002</v>
      </c>
      <c r="AD71" s="105"/>
      <c r="AE71" s="96"/>
      <c r="AF71" s="226">
        <v>9592.6010000000006</v>
      </c>
      <c r="AG71" s="226">
        <v>17680.264571419106</v>
      </c>
      <c r="AH71" s="226"/>
      <c r="AK71" s="226"/>
      <c r="AL71" s="226"/>
    </row>
    <row r="72" spans="1:38" x14ac:dyDescent="0.4">
      <c r="A72" s="76"/>
      <c r="B72" s="302" t="s">
        <v>44</v>
      </c>
      <c r="C72" s="226"/>
      <c r="D72" s="226"/>
      <c r="E72" s="226">
        <f>SUM(E60:E71)</f>
        <v>201235</v>
      </c>
      <c r="F72" s="226">
        <f>SUM(F60:F71)</f>
        <v>9073407</v>
      </c>
      <c r="G72" s="226">
        <f>SUM(G60:G71)</f>
        <v>5453294</v>
      </c>
      <c r="H72" s="226">
        <f>SUM(H60:H71)</f>
        <v>191619</v>
      </c>
      <c r="I72" s="226">
        <f>SUM(I60:I71)</f>
        <v>115100</v>
      </c>
      <c r="J72" s="226">
        <f t="shared" si="4"/>
        <v>15034655</v>
      </c>
      <c r="K72" s="226"/>
      <c r="L72" s="226"/>
      <c r="M72" s="226">
        <f>SUM(M60:M71)</f>
        <v>192910</v>
      </c>
      <c r="N72" s="283"/>
      <c r="O72" s="284"/>
      <c r="P72" s="212" t="s">
        <v>67</v>
      </c>
      <c r="Q72" s="226">
        <f>SUMPRODUCT(E15:E19,E60:E64)+SUMPRODUCT(E24:E26,E69:E71)</f>
        <v>64522.165199999996</v>
      </c>
      <c r="R72" s="211">
        <f>Q72/Q71</f>
        <v>0.47800215730869811</v>
      </c>
      <c r="S72" s="212" t="s">
        <v>58</v>
      </c>
      <c r="T72" s="226">
        <f>SUMPRODUCT(H15:H19,H60:H64)+SUMPRODUCT(H24:H26,H69:H71)</f>
        <v>69384.185700000002</v>
      </c>
      <c r="U72" s="282">
        <f>T72/T71</f>
        <v>0.55121935983602655</v>
      </c>
      <c r="W72" s="226">
        <f t="shared" ref="W72:AF72" si="9">SUM(W60:W71)</f>
        <v>8323268.6666662982</v>
      </c>
      <c r="X72" s="226">
        <f t="shared" si="9"/>
        <v>176009.9999999</v>
      </c>
      <c r="Y72" s="226">
        <f t="shared" si="9"/>
        <v>8147258.6666663997</v>
      </c>
      <c r="Z72" s="226">
        <f t="shared" si="9"/>
        <v>14705033.4409393</v>
      </c>
      <c r="AA72" s="226">
        <f t="shared" si="9"/>
        <v>188656.31310858007</v>
      </c>
      <c r="AB72" s="226">
        <f t="shared" si="9"/>
        <v>9062959.6447838172</v>
      </c>
      <c r="AC72" s="226">
        <f t="shared" si="9"/>
        <v>5453470.3925752603</v>
      </c>
      <c r="AD72" s="226"/>
      <c r="AE72" s="29"/>
      <c r="AF72" s="226">
        <f t="shared" si="9"/>
        <v>115099.9</v>
      </c>
      <c r="AG72" s="226">
        <f>SUM(AG60:AG71)</f>
        <v>191618.8944412455</v>
      </c>
      <c r="AH72" s="226"/>
      <c r="AK72" s="226"/>
      <c r="AL72" s="226"/>
    </row>
    <row r="73" spans="1:38" x14ac:dyDescent="0.4">
      <c r="A73" s="76"/>
      <c r="B73" s="235"/>
      <c r="G73" s="226" t="s">
        <v>265</v>
      </c>
      <c r="K73" s="303"/>
      <c r="N73" s="283"/>
      <c r="O73" s="284"/>
      <c r="P73" s="212" t="s">
        <v>68</v>
      </c>
      <c r="Q73" s="226">
        <f>+Q71-Q72</f>
        <v>70460.834800000011</v>
      </c>
      <c r="S73" s="212" t="s">
        <v>60</v>
      </c>
      <c r="T73" s="226">
        <f>+T71-T72</f>
        <v>56489.814299999998</v>
      </c>
      <c r="U73" s="282"/>
      <c r="AD73" s="226"/>
      <c r="AG73" s="226"/>
      <c r="AK73" s="226" t="s">
        <v>3</v>
      </c>
    </row>
    <row r="74" spans="1:38" ht="15.35" x14ac:dyDescent="0.5">
      <c r="A74" s="76"/>
      <c r="N74" s="281"/>
      <c r="U74" s="282"/>
      <c r="V74" s="219" t="s">
        <v>69</v>
      </c>
      <c r="W74" s="211" t="s">
        <v>70</v>
      </c>
      <c r="X74" s="211" t="s">
        <v>71</v>
      </c>
      <c r="Y74" s="211" t="s">
        <v>72</v>
      </c>
      <c r="Z74" s="211" t="s">
        <v>73</v>
      </c>
      <c r="AB74" s="211" t="s">
        <v>266</v>
      </c>
      <c r="AC74" s="211" t="s">
        <v>267</v>
      </c>
      <c r="AE74" s="86"/>
      <c r="AK74" s="226" t="s">
        <v>3</v>
      </c>
    </row>
    <row r="75" spans="1:38" x14ac:dyDescent="0.4">
      <c r="A75" s="77" t="s">
        <v>76</v>
      </c>
      <c r="B75" s="78" t="s">
        <v>77</v>
      </c>
      <c r="G75" s="94" t="s">
        <v>78</v>
      </c>
      <c r="H75" s="78" t="s">
        <v>79</v>
      </c>
      <c r="N75" s="283"/>
      <c r="O75" s="284"/>
      <c r="P75" s="212" t="s">
        <v>80</v>
      </c>
      <c r="Q75" s="226">
        <f>+SUM(E65:E68)</f>
        <v>66252</v>
      </c>
      <c r="R75" s="80"/>
      <c r="S75" s="212" t="s">
        <v>80</v>
      </c>
      <c r="T75" s="226">
        <f>+SUM(H65:H68)</f>
        <v>65745</v>
      </c>
      <c r="U75" s="93"/>
      <c r="V75" s="226">
        <f t="shared" ref="V75:V86" si="10">W60-W75</f>
        <v>320756.33333330014</v>
      </c>
      <c r="W75" s="226">
        <f t="shared" ref="W75:W86" si="11">SUM(X75:Z75)</f>
        <v>514549.00000009994</v>
      </c>
      <c r="X75" s="226">
        <v>14248.666666700001</v>
      </c>
      <c r="Y75" s="226">
        <v>495277.66666669998</v>
      </c>
      <c r="Z75" s="226">
        <v>5022.6666667</v>
      </c>
      <c r="AA75" s="226"/>
      <c r="AB75" s="304">
        <f t="shared" ref="AB75:AB86" si="12">(V75*$AA$94+W75*$AA$95)/1000</f>
        <v>186.02387553421275</v>
      </c>
      <c r="AC75" s="304">
        <f t="shared" ref="AC75:AC86" si="13">(W60/1000)-AB75</f>
        <v>649.28145779918736</v>
      </c>
      <c r="AG75" s="226"/>
    </row>
    <row r="76" spans="1:38" x14ac:dyDescent="0.4">
      <c r="A76" s="76"/>
      <c r="B76" s="79" t="s">
        <v>81</v>
      </c>
      <c r="H76" s="83" t="s">
        <v>82</v>
      </c>
      <c r="N76" s="283"/>
      <c r="O76" s="284"/>
      <c r="P76" s="212" t="s">
        <v>67</v>
      </c>
      <c r="Q76" s="226">
        <f>+SUMPRODUCT(E20:E23,E65:E68)</f>
        <v>33888.873700000004</v>
      </c>
      <c r="R76" s="211">
        <f>Q76/Q75</f>
        <v>0.51151472710257806</v>
      </c>
      <c r="S76" s="219" t="s">
        <v>58</v>
      </c>
      <c r="T76" s="226">
        <f>+SUMPRODUCT(H20:H23,H65:H68)</f>
        <v>36853.0075</v>
      </c>
      <c r="U76" s="282">
        <f>T76/T75</f>
        <v>0.5605446421781124</v>
      </c>
      <c r="V76" s="226">
        <f t="shared" si="10"/>
        <v>297719.66666659992</v>
      </c>
      <c r="W76" s="226">
        <f t="shared" si="11"/>
        <v>475794.66666660004</v>
      </c>
      <c r="X76" s="226">
        <v>12657.333333299999</v>
      </c>
      <c r="Y76" s="226">
        <v>458632.33333330002</v>
      </c>
      <c r="Z76" s="226">
        <v>4505</v>
      </c>
      <c r="AA76" s="226"/>
      <c r="AB76" s="304">
        <f t="shared" si="12"/>
        <v>172.1466422466151</v>
      </c>
      <c r="AC76" s="304">
        <f t="shared" si="13"/>
        <v>601.36769108658484</v>
      </c>
    </row>
    <row r="77" spans="1:38" x14ac:dyDescent="0.4">
      <c r="A77" s="76"/>
      <c r="D77" s="80" t="s">
        <v>268</v>
      </c>
      <c r="G77" s="80"/>
      <c r="N77" s="305"/>
      <c r="O77" s="306"/>
      <c r="P77" s="307" t="s">
        <v>68</v>
      </c>
      <c r="Q77" s="296">
        <f>Q75-Q76</f>
        <v>32363.126299999996</v>
      </c>
      <c r="R77" s="295"/>
      <c r="S77" s="308" t="s">
        <v>60</v>
      </c>
      <c r="T77" s="296">
        <f>T75-T76</f>
        <v>28891.9925</v>
      </c>
      <c r="U77" s="309"/>
      <c r="V77" s="226">
        <f t="shared" si="10"/>
        <v>292376.33333330002</v>
      </c>
      <c r="W77" s="226">
        <f t="shared" si="11"/>
        <v>470147.66666669998</v>
      </c>
      <c r="X77" s="226">
        <v>13409.333333299999</v>
      </c>
      <c r="Y77" s="226">
        <v>451983.66666669998</v>
      </c>
      <c r="Z77" s="226">
        <v>4754.6666667</v>
      </c>
      <c r="AA77" s="226"/>
      <c r="AB77" s="304">
        <f t="shared" si="12"/>
        <v>169.88805288462098</v>
      </c>
      <c r="AC77" s="304">
        <f t="shared" si="13"/>
        <v>592.63594711537905</v>
      </c>
      <c r="AD77" s="226"/>
    </row>
    <row r="78" spans="1:38" x14ac:dyDescent="0.4">
      <c r="A78" s="76"/>
      <c r="C78" s="80" t="s">
        <v>85</v>
      </c>
      <c r="D78" s="80" t="s">
        <v>269</v>
      </c>
      <c r="E78" s="80" t="s">
        <v>86</v>
      </c>
      <c r="H78" s="80" t="s">
        <v>85</v>
      </c>
      <c r="I78" s="80" t="s">
        <v>86</v>
      </c>
      <c r="N78" s="281"/>
      <c r="Q78" s="211" t="s">
        <v>87</v>
      </c>
      <c r="U78" s="282"/>
      <c r="V78" s="226">
        <f t="shared" si="10"/>
        <v>305576.00000000006</v>
      </c>
      <c r="W78" s="226">
        <f t="shared" si="11"/>
        <v>476453.66666669998</v>
      </c>
      <c r="X78" s="226">
        <v>12400</v>
      </c>
      <c r="Y78" s="226">
        <v>459671.66666669998</v>
      </c>
      <c r="Z78" s="226">
        <v>4382</v>
      </c>
      <c r="AA78" s="226"/>
      <c r="AB78" s="304">
        <f t="shared" si="12"/>
        <v>173.27126182845888</v>
      </c>
      <c r="AC78" s="304">
        <f t="shared" si="13"/>
        <v>608.75840483824118</v>
      </c>
    </row>
    <row r="79" spans="1:38" x14ac:dyDescent="0.4">
      <c r="A79" s="76"/>
      <c r="B79" s="235" t="s">
        <v>18</v>
      </c>
      <c r="C79" s="310">
        <v>44.35</v>
      </c>
      <c r="D79" s="311">
        <v>0.78959999999999997</v>
      </c>
      <c r="E79" s="312">
        <f t="shared" ref="E79:E90" si="14">ROUND(C79*D79,3)</f>
        <v>35.018999999999998</v>
      </c>
      <c r="H79" s="28">
        <v>0.92</v>
      </c>
      <c r="I79" s="28">
        <v>0.97</v>
      </c>
      <c r="N79" s="92"/>
      <c r="O79" s="80"/>
      <c r="P79" s="80"/>
      <c r="Q79" s="80" t="str">
        <f>+Q$13</f>
        <v>RT{1}</v>
      </c>
      <c r="R79" s="80"/>
      <c r="S79" s="80"/>
      <c r="T79" s="80" t="str">
        <f>+T$13</f>
        <v>GST</v>
      </c>
      <c r="U79" s="93"/>
      <c r="V79" s="226">
        <f t="shared" si="10"/>
        <v>297743.3333332999</v>
      </c>
      <c r="W79" s="226">
        <f t="shared" si="11"/>
        <v>455826.33333330002</v>
      </c>
      <c r="X79" s="226">
        <v>13980.333333299999</v>
      </c>
      <c r="Y79" s="226">
        <v>437747</v>
      </c>
      <c r="Z79" s="226">
        <v>4099</v>
      </c>
      <c r="AA79" s="226"/>
      <c r="AB79" s="304">
        <f t="shared" si="12"/>
        <v>166.41222107752</v>
      </c>
      <c r="AC79" s="304">
        <f t="shared" si="13"/>
        <v>587.15744558907988</v>
      </c>
    </row>
    <row r="80" spans="1:38" x14ac:dyDescent="0.4">
      <c r="A80" s="76"/>
      <c r="B80" s="235" t="s">
        <v>19</v>
      </c>
      <c r="C80" s="310">
        <v>41.8</v>
      </c>
      <c r="D80" s="311">
        <f>+$D$79</f>
        <v>0.78959999999999997</v>
      </c>
      <c r="E80" s="312">
        <f t="shared" si="14"/>
        <v>33.005000000000003</v>
      </c>
      <c r="H80" s="28">
        <f>H79</f>
        <v>0.92</v>
      </c>
      <c r="I80" s="28">
        <f>I79</f>
        <v>0.97</v>
      </c>
      <c r="N80" s="281"/>
      <c r="U80" s="282"/>
      <c r="V80" s="226">
        <f t="shared" si="10"/>
        <v>289509.66666659981</v>
      </c>
      <c r="W80" s="226">
        <f t="shared" si="11"/>
        <v>424701.66666660004</v>
      </c>
      <c r="X80" s="226">
        <v>11440.333333299999</v>
      </c>
      <c r="Y80" s="226">
        <v>409653</v>
      </c>
      <c r="Z80" s="226">
        <v>3608.3333333</v>
      </c>
      <c r="AA80" s="226"/>
      <c r="AB80" s="304">
        <f t="shared" si="12"/>
        <v>156.48938148654184</v>
      </c>
      <c r="AC80" s="304">
        <f t="shared" si="13"/>
        <v>557.72195184665793</v>
      </c>
    </row>
    <row r="81" spans="1:29" x14ac:dyDescent="0.4">
      <c r="A81" s="76"/>
      <c r="B81" s="235" t="s">
        <v>20</v>
      </c>
      <c r="C81" s="310">
        <v>33.9</v>
      </c>
      <c r="D81" s="311">
        <f>+$D$79</f>
        <v>0.78959999999999997</v>
      </c>
      <c r="E81" s="312">
        <f t="shared" si="14"/>
        <v>26.766999999999999</v>
      </c>
      <c r="H81" s="28">
        <f>H79</f>
        <v>0.92</v>
      </c>
      <c r="I81" s="28">
        <f>I79</f>
        <v>0.97</v>
      </c>
      <c r="N81" s="283"/>
      <c r="O81" s="284"/>
      <c r="P81" s="290" t="s">
        <v>88</v>
      </c>
      <c r="Q81" s="226"/>
      <c r="R81" s="226"/>
      <c r="S81" s="290" t="s">
        <v>88</v>
      </c>
      <c r="T81" s="226"/>
      <c r="U81" s="285"/>
      <c r="V81" s="226">
        <f t="shared" si="10"/>
        <v>253672.33333329984</v>
      </c>
      <c r="W81" s="226">
        <f t="shared" si="11"/>
        <v>363135.66666660004</v>
      </c>
      <c r="X81" s="226">
        <v>10803.333333299999</v>
      </c>
      <c r="Y81" s="226">
        <v>349101</v>
      </c>
      <c r="Z81" s="226">
        <v>3231.3333333</v>
      </c>
      <c r="AA81" s="226"/>
      <c r="AB81" s="304">
        <f t="shared" si="12"/>
        <v>134.53408310437243</v>
      </c>
      <c r="AC81" s="304">
        <f t="shared" si="13"/>
        <v>482.27391689552741</v>
      </c>
    </row>
    <row r="82" spans="1:29" x14ac:dyDescent="0.4">
      <c r="A82" s="76"/>
      <c r="B82" s="235" t="s">
        <v>21</v>
      </c>
      <c r="C82" s="310">
        <v>29.75</v>
      </c>
      <c r="D82" s="311">
        <f>+$D$79</f>
        <v>0.78959999999999997</v>
      </c>
      <c r="E82" s="312">
        <f t="shared" si="14"/>
        <v>23.491</v>
      </c>
      <c r="H82" s="28">
        <f>H79</f>
        <v>0.92</v>
      </c>
      <c r="I82" s="28">
        <f>I79</f>
        <v>0.97</v>
      </c>
      <c r="N82" s="283"/>
      <c r="O82" s="284"/>
      <c r="P82" s="212" t="s">
        <v>89</v>
      </c>
      <c r="Q82" s="226">
        <f>Q72-Q61</f>
        <v>18978.845799999996</v>
      </c>
      <c r="S82" s="212" t="s">
        <v>89</v>
      </c>
      <c r="T82" s="226">
        <f>T72-T61</f>
        <v>14122.900600000001</v>
      </c>
      <c r="U82" s="282"/>
      <c r="V82" s="226">
        <f t="shared" si="10"/>
        <v>224627.99999999994</v>
      </c>
      <c r="W82" s="226">
        <f t="shared" si="11"/>
        <v>323080.33333330002</v>
      </c>
      <c r="X82" s="226">
        <v>8673.3333332999991</v>
      </c>
      <c r="Y82" s="226">
        <v>311620</v>
      </c>
      <c r="Z82" s="226">
        <v>2787</v>
      </c>
      <c r="AA82" s="226"/>
      <c r="AB82" s="304">
        <f t="shared" si="12"/>
        <v>119.56785218253009</v>
      </c>
      <c r="AC82" s="304">
        <f t="shared" si="13"/>
        <v>428.14048115076986</v>
      </c>
    </row>
    <row r="83" spans="1:29" x14ac:dyDescent="0.4">
      <c r="A83" s="76"/>
      <c r="B83" s="235" t="s">
        <v>22</v>
      </c>
      <c r="C83" s="310">
        <v>30.25</v>
      </c>
      <c r="D83" s="311">
        <f>+$D$79</f>
        <v>0.78959999999999997</v>
      </c>
      <c r="E83" s="312">
        <f t="shared" si="14"/>
        <v>23.885000000000002</v>
      </c>
      <c r="H83" s="28">
        <f>H79</f>
        <v>0.92</v>
      </c>
      <c r="I83" s="28">
        <f>I79</f>
        <v>0.97</v>
      </c>
      <c r="N83" s="283"/>
      <c r="O83" s="284"/>
      <c r="P83" s="212" t="s">
        <v>90</v>
      </c>
      <c r="Q83" s="313">
        <f>Q82*(E117-E118)</f>
        <v>114554.60342874873</v>
      </c>
      <c r="S83" s="212" t="s">
        <v>90</v>
      </c>
      <c r="T83" s="313">
        <f>T82*(H117-H118)</f>
        <v>81939.352307304289</v>
      </c>
      <c r="U83" s="282"/>
      <c r="V83" s="226">
        <f t="shared" si="10"/>
        <v>237751.99999999988</v>
      </c>
      <c r="W83" s="226">
        <f t="shared" si="11"/>
        <v>329757.66666660004</v>
      </c>
      <c r="X83" s="226">
        <v>8150.3333333</v>
      </c>
      <c r="Y83" s="226">
        <v>318782.33333330002</v>
      </c>
      <c r="Z83" s="226">
        <v>2825</v>
      </c>
      <c r="AA83" s="226"/>
      <c r="AB83" s="304">
        <f t="shared" si="12"/>
        <v>123.04874351341182</v>
      </c>
      <c r="AC83" s="304">
        <f t="shared" si="13"/>
        <v>444.46092315318816</v>
      </c>
    </row>
    <row r="84" spans="1:29" x14ac:dyDescent="0.4">
      <c r="A84" s="76"/>
      <c r="B84" s="235" t="s">
        <v>23</v>
      </c>
      <c r="C84" s="314">
        <v>30.4</v>
      </c>
      <c r="D84" s="315">
        <v>0.66969999999999996</v>
      </c>
      <c r="E84" s="316">
        <f t="shared" si="14"/>
        <v>20.359000000000002</v>
      </c>
      <c r="H84" s="317">
        <v>0.89</v>
      </c>
      <c r="I84" s="318">
        <v>0.89</v>
      </c>
      <c r="N84" s="281"/>
      <c r="Q84" s="319"/>
      <c r="T84" s="319"/>
      <c r="U84" s="282"/>
      <c r="V84" s="226">
        <f t="shared" si="10"/>
        <v>241361.66666669998</v>
      </c>
      <c r="W84" s="226">
        <f t="shared" si="11"/>
        <v>341792.66666669998</v>
      </c>
      <c r="X84" s="226">
        <v>11773.666666700001</v>
      </c>
      <c r="Y84" s="226">
        <v>326971.66666669998</v>
      </c>
      <c r="Z84" s="226">
        <v>3047.3333333</v>
      </c>
      <c r="AA84" s="226"/>
      <c r="AB84" s="304">
        <f t="shared" si="12"/>
        <v>126.93632402321253</v>
      </c>
      <c r="AC84" s="304">
        <f t="shared" si="13"/>
        <v>456.21800931018748</v>
      </c>
    </row>
    <row r="85" spans="1:29" x14ac:dyDescent="0.4">
      <c r="A85" s="76"/>
      <c r="B85" s="235" t="s">
        <v>24</v>
      </c>
      <c r="C85" s="320">
        <v>36.549999999999997</v>
      </c>
      <c r="D85" s="311">
        <f>+$D$84</f>
        <v>0.66969999999999996</v>
      </c>
      <c r="E85" s="321">
        <f t="shared" si="14"/>
        <v>24.478000000000002</v>
      </c>
      <c r="H85" s="322">
        <f t="shared" ref="H85:I87" si="15">H84</f>
        <v>0.89</v>
      </c>
      <c r="I85" s="323">
        <f t="shared" si="15"/>
        <v>0.89</v>
      </c>
      <c r="N85" s="283"/>
      <c r="O85" s="284"/>
      <c r="P85" s="212" t="s">
        <v>91</v>
      </c>
      <c r="Q85" s="319"/>
      <c r="R85" s="80"/>
      <c r="S85" s="212" t="s">
        <v>91</v>
      </c>
      <c r="T85" s="319"/>
      <c r="U85" s="93"/>
      <c r="V85" s="226">
        <f t="shared" si="10"/>
        <v>260765.33333330008</v>
      </c>
      <c r="W85" s="226">
        <f t="shared" si="11"/>
        <v>381947.33333339996</v>
      </c>
      <c r="X85" s="226">
        <v>11407.666666700001</v>
      </c>
      <c r="Y85" s="226">
        <v>367055</v>
      </c>
      <c r="Z85" s="226">
        <v>3484.6666667</v>
      </c>
      <c r="AA85" s="226"/>
      <c r="AB85" s="304">
        <f t="shared" si="12"/>
        <v>140.78339667278684</v>
      </c>
      <c r="AC85" s="304">
        <f t="shared" si="13"/>
        <v>501.92926999391318</v>
      </c>
    </row>
    <row r="86" spans="1:29" x14ac:dyDescent="0.4">
      <c r="A86" s="76"/>
      <c r="B86" s="235" t="s">
        <v>25</v>
      </c>
      <c r="C86" s="320">
        <v>33.450000000000003</v>
      </c>
      <c r="D86" s="311">
        <f>+$D$84</f>
        <v>0.66969999999999996</v>
      </c>
      <c r="E86" s="321">
        <f t="shared" si="14"/>
        <v>22.401</v>
      </c>
      <c r="H86" s="322">
        <f t="shared" si="15"/>
        <v>0.89</v>
      </c>
      <c r="I86" s="323">
        <f t="shared" si="15"/>
        <v>0.89</v>
      </c>
      <c r="N86" s="283"/>
      <c r="O86" s="284"/>
      <c r="P86" s="212" t="s">
        <v>89</v>
      </c>
      <c r="Q86" s="226">
        <f>Q76-Q65</f>
        <v>7708.6704000000027</v>
      </c>
      <c r="S86" s="212" t="s">
        <v>89</v>
      </c>
      <c r="T86" s="226">
        <f>T76-T65</f>
        <v>6465.6435999999994</v>
      </c>
      <c r="U86" s="282"/>
      <c r="V86" s="226">
        <f t="shared" si="10"/>
        <v>292150.99999999983</v>
      </c>
      <c r="W86" s="226">
        <f t="shared" si="11"/>
        <v>452070.33333330002</v>
      </c>
      <c r="X86" s="105">
        <v>12416.333333299999</v>
      </c>
      <c r="Y86" s="105">
        <v>435429.66666669998</v>
      </c>
      <c r="Z86" s="105">
        <v>4224.3333333</v>
      </c>
      <c r="AA86" s="226"/>
      <c r="AB86" s="304">
        <f t="shared" si="12"/>
        <v>164.66730502135789</v>
      </c>
      <c r="AC86" s="304">
        <f t="shared" si="13"/>
        <v>579.55402831194192</v>
      </c>
    </row>
    <row r="87" spans="1:29" x14ac:dyDescent="0.4">
      <c r="A87" s="76"/>
      <c r="B87" s="235" t="s">
        <v>26</v>
      </c>
      <c r="C87" s="324">
        <v>31.7</v>
      </c>
      <c r="D87" s="325">
        <f>+$D$84</f>
        <v>0.66969999999999996</v>
      </c>
      <c r="E87" s="326">
        <f t="shared" si="14"/>
        <v>21.228999999999999</v>
      </c>
      <c r="H87" s="327">
        <f t="shared" si="15"/>
        <v>0.89</v>
      </c>
      <c r="I87" s="328">
        <f t="shared" si="15"/>
        <v>0.89</v>
      </c>
      <c r="N87" s="305"/>
      <c r="O87" s="306"/>
      <c r="P87" s="307" t="s">
        <v>90</v>
      </c>
      <c r="Q87" s="329">
        <f>Q86*(E113-E114)</f>
        <v>84538.223153484505</v>
      </c>
      <c r="R87" s="295"/>
      <c r="S87" s="307" t="s">
        <v>90</v>
      </c>
      <c r="T87" s="329">
        <f>T86*(H113-H114)</f>
        <v>70031.504159060787</v>
      </c>
      <c r="U87" s="309"/>
      <c r="V87" s="226">
        <f>SUM(V75:V86)</f>
        <v>3314011.6666663997</v>
      </c>
      <c r="W87" s="226">
        <f>SUM(W75:W86)</f>
        <v>5009256.9999999003</v>
      </c>
      <c r="X87" s="226">
        <f>SUM(X75:X86)</f>
        <v>141360.66666650001</v>
      </c>
      <c r="Y87" s="226">
        <f>SUM(Y75:Y86)</f>
        <v>4821925.0000000997</v>
      </c>
      <c r="Z87" s="226">
        <f>SUM(Z75:Z86)</f>
        <v>45971.333333299997</v>
      </c>
      <c r="AA87" s="226"/>
      <c r="AB87" s="226">
        <f>SUM(AB75:AB86)</f>
        <v>1833.7691395756412</v>
      </c>
      <c r="AC87" s="226">
        <f>SUM(AC75:AC86)</f>
        <v>6489.4995270906584</v>
      </c>
    </row>
    <row r="88" spans="1:29" x14ac:dyDescent="0.4">
      <c r="A88" s="76"/>
      <c r="B88" s="235" t="s">
        <v>27</v>
      </c>
      <c r="C88" s="310">
        <v>30.15</v>
      </c>
      <c r="D88" s="311">
        <f>+$D$79</f>
        <v>0.78959999999999997</v>
      </c>
      <c r="E88" s="312">
        <f t="shared" si="14"/>
        <v>23.806000000000001</v>
      </c>
      <c r="H88" s="28">
        <f>H79</f>
        <v>0.92</v>
      </c>
      <c r="I88" s="28">
        <f>I79</f>
        <v>0.97</v>
      </c>
    </row>
    <row r="89" spans="1:29" x14ac:dyDescent="0.4">
      <c r="A89" s="76"/>
      <c r="B89" s="235" t="s">
        <v>28</v>
      </c>
      <c r="C89" s="310">
        <v>30.45</v>
      </c>
      <c r="D89" s="311">
        <f>+$D$79</f>
        <v>0.78959999999999997</v>
      </c>
      <c r="E89" s="312">
        <f t="shared" si="14"/>
        <v>24.042999999999999</v>
      </c>
      <c r="H89" s="28">
        <f>H79</f>
        <v>0.92</v>
      </c>
      <c r="I89" s="28">
        <f>I79</f>
        <v>0.97</v>
      </c>
    </row>
    <row r="90" spans="1:29" x14ac:dyDescent="0.4">
      <c r="A90" s="76"/>
      <c r="B90" s="235" t="s">
        <v>29</v>
      </c>
      <c r="C90" s="310">
        <v>32.549999999999997</v>
      </c>
      <c r="D90" s="311">
        <f>+$D$79</f>
        <v>0.78959999999999997</v>
      </c>
      <c r="E90" s="312">
        <f t="shared" si="14"/>
        <v>25.701000000000001</v>
      </c>
      <c r="G90" s="28"/>
      <c r="H90" s="28">
        <f>H79</f>
        <v>0.92</v>
      </c>
      <c r="I90" s="28">
        <f>I79</f>
        <v>0.97</v>
      </c>
    </row>
    <row r="91" spans="1:29" x14ac:dyDescent="0.4">
      <c r="A91" s="76"/>
      <c r="B91" s="235"/>
      <c r="C91" s="310"/>
      <c r="D91" s="310"/>
      <c r="G91" s="28"/>
      <c r="L91" s="28"/>
      <c r="X91" s="211" t="s">
        <v>92</v>
      </c>
    </row>
    <row r="92" spans="1:29" x14ac:dyDescent="0.4">
      <c r="A92" s="77" t="s">
        <v>93</v>
      </c>
      <c r="B92" s="82" t="s">
        <v>94</v>
      </c>
      <c r="C92" s="80"/>
      <c r="D92" s="80"/>
      <c r="E92" s="80" t="str">
        <f>+E$13</f>
        <v>RT{1}</v>
      </c>
      <c r="F92" s="80" t="str">
        <f>+F$13</f>
        <v>RS{2}</v>
      </c>
      <c r="G92" s="80" t="str">
        <f>+G$13</f>
        <v>GS{3}</v>
      </c>
      <c r="H92" s="80" t="str">
        <f>+H$58</f>
        <v>GST {4}</v>
      </c>
      <c r="I92" s="80" t="str">
        <f>+I$13</f>
        <v>OL/SL</v>
      </c>
      <c r="J92" s="80"/>
      <c r="K92" s="80"/>
      <c r="L92" s="80"/>
      <c r="M92" s="80"/>
      <c r="P92" s="78">
        <v>2021</v>
      </c>
      <c r="Q92" s="211" t="s">
        <v>270</v>
      </c>
      <c r="R92" s="211" t="s">
        <v>271</v>
      </c>
      <c r="S92" s="211" t="s">
        <v>272</v>
      </c>
      <c r="X92" s="211" t="s">
        <v>95</v>
      </c>
      <c r="Y92" s="219" t="s">
        <v>44</v>
      </c>
      <c r="Z92" s="219" t="s">
        <v>44</v>
      </c>
      <c r="AA92" s="219" t="s">
        <v>96</v>
      </c>
    </row>
    <row r="93" spans="1:29" x14ac:dyDescent="0.4">
      <c r="A93" s="76"/>
      <c r="C93" s="219"/>
      <c r="D93" s="219"/>
      <c r="E93" s="219"/>
      <c r="F93" s="219"/>
      <c r="P93" s="211" t="s">
        <v>53</v>
      </c>
      <c r="Q93" s="226">
        <v>1850493877.8988981</v>
      </c>
      <c r="R93" s="226">
        <v>1682945335</v>
      </c>
      <c r="S93" s="226">
        <f>SUM(Q93:R93)</f>
        <v>3533439212.8988981</v>
      </c>
      <c r="X93" s="95" t="s">
        <v>97</v>
      </c>
      <c r="Y93" s="96" t="s">
        <v>96</v>
      </c>
      <c r="Z93" s="96" t="s">
        <v>98</v>
      </c>
      <c r="AA93" s="96" t="s">
        <v>99</v>
      </c>
    </row>
    <row r="94" spans="1:29" x14ac:dyDescent="0.4">
      <c r="A94" s="76"/>
      <c r="B94" s="235" t="s">
        <v>273</v>
      </c>
      <c r="C94" s="330"/>
      <c r="D94" s="330"/>
      <c r="E94" s="330">
        <v>0.105545</v>
      </c>
      <c r="F94" s="330">
        <v>0.105545</v>
      </c>
      <c r="G94" s="330">
        <v>0.105545</v>
      </c>
      <c r="H94" s="330">
        <v>0.105545</v>
      </c>
      <c r="I94" s="330">
        <v>0.105545</v>
      </c>
      <c r="J94" s="330"/>
      <c r="K94" s="330"/>
      <c r="L94" s="330"/>
      <c r="M94" s="330"/>
      <c r="P94" s="211" t="s">
        <v>274</v>
      </c>
      <c r="Q94" s="226">
        <v>150690201.16864759</v>
      </c>
      <c r="R94" s="226">
        <v>87531339</v>
      </c>
      <c r="S94" s="226">
        <f>SUM(Q94:R94)</f>
        <v>238221540.16864759</v>
      </c>
      <c r="W94" s="211" t="s">
        <v>69</v>
      </c>
      <c r="X94" s="211">
        <v>4</v>
      </c>
      <c r="Y94" s="211">
        <f>X94*365*5/7</f>
        <v>1042.8571428571429</v>
      </c>
      <c r="Z94" s="211">
        <f>365*24</f>
        <v>8760</v>
      </c>
      <c r="AA94" s="211">
        <f>Y94/Z94</f>
        <v>0.11904761904761905</v>
      </c>
    </row>
    <row r="95" spans="1:29" x14ac:dyDescent="0.4">
      <c r="A95" s="76"/>
      <c r="B95" s="211" t="s">
        <v>275</v>
      </c>
      <c r="C95" s="291"/>
      <c r="D95" s="291"/>
      <c r="E95" s="291">
        <f>1/(1-E94)</f>
        <v>1.1179992285805322</v>
      </c>
      <c r="F95" s="291">
        <f>1/(1-F94)</f>
        <v>1.1179992285805322</v>
      </c>
      <c r="G95" s="291">
        <f>1/(1-G94)</f>
        <v>1.1179992285805322</v>
      </c>
      <c r="H95" s="291">
        <f>1/(1-H94)</f>
        <v>1.1179992285805322</v>
      </c>
      <c r="I95" s="291">
        <f>1/(1-I94)</f>
        <v>1.1179992285805322</v>
      </c>
      <c r="J95" s="291"/>
      <c r="K95" s="291"/>
      <c r="L95" s="291"/>
      <c r="M95" s="291"/>
      <c r="P95" s="211" t="s">
        <v>276</v>
      </c>
      <c r="Q95" s="226">
        <f>SUM(Q93:Q94)</f>
        <v>2001184079.0675457</v>
      </c>
      <c r="R95" s="226">
        <f>SUM(R93:R94)</f>
        <v>1770476674</v>
      </c>
      <c r="S95" s="226">
        <f>SUM(S93:S94)</f>
        <v>3771660753.0675459</v>
      </c>
      <c r="T95" s="226">
        <f>SUM(F65:F68)</f>
        <v>3771661</v>
      </c>
      <c r="W95" s="211" t="s">
        <v>102</v>
      </c>
      <c r="X95" s="211">
        <f>(9*18+10*34)/52</f>
        <v>9.6538461538461533</v>
      </c>
      <c r="Y95" s="211">
        <f>X95*365*5/7</f>
        <v>2516.8956043956036</v>
      </c>
      <c r="Z95" s="211">
        <f>365*24</f>
        <v>8760</v>
      </c>
      <c r="AA95" s="211">
        <f>Y95/Z95</f>
        <v>0.28731684981684974</v>
      </c>
    </row>
    <row r="96" spans="1:29" x14ac:dyDescent="0.4">
      <c r="A96" s="76"/>
      <c r="C96" s="291"/>
      <c r="D96" s="291"/>
      <c r="E96" s="291"/>
      <c r="F96" s="291"/>
      <c r="G96" s="291"/>
      <c r="H96" s="291"/>
      <c r="I96" s="291"/>
      <c r="J96" s="291" t="s">
        <v>3</v>
      </c>
      <c r="K96" s="291"/>
      <c r="L96" s="291"/>
      <c r="M96" s="291" t="s">
        <v>3</v>
      </c>
      <c r="Q96" s="226"/>
      <c r="R96" s="226"/>
      <c r="S96" s="226"/>
      <c r="T96" s="226"/>
    </row>
    <row r="97" spans="1:31" x14ac:dyDescent="0.4">
      <c r="A97" s="76"/>
      <c r="B97" s="211" t="s">
        <v>277</v>
      </c>
      <c r="C97" s="291"/>
      <c r="D97" s="291"/>
      <c r="E97" s="22">
        <f>ROUND(1-1/E98,6)</f>
        <v>9.8422999999999997E-2</v>
      </c>
      <c r="F97" s="22">
        <f>ROUND(1-1/F98,6)</f>
        <v>9.8422999999999997E-2</v>
      </c>
      <c r="G97" s="22">
        <f>ROUND(1-1/G98,6)</f>
        <v>9.8422999999999997E-2</v>
      </c>
      <c r="H97" s="22">
        <f>ROUND(1-1/H98,6)</f>
        <v>9.8422999999999997E-2</v>
      </c>
      <c r="I97" s="22">
        <f>ROUND(1-1/I98,6)</f>
        <v>9.8422999999999997E-2</v>
      </c>
      <c r="Q97" s="226"/>
      <c r="R97" s="226"/>
      <c r="S97" s="226"/>
      <c r="T97" s="226"/>
    </row>
    <row r="98" spans="1:31" x14ac:dyDescent="0.4">
      <c r="A98" s="76"/>
      <c r="B98" s="211" t="s">
        <v>278</v>
      </c>
      <c r="C98" s="291"/>
      <c r="D98" s="291"/>
      <c r="E98" s="291">
        <v>1.1091672347228327</v>
      </c>
      <c r="F98" s="291">
        <v>1.1091672347228327</v>
      </c>
      <c r="G98" s="291">
        <v>1.1091672347228327</v>
      </c>
      <c r="H98" s="291">
        <v>1.1091672347228327</v>
      </c>
      <c r="I98" s="291">
        <v>1.1091672347228327</v>
      </c>
      <c r="M98" s="217"/>
      <c r="N98" s="217"/>
      <c r="O98" s="217"/>
      <c r="P98" s="217"/>
      <c r="Q98" s="218"/>
      <c r="R98" s="218"/>
      <c r="S98" s="218"/>
      <c r="T98" s="218"/>
      <c r="U98" s="217"/>
    </row>
    <row r="99" spans="1:31" x14ac:dyDescent="0.4">
      <c r="A99" s="76"/>
      <c r="C99" s="291"/>
      <c r="D99" s="291"/>
      <c r="E99" s="212"/>
      <c r="F99" s="331"/>
      <c r="G99" s="291"/>
      <c r="H99" s="291"/>
      <c r="I99" s="291" t="s">
        <v>3</v>
      </c>
      <c r="J99" s="291"/>
      <c r="K99" s="291"/>
      <c r="L99" s="291"/>
      <c r="M99" s="217"/>
      <c r="N99" s="217"/>
      <c r="O99" s="217"/>
      <c r="P99" s="217"/>
      <c r="Q99" s="218"/>
      <c r="R99" s="218"/>
      <c r="S99" s="218"/>
      <c r="T99" s="218"/>
      <c r="U99" s="217"/>
    </row>
    <row r="100" spans="1:31" x14ac:dyDescent="0.4">
      <c r="A100" s="76"/>
      <c r="C100" s="291"/>
      <c r="D100" s="291"/>
      <c r="E100" s="23"/>
      <c r="F100" s="24"/>
      <c r="G100" s="291"/>
      <c r="H100" s="291"/>
      <c r="I100" s="291"/>
      <c r="J100" s="291"/>
      <c r="K100" s="291"/>
      <c r="L100" s="22"/>
      <c r="M100" s="217"/>
      <c r="N100" s="217"/>
      <c r="O100" s="217"/>
      <c r="P100" s="217"/>
      <c r="Q100" s="217"/>
      <c r="R100" s="217"/>
      <c r="S100" s="217"/>
      <c r="T100" s="35"/>
      <c r="U100" s="217"/>
    </row>
    <row r="101" spans="1:31" x14ac:dyDescent="0.4">
      <c r="A101" s="76"/>
      <c r="B101" s="274" t="s">
        <v>421</v>
      </c>
      <c r="C101" s="291"/>
      <c r="D101" s="291"/>
      <c r="E101" s="291"/>
      <c r="F101" s="291"/>
      <c r="G101" s="291"/>
      <c r="H101" s="291"/>
      <c r="I101" s="291"/>
      <c r="J101" s="331"/>
      <c r="K101" s="331"/>
      <c r="L101" s="26"/>
      <c r="M101" s="217"/>
      <c r="N101" s="217"/>
      <c r="O101" s="217"/>
      <c r="P101" s="217"/>
      <c r="Q101" s="217"/>
      <c r="R101" s="217"/>
      <c r="S101" s="217"/>
      <c r="T101" s="217"/>
      <c r="U101" s="217"/>
    </row>
    <row r="102" spans="1:31" x14ac:dyDescent="0.4">
      <c r="A102" s="76"/>
      <c r="B102" s="211" t="s">
        <v>3</v>
      </c>
      <c r="I102" s="291"/>
      <c r="J102" s="331"/>
      <c r="K102" s="331"/>
      <c r="L102" s="291"/>
      <c r="M102" s="217"/>
      <c r="N102" s="217"/>
      <c r="O102" s="217"/>
      <c r="P102" s="217"/>
      <c r="Q102" s="217"/>
      <c r="R102" s="217"/>
      <c r="S102" s="217"/>
      <c r="T102" s="217"/>
      <c r="U102" s="217"/>
    </row>
    <row r="103" spans="1:31" ht="15.35" x14ac:dyDescent="0.5">
      <c r="A103" s="76"/>
      <c r="B103" s="382" t="str">
        <f>$B$1</f>
        <v xml:space="preserve">Jersey Central Power &amp; Light </v>
      </c>
      <c r="C103" s="382"/>
      <c r="D103" s="382"/>
      <c r="E103" s="382"/>
      <c r="F103" s="382"/>
      <c r="G103" s="382"/>
      <c r="H103" s="382"/>
      <c r="I103" s="382"/>
      <c r="J103" s="382"/>
      <c r="K103" s="382"/>
      <c r="L103" s="382"/>
      <c r="M103" s="217"/>
      <c r="N103" s="217"/>
      <c r="O103" s="217"/>
      <c r="P103" s="217"/>
      <c r="Q103" s="217"/>
      <c r="R103" s="217"/>
      <c r="S103" s="217"/>
      <c r="T103" s="217"/>
      <c r="U103" s="217"/>
    </row>
    <row r="104" spans="1:31" ht="15.35" x14ac:dyDescent="0.5">
      <c r="A104" s="76"/>
      <c r="B104" s="382" t="str">
        <f>$B$2</f>
        <v>Attachment 2</v>
      </c>
      <c r="C104" s="382"/>
      <c r="D104" s="382"/>
      <c r="E104" s="382"/>
      <c r="F104" s="382"/>
      <c r="G104" s="382"/>
      <c r="H104" s="382"/>
      <c r="I104" s="382"/>
      <c r="J104" s="382"/>
      <c r="K104" s="382"/>
      <c r="L104" s="382"/>
      <c r="M104" s="217"/>
      <c r="N104" s="217"/>
      <c r="O104" s="217"/>
      <c r="P104" s="217"/>
      <c r="Q104" s="217"/>
      <c r="R104" s="217"/>
      <c r="S104" s="217"/>
      <c r="T104" s="217"/>
      <c r="U104" s="217"/>
    </row>
    <row r="105" spans="1:31" x14ac:dyDescent="0.4">
      <c r="A105" s="76"/>
      <c r="M105" s="217"/>
      <c r="N105" s="217"/>
      <c r="O105" s="217"/>
      <c r="P105" s="217"/>
      <c r="Q105" s="217"/>
      <c r="R105" s="217"/>
      <c r="S105" s="217"/>
      <c r="T105" s="217"/>
      <c r="U105" s="217"/>
    </row>
    <row r="106" spans="1:31" x14ac:dyDescent="0.4">
      <c r="A106" s="76"/>
      <c r="M106" s="217"/>
      <c r="N106" s="217"/>
      <c r="O106" s="217"/>
      <c r="P106" s="217"/>
      <c r="Q106" s="217"/>
      <c r="R106" s="217"/>
      <c r="S106" s="332"/>
      <c r="T106" s="217"/>
      <c r="U106" s="217"/>
    </row>
    <row r="107" spans="1:31" x14ac:dyDescent="0.4">
      <c r="A107" s="77" t="s">
        <v>105</v>
      </c>
      <c r="B107" s="78" t="s">
        <v>106</v>
      </c>
      <c r="L107" s="211" t="s">
        <v>3</v>
      </c>
      <c r="M107" s="217"/>
      <c r="N107" s="217"/>
      <c r="O107" s="217"/>
      <c r="P107" s="217"/>
      <c r="Q107" s="217"/>
      <c r="R107" s="217"/>
      <c r="S107" s="217"/>
      <c r="T107" s="217"/>
      <c r="U107" s="217"/>
    </row>
    <row r="108" spans="1:31" x14ac:dyDescent="0.4">
      <c r="A108" s="76"/>
      <c r="B108" s="79" t="s">
        <v>107</v>
      </c>
      <c r="L108" s="211" t="s">
        <v>3</v>
      </c>
      <c r="M108" s="217"/>
      <c r="N108" s="217"/>
      <c r="O108" s="217"/>
      <c r="P108" s="217"/>
      <c r="Q108" s="217"/>
      <c r="R108" s="217"/>
      <c r="S108" s="107"/>
      <c r="T108" s="217"/>
      <c r="U108" s="217"/>
    </row>
    <row r="109" spans="1:31" x14ac:dyDescent="0.4">
      <c r="A109" s="76"/>
      <c r="B109" s="79" t="s">
        <v>81</v>
      </c>
      <c r="M109" s="217"/>
      <c r="N109" s="217"/>
      <c r="O109" s="217"/>
      <c r="P109" s="217"/>
      <c r="Q109" s="217"/>
      <c r="R109" s="217"/>
      <c r="S109" s="229"/>
      <c r="T109" s="217"/>
      <c r="U109" s="217"/>
      <c r="W109" s="211" t="s">
        <v>397</v>
      </c>
      <c r="AC109" s="330">
        <v>4.6610000000000002E-3</v>
      </c>
      <c r="AD109" s="217"/>
      <c r="AE109" s="217"/>
    </row>
    <row r="110" spans="1:31" x14ac:dyDescent="0.4">
      <c r="A110" s="76"/>
      <c r="B110" s="78"/>
      <c r="C110" s="80"/>
      <c r="D110" s="80"/>
      <c r="E110" s="80" t="str">
        <f>+E$13</f>
        <v>RT{1}</v>
      </c>
      <c r="F110" s="80" t="str">
        <f>+F$13</f>
        <v>RS{2}</v>
      </c>
      <c r="G110" s="80" t="str">
        <f>+G$13</f>
        <v>GS{3}</v>
      </c>
      <c r="H110" s="80" t="str">
        <f>+H$58</f>
        <v>GST {4}</v>
      </c>
      <c r="I110" s="80" t="str">
        <f>+I$13</f>
        <v>OL/SL</v>
      </c>
      <c r="J110" s="80"/>
      <c r="K110" s="80"/>
      <c r="L110" s="80"/>
      <c r="M110" s="97"/>
      <c r="N110" s="333"/>
      <c r="O110" s="217"/>
      <c r="P110" s="334"/>
      <c r="Q110" s="217"/>
      <c r="R110" s="217"/>
      <c r="S110" s="217"/>
      <c r="T110" s="217"/>
      <c r="U110" s="217"/>
      <c r="W110" s="40"/>
      <c r="X110" s="217"/>
      <c r="Y110" s="217"/>
      <c r="Z110" s="217"/>
      <c r="AA110" s="217"/>
      <c r="AB110" s="217"/>
      <c r="AC110" s="107"/>
      <c r="AD110" s="217"/>
      <c r="AE110" s="217"/>
    </row>
    <row r="111" spans="1:31" x14ac:dyDescent="0.4">
      <c r="A111" s="76"/>
      <c r="M111" s="217"/>
      <c r="N111" s="217"/>
      <c r="O111" s="217"/>
      <c r="P111" s="217"/>
      <c r="Q111" s="217"/>
      <c r="R111" s="215"/>
      <c r="S111" s="84"/>
      <c r="T111" s="217"/>
      <c r="U111" s="217"/>
      <c r="W111" s="97"/>
      <c r="X111" s="333"/>
      <c r="Y111" s="217"/>
      <c r="Z111" s="334"/>
      <c r="AA111" s="217"/>
      <c r="AB111" s="217"/>
      <c r="AC111" s="217"/>
      <c r="AD111" s="217"/>
      <c r="AE111" s="217"/>
    </row>
    <row r="112" spans="1:31" x14ac:dyDescent="0.4">
      <c r="A112" s="76"/>
      <c r="B112" s="235" t="s">
        <v>111</v>
      </c>
      <c r="C112" s="44"/>
      <c r="D112" s="44"/>
      <c r="E112" s="335">
        <f>(SUMPRODUCT(E20:E23,E65:E68,$C84:$C87,$H84:$H87)*E95+SUMPRODUCT(Q20:Q23,E65:E68,$E84:$E87,$I84:$I87)*E95)/SUM(E65:E68)</f>
        <v>27.703221480414307</v>
      </c>
      <c r="F112" s="335">
        <f>(SUMPRODUCT(F20:F23,F65:F68,$C84:$C87,$H84:$H87)*F95+SUMPRODUCT(R20:R23,F65:F68,$E84:$E87,$I84:$I87)*F95)/SUM(F65:F68)</f>
        <v>27.810995612542165</v>
      </c>
      <c r="G112" s="335">
        <f>(SUMPRODUCT(G20:G23,G65:G68,$C84:$C87,$H84:$H87)*G95+SUMPRODUCT(S20:S23,G65:G68,$E84:$E87,$I84:$I87)*G95)/SUM(G65:G68)</f>
        <v>28.349602211901292</v>
      </c>
      <c r="H112" s="335">
        <f>(SUMPRODUCT(H20:H23,H65:H68,$C84:$C87,$H84:$H87)*H95+SUMPRODUCT(T20:T23,H65:H68,$E84:$E87,$I84:$I87)*H95)/SUM(H65:H68)</f>
        <v>28.105651552066593</v>
      </c>
      <c r="I112" s="335">
        <f>(SUMPRODUCT(I20:I23,I65:I68,$C84:$C87,$H84:$H87)*I95+SUMPRODUCT(U20:U23,I65:I68,$E84:$E87,$I84:$I87)*I95)/SUM(I65:I68)</f>
        <v>25.185503366575173</v>
      </c>
      <c r="J112" s="336"/>
      <c r="K112" s="336"/>
      <c r="L112" s="44"/>
      <c r="M112" s="40"/>
      <c r="N112" s="217"/>
      <c r="O112" s="217"/>
      <c r="P112" s="217"/>
      <c r="Q112" s="217"/>
      <c r="R112" s="217"/>
      <c r="S112" s="217"/>
      <c r="T112" s="217"/>
      <c r="U112" s="217"/>
      <c r="W112" s="217"/>
      <c r="X112" s="217"/>
      <c r="Y112" s="217"/>
      <c r="Z112" s="217"/>
      <c r="AA112" s="217"/>
      <c r="AB112" s="215"/>
      <c r="AC112" s="84"/>
      <c r="AD112" s="217"/>
      <c r="AE112" s="217"/>
    </row>
    <row r="113" spans="1:31" x14ac:dyDescent="0.4">
      <c r="A113" s="76"/>
      <c r="B113" s="236" t="s">
        <v>113</v>
      </c>
      <c r="C113" s="44"/>
      <c r="D113" s="44"/>
      <c r="E113" s="335">
        <f>(SUMPRODUCT(E20:E23,E65:E68,$C84:$C87,$H84:$H87)*E95)/SUMPRODUCT(E20:E23,E65:E68)</f>
        <v>33.060264247140069</v>
      </c>
      <c r="F113" s="335">
        <f>(SUMPRODUCT(F20:F23,F65:F68,$C84:$C87,$H84:$H87)*F95)/SUMPRODUCT(F20:F23,F65:F68)</f>
        <v>33.127464200645925</v>
      </c>
      <c r="G113" s="335">
        <f>(SUMPRODUCT(G20:G23,G65:G68,$C84:$C87,$H84:$H87)*G95)/SUMPRODUCT(G20:G23,G65:G68)</f>
        <v>32.938867134033103</v>
      </c>
      <c r="H113" s="335">
        <f>(SUMPRODUCT(H20:H23,H65:H68,$C84:$C87,$H84:$H87)*H95)/SUMPRODUCT(H20:H23,H65:H68)</f>
        <v>32.865536510622782</v>
      </c>
      <c r="I113" s="335">
        <f>(SUMPRODUCT(I20:I23,I65:I68,$C84:$C87,$H84:$H87)*I95)/SUMPRODUCT(I20:I23,I65:I68)</f>
        <v>32.827555516037087</v>
      </c>
      <c r="J113" s="336"/>
      <c r="K113" s="336"/>
      <c r="L113" s="44"/>
      <c r="M113" s="40"/>
      <c r="N113" s="217"/>
      <c r="O113" s="217"/>
      <c r="P113" s="217"/>
      <c r="Q113" s="217"/>
      <c r="R113" s="217"/>
      <c r="S113" s="107"/>
      <c r="T113" s="217"/>
      <c r="U113" s="217"/>
      <c r="W113" s="217"/>
      <c r="X113" s="217"/>
      <c r="Y113" s="217"/>
      <c r="Z113" s="217"/>
      <c r="AA113" s="217"/>
      <c r="AB113" s="217"/>
      <c r="AC113" s="217"/>
      <c r="AD113" s="217"/>
      <c r="AE113" s="217"/>
    </row>
    <row r="114" spans="1:31" x14ac:dyDescent="0.4">
      <c r="A114" s="76"/>
      <c r="B114" s="236" t="s">
        <v>114</v>
      </c>
      <c r="C114" s="44"/>
      <c r="D114" s="44"/>
      <c r="E114" s="335">
        <f>(SUMPRODUCT(Q20:Q23,E65:E68,$E84:$E87,$I84:$I87)*E95)/SUMPRODUCT(Q20:Q23,E65:E68)</f>
        <v>22.09362295015525</v>
      </c>
      <c r="F114" s="335">
        <f>(SUMPRODUCT(R20:R23,F65:F68,$E84:$E87,$I84:$I87)*F95)/SUMPRODUCT(R20:R23,F65:F68)</f>
        <v>22.154258070670295</v>
      </c>
      <c r="G114" s="335">
        <f>(SUMPRODUCT(S20:S23,G65:G68,$E84:$E87,$I84:$I87)*G95)/SUMPRODUCT(S20:S23,G65:G68)</f>
        <v>22.065443022430532</v>
      </c>
      <c r="H114" s="335">
        <f>(SUMPRODUCT(T20:T23,H65:H68,$E84:$E87,$I84:$I87)*H95)/SUMPRODUCT(T20:T23,H65:H68)</f>
        <v>22.034208882378504</v>
      </c>
      <c r="I114" s="335">
        <f>(SUMPRODUCT(U20:U23,I65:I68,$E84:$E87,$I84:$I87)*I95)/SUMPRODUCT(U20:U23,I65:I68)</f>
        <v>22.015753231932941</v>
      </c>
      <c r="J114" s="336"/>
      <c r="K114" s="336"/>
      <c r="L114" s="44"/>
      <c r="M114" s="97"/>
      <c r="N114" s="333"/>
      <c r="O114" s="217"/>
      <c r="P114" s="334"/>
      <c r="Q114" s="217"/>
      <c r="R114" s="217"/>
      <c r="S114" s="217"/>
      <c r="T114" s="217"/>
      <c r="U114" s="217"/>
      <c r="W114" s="40"/>
      <c r="X114" s="217"/>
      <c r="Y114" s="217"/>
      <c r="Z114" s="217"/>
      <c r="AA114" s="217"/>
      <c r="AB114" s="217"/>
      <c r="AC114" s="107"/>
      <c r="AD114" s="217"/>
      <c r="AE114" s="217"/>
    </row>
    <row r="115" spans="1:31" x14ac:dyDescent="0.4">
      <c r="A115" s="76"/>
      <c r="C115" s="32"/>
      <c r="D115" s="32"/>
      <c r="E115" s="337"/>
      <c r="F115" s="337"/>
      <c r="G115" s="337"/>
      <c r="H115" s="337"/>
      <c r="I115" s="337"/>
      <c r="J115" s="336"/>
      <c r="K115" s="336"/>
      <c r="L115" s="32"/>
      <c r="M115" s="217"/>
      <c r="N115" s="217"/>
      <c r="O115" s="217"/>
      <c r="P115" s="217"/>
      <c r="Q115" s="217"/>
      <c r="R115" s="215"/>
      <c r="S115" s="84"/>
      <c r="T115" s="217"/>
      <c r="U115" s="217"/>
      <c r="W115" s="97"/>
      <c r="X115" s="333"/>
      <c r="Y115" s="217"/>
      <c r="Z115" s="334"/>
      <c r="AA115" s="217"/>
      <c r="AB115" s="217"/>
      <c r="AC115" s="217"/>
      <c r="AD115" s="217"/>
      <c r="AE115" s="217"/>
    </row>
    <row r="116" spans="1:31" x14ac:dyDescent="0.4">
      <c r="A116" s="76"/>
      <c r="B116" s="235" t="s">
        <v>115</v>
      </c>
      <c r="C116" s="44"/>
      <c r="D116" s="44"/>
      <c r="E116" s="335">
        <f>(SUMPRODUCT(E15:E19,E60:E64,$C79:$C83,$H79:$H83)*E95+SUMPRODUCT(Q15:Q19,E60:E64,$E79:$E83,$I79:$I83)*E95+SUMPRODUCT(E24:E26,E69:E71,$C88:$C90,$H88:$H90)*E95+SUMPRODUCT(Q24:Q26,E69:E71,$E88:$E90,$I88:$I90)*E95)/SUM(E60:E64,E69:E71)</f>
        <v>32.960894442860294</v>
      </c>
      <c r="F116" s="335">
        <f>(SUMPRODUCT(F15:F19,F60:F64,$C79:$C83,$H79:$H83)*F95+SUMPRODUCT(R15:R19,F60:F64,$E79:$E83,$I79:$I83)*F95+SUMPRODUCT(F24:F26,F69:F71,$C88:$C90,$H88:$H90)*F95+SUMPRODUCT(R24:R26,F69:F71,$E88:$E90,$I88:$I90)*F95)/SUM(F60:F64,F69:F71)</f>
        <v>32.766806579173071</v>
      </c>
      <c r="G116" s="335">
        <f>(SUMPRODUCT(G15:G19,G60:G64,$C79:$C83,$H79:$H83)*G95+SUMPRODUCT(S15:S19,G60:G64,$E79:$E83,$I79:$I83)*G95+SUMPRODUCT(G24:G26,G69:G71,$C88:$C90,$H88:$H90)*G95+SUMPRODUCT(S24:S26,G69:G71,$E88:$E90,$I88:$I90)*G95)/SUM(G60:G64,G69:G71)</f>
        <v>32.828851309706707</v>
      </c>
      <c r="H116" s="335">
        <f>(SUMPRODUCT(H15:H19,H60:H64,$C79:$C83,$H79:$H83)*H95+SUMPRODUCT(T15:T19,H60:H64,$E79:$E83,$I79:$I83)*H95+SUMPRODUCT(H24:H26,H69:H71,$C88:$C90,$H88:$H90)*H95+SUMPRODUCT(T24:T26,H69:H71,$E88:$E90,$I88:$I90)*H95)/SUM(H60:H64,H69:H71)</f>
        <v>32.383543472868773</v>
      </c>
      <c r="I116" s="335">
        <f>(SUMPRODUCT(I15:I19,I60:I64,$C79:$C83,$H79:$H83)*I95+SUMPRODUCT(U15:U19,I60:I64,$E79:$E83,$I79:$I83)*I95+SUMPRODUCT(I24:I26,I69:I71,$C88:$C90,$H88:$H90)*I95+SUMPRODUCT(U24:U26,I69:I71,$E88:$E90,$I88:$I90)*I95)/SUM(I60:I64,I69:I71)</f>
        <v>31.107352986375044</v>
      </c>
      <c r="J116" s="336"/>
      <c r="K116" s="336"/>
      <c r="L116" s="44"/>
      <c r="M116" s="338"/>
      <c r="N116" s="217"/>
      <c r="O116" s="217"/>
      <c r="P116" s="217"/>
      <c r="Q116" s="217"/>
      <c r="R116" s="217"/>
      <c r="S116" s="217"/>
      <c r="T116" s="217"/>
      <c r="U116" s="217"/>
      <c r="W116" s="217"/>
      <c r="X116" s="217"/>
      <c r="Y116" s="217"/>
      <c r="Z116" s="217"/>
      <c r="AA116" s="217"/>
      <c r="AB116" s="215"/>
      <c r="AC116" s="84"/>
      <c r="AD116" s="217"/>
      <c r="AE116" s="217"/>
    </row>
    <row r="117" spans="1:31" x14ac:dyDescent="0.4">
      <c r="A117" s="76"/>
      <c r="B117" s="236" t="s">
        <v>113</v>
      </c>
      <c r="C117" s="44"/>
      <c r="D117" s="44"/>
      <c r="E117" s="335">
        <f>(SUMPRODUCT(E15:E19,E60:E64,$C79:$C83,$H79:$H83)*E95+SUMPRODUCT(E24:E26,E69:E71,$C88:$C90,$H88:$H90)*E95)/(SUMPRODUCT(E15:E19,E60:E64)+SUMPRODUCT(E24:E26,E69:E71))</f>
        <v>36.11162639412386</v>
      </c>
      <c r="F117" s="335">
        <f>(SUMPRODUCT(F15:F19,F60:F64,$C79:$C83,$H79:$H83)*F95+SUMPRODUCT(F24:F26,F69:F71,$C88:$C90,$H88:$H90)*F95)/(SUMPRODUCT(F15:F19,F60:F64)+SUMPRODUCT(F24:F26,F69:F71))</f>
        <v>35.741710646451033</v>
      </c>
      <c r="G117" s="335">
        <f>(SUMPRODUCT(G15:G19,G60:G64,$C79:$C83,$H79:$H83)*G95+SUMPRODUCT(G24:G26,G69:G71,$C88:$C90,$H88:$H90)*G95)/(SUMPRODUCT(G15:G19,G60:G64)+SUMPRODUCT(G24:G26,G69:G71))</f>
        <v>35.256640408288604</v>
      </c>
      <c r="H117" s="335">
        <f>(SUMPRODUCT(H15:H19,H60:H64,$C79:$C83,$H79:$H83)*H95+SUMPRODUCT(H24:H26,H69:H71,$C88:$C90,$H88:$H90)*H95)/(SUMPRODUCT(H15:H19,H60:H64)+SUMPRODUCT(H24:H26,H69:H71))</f>
        <v>34.987314187157693</v>
      </c>
      <c r="I117" s="335">
        <f>(SUMPRODUCT(I15:I19,I60:I64,$C79:$C83,$H79:$H83)*I95+SUMPRODUCT(I24:I26,I69:I71,$C88:$C90,$H88:$H90)*I95)/(SUMPRODUCT(I15:I19,I60:I64)+SUMPRODUCT(I24:I26,I69:I71))</f>
        <v>35.158562366982245</v>
      </c>
      <c r="J117" s="336"/>
      <c r="K117" s="336"/>
      <c r="L117" s="44"/>
      <c r="M117" s="40"/>
      <c r="N117" s="217"/>
      <c r="O117" s="217"/>
      <c r="P117" s="217"/>
      <c r="Q117" s="217"/>
      <c r="R117" s="217"/>
      <c r="S117" s="107"/>
      <c r="T117" s="217"/>
      <c r="U117" s="217"/>
      <c r="W117" s="217"/>
      <c r="X117" s="217"/>
      <c r="Y117" s="217"/>
      <c r="Z117" s="217"/>
      <c r="AA117" s="217"/>
      <c r="AB117" s="217"/>
      <c r="AC117" s="217"/>
      <c r="AD117" s="217"/>
      <c r="AE117" s="217"/>
    </row>
    <row r="118" spans="1:31" x14ac:dyDescent="0.4">
      <c r="A118" s="76"/>
      <c r="B118" s="236" t="s">
        <v>114</v>
      </c>
      <c r="C118" s="44"/>
      <c r="D118" s="44"/>
      <c r="E118" s="335">
        <f>(SUMPRODUCT(Q15:Q19,E60:E64,$E79:$E83,$I79:$I83)*E95+SUMPRODUCT(Q24:Q26,E69:E71,$E88:$E90,$I88:$I90)*E95)/(SUMPRODUCT(Q15:Q19,E60:E64)+SUMPRODUCT(Q24:Q26,E69:E71))</f>
        <v>30.075716484958111</v>
      </c>
      <c r="F118" s="335">
        <f>(SUMPRODUCT(R15:R19,F60:F64,$E79:$E83,$I79:$I83)*F95+SUMPRODUCT(R24:R26,F69:F71,$E88:$E90,$I88:$I90)*F95)/(SUMPRODUCT(R15:R19,F60:F64)+SUMPRODUCT(R24:R26,F69:F71))</f>
        <v>29.749440499612756</v>
      </c>
      <c r="G118" s="335">
        <f>(SUMPRODUCT(S15:S19,G60:G64,$E79:$E83,$I79:$I83)*G95+SUMPRODUCT(S24:S26,G69:G71,$E88:$E90,$I88:$I90)*G95)/(SUMPRODUCT(S15:S19,G60:G64)+SUMPRODUCT(S24:S26,G69:G71))</f>
        <v>29.479930652323617</v>
      </c>
      <c r="H118" s="335">
        <f>(SUMPRODUCT(T15:T19,H60:H64,$E79:$E83,$I79:$I83)*H95+SUMPRODUCT(T24:T26,H69:H71,$E88:$E90,$I88:$I90)*H95)/(SUMPRODUCT(T15:T19,H60:H64)+SUMPRODUCT(T24:T26,H69:H71))</f>
        <v>29.185435760901242</v>
      </c>
      <c r="I118" s="335">
        <f>(SUMPRODUCT(U15:U19,I60:I64,$E79:$E83,$I79:$I83)*I95+SUMPRODUCT(U24:U26,I69:I71,$E88:$E90,$I88:$I90)*I95)/(SUMPRODUCT(U15:U19,I60:I64)+SUMPRODUCT(U24:U26,I69:I71))</f>
        <v>29.229020272488004</v>
      </c>
      <c r="J118" s="336"/>
      <c r="K118" s="336"/>
      <c r="L118" s="44"/>
      <c r="M118" s="97"/>
      <c r="N118" s="333"/>
      <c r="O118" s="217"/>
      <c r="P118" s="334"/>
      <c r="Q118" s="217"/>
      <c r="R118" s="217"/>
      <c r="S118" s="217"/>
      <c r="T118" s="217"/>
      <c r="U118" s="217"/>
      <c r="W118" s="40"/>
      <c r="X118" s="217"/>
      <c r="Y118" s="217"/>
      <c r="Z118" s="217"/>
      <c r="AA118" s="217"/>
      <c r="AB118" s="217"/>
      <c r="AC118" s="107"/>
      <c r="AD118" s="217"/>
      <c r="AE118" s="217"/>
    </row>
    <row r="119" spans="1:31" x14ac:dyDescent="0.4">
      <c r="A119" s="76"/>
      <c r="C119" s="32"/>
      <c r="D119" s="32"/>
      <c r="E119" s="337"/>
      <c r="F119" s="337"/>
      <c r="G119" s="337"/>
      <c r="H119" s="337"/>
      <c r="I119" s="337"/>
      <c r="J119" s="336"/>
      <c r="K119" s="336"/>
      <c r="L119" s="32"/>
      <c r="M119" s="217"/>
      <c r="N119" s="217"/>
      <c r="O119" s="217"/>
      <c r="P119" s="217"/>
      <c r="Q119" s="217"/>
      <c r="R119" s="215"/>
      <c r="S119" s="84"/>
      <c r="T119" s="217"/>
      <c r="U119" s="217"/>
      <c r="W119" s="97"/>
      <c r="X119" s="333"/>
      <c r="Y119" s="217"/>
      <c r="Z119" s="334"/>
      <c r="AA119" s="217"/>
      <c r="AB119" s="217"/>
      <c r="AC119" s="217"/>
      <c r="AD119" s="217"/>
      <c r="AE119" s="217"/>
    </row>
    <row r="120" spans="1:31" x14ac:dyDescent="0.4">
      <c r="A120" s="76"/>
      <c r="B120" s="211" t="s">
        <v>117</v>
      </c>
      <c r="C120" s="44"/>
      <c r="D120" s="32"/>
      <c r="E120" s="337">
        <f>(E112*SUM(E65:E68)+E116*SUM(E60:E64,E69:E71))/E72</f>
        <v>31.229926424831763</v>
      </c>
      <c r="F120" s="337">
        <f>(F112*SUM(F65:F68)+F116*SUM(F60:F64,F69:F71))/F72</f>
        <v>30.70676023206067</v>
      </c>
      <c r="G120" s="337">
        <f>(G112*SUM(G65:G68)+G116*SUM(G60:G64,G69:G71))/G72</f>
        <v>31.205200783463415</v>
      </c>
      <c r="H120" s="337">
        <f>(H112*SUM(H65:H68)+H116*SUM(H60:H64,H69:H71))/H72</f>
        <v>30.915787121290176</v>
      </c>
      <c r="I120" s="337">
        <f>(I112*SUM(I65:I68)+I116*SUM(I60:I64,I69:I71))/I72</f>
        <v>29.133334513634111</v>
      </c>
      <c r="J120" s="336"/>
      <c r="K120" s="336"/>
      <c r="L120" s="32"/>
      <c r="M120" s="40"/>
      <c r="N120" s="217"/>
      <c r="O120" s="217"/>
      <c r="P120" s="217"/>
      <c r="Q120" s="217"/>
      <c r="R120" s="217"/>
      <c r="S120" s="217"/>
      <c r="T120" s="217"/>
      <c r="U120" s="217"/>
      <c r="W120" s="217"/>
      <c r="X120" s="217"/>
      <c r="Y120" s="217"/>
      <c r="Z120" s="217"/>
      <c r="AA120" s="217"/>
      <c r="AB120" s="215"/>
      <c r="AC120" s="84"/>
      <c r="AD120" s="217"/>
      <c r="AE120" s="217"/>
    </row>
    <row r="121" spans="1:31" x14ac:dyDescent="0.4">
      <c r="A121" s="76"/>
      <c r="C121" s="44"/>
      <c r="D121" s="32"/>
      <c r="E121" s="32"/>
      <c r="F121" s="32"/>
      <c r="G121" s="32"/>
      <c r="H121" s="32"/>
      <c r="I121" s="32"/>
      <c r="J121" s="32"/>
      <c r="K121" s="32"/>
      <c r="L121" s="32"/>
      <c r="M121" s="40"/>
      <c r="N121" s="217"/>
      <c r="O121" s="217"/>
      <c r="P121" s="217"/>
      <c r="Q121" s="217"/>
      <c r="R121" s="217"/>
      <c r="S121" s="107"/>
      <c r="T121" s="217"/>
      <c r="U121" s="217"/>
    </row>
    <row r="122" spans="1:31" x14ac:dyDescent="0.4">
      <c r="A122" s="76"/>
      <c r="B122" s="211" t="s">
        <v>118</v>
      </c>
      <c r="C122" s="44">
        <f>SUMPRODUCT(C120:I120,C72:I72)/SUM(C72:I72)</f>
        <v>30.885173001786342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97"/>
      <c r="N122" s="333"/>
      <c r="O122" s="217"/>
      <c r="P122" s="334"/>
      <c r="Q122" s="217"/>
      <c r="R122" s="217"/>
      <c r="S122" s="217"/>
      <c r="T122" s="217"/>
      <c r="U122" s="217"/>
      <c r="W122" s="32" t="s">
        <v>422</v>
      </c>
      <c r="AC122" s="339">
        <v>1.2524E-2</v>
      </c>
    </row>
    <row r="123" spans="1:31" ht="13" thickBot="1" x14ac:dyDescent="0.45">
      <c r="A123" s="76"/>
      <c r="C123" s="44"/>
      <c r="D123" s="32"/>
      <c r="E123" s="32"/>
      <c r="F123" s="32"/>
      <c r="G123" s="32"/>
      <c r="H123" s="32"/>
      <c r="I123" s="32"/>
      <c r="J123" s="32"/>
      <c r="K123" s="32"/>
      <c r="L123" s="32"/>
      <c r="M123" s="217"/>
      <c r="N123" s="217"/>
      <c r="O123" s="217"/>
      <c r="P123" s="217"/>
      <c r="Q123" s="217"/>
      <c r="R123" s="215"/>
      <c r="S123" s="84"/>
      <c r="T123" s="217"/>
      <c r="U123" s="217"/>
      <c r="W123" s="98" t="s">
        <v>3</v>
      </c>
      <c r="X123" s="340">
        <v>1</v>
      </c>
      <c r="Y123" s="211" t="s">
        <v>108</v>
      </c>
      <c r="Z123" s="341">
        <v>1</v>
      </c>
      <c r="AB123" s="211" t="s">
        <v>109</v>
      </c>
    </row>
    <row r="124" spans="1:31" ht="13" thickBot="1" x14ac:dyDescent="0.45">
      <c r="A124" s="76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40"/>
      <c r="N124" s="217"/>
      <c r="O124" s="217"/>
      <c r="P124" s="217"/>
      <c r="Q124" s="217"/>
      <c r="R124" s="217"/>
      <c r="S124" s="217"/>
      <c r="T124" s="217"/>
      <c r="U124" s="217"/>
      <c r="W124" s="211" t="s">
        <v>112</v>
      </c>
      <c r="Z124" s="211" t="s">
        <v>279</v>
      </c>
      <c r="AB124" s="212" t="s">
        <v>110</v>
      </c>
      <c r="AC124" s="13">
        <f>1-(1-AC122)/(1-$AC$109)</f>
        <v>7.8998210659885215E-3</v>
      </c>
      <c r="AD124" s="211" t="s">
        <v>280</v>
      </c>
    </row>
    <row r="125" spans="1:31" x14ac:dyDescent="0.4">
      <c r="A125" s="77" t="s">
        <v>119</v>
      </c>
      <c r="B125" s="78" t="s">
        <v>120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40"/>
      <c r="N125" s="217"/>
      <c r="O125" s="217"/>
      <c r="P125" s="217"/>
      <c r="Q125" s="217"/>
      <c r="R125" s="217"/>
      <c r="S125" s="107"/>
      <c r="T125" s="217"/>
      <c r="U125" s="217"/>
    </row>
    <row r="126" spans="1:31" x14ac:dyDescent="0.4">
      <c r="A126" s="76"/>
      <c r="B126" s="79" t="s">
        <v>121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97"/>
      <c r="N126" s="333"/>
      <c r="O126" s="217"/>
      <c r="P126" s="334"/>
      <c r="Q126" s="217"/>
      <c r="R126" s="217"/>
      <c r="S126" s="217"/>
      <c r="T126" s="217"/>
      <c r="U126" s="217"/>
    </row>
    <row r="127" spans="1:31" x14ac:dyDescent="0.4">
      <c r="A127" s="76"/>
      <c r="B127" s="79" t="s">
        <v>122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217"/>
      <c r="N127" s="217"/>
      <c r="O127" s="217"/>
      <c r="P127" s="217"/>
      <c r="Q127" s="217"/>
      <c r="R127" s="215"/>
      <c r="S127" s="84"/>
      <c r="T127" s="217"/>
      <c r="U127" s="217"/>
    </row>
    <row r="128" spans="1:31" x14ac:dyDescent="0.4">
      <c r="A128" s="76"/>
      <c r="B128" s="78"/>
      <c r="C128" s="80"/>
      <c r="D128" s="80"/>
      <c r="E128" s="80" t="str">
        <f>+E$13</f>
        <v>RT{1}</v>
      </c>
      <c r="F128" s="80" t="str">
        <f>+F$13</f>
        <v>RS{2}</v>
      </c>
      <c r="G128" s="80" t="str">
        <f>+G$13</f>
        <v>GS{3}</v>
      </c>
      <c r="H128" s="80" t="str">
        <f>+H$58</f>
        <v>GST {4}</v>
      </c>
      <c r="I128" s="80" t="str">
        <f>+I$13</f>
        <v>OL/SL</v>
      </c>
      <c r="J128" s="80" t="s">
        <v>44</v>
      </c>
      <c r="K128" s="80"/>
      <c r="L128" s="80"/>
      <c r="M128" s="97"/>
      <c r="N128" s="217"/>
      <c r="O128" s="217"/>
      <c r="P128" s="217"/>
      <c r="Q128" s="217"/>
      <c r="R128" s="217"/>
      <c r="S128" s="217"/>
      <c r="T128" s="217"/>
      <c r="U128" s="217"/>
    </row>
    <row r="129" spans="1:21" x14ac:dyDescent="0.4">
      <c r="A129" s="76"/>
      <c r="C129" s="319"/>
      <c r="M129" s="40"/>
      <c r="N129" s="217"/>
      <c r="O129" s="217"/>
      <c r="P129" s="217"/>
      <c r="Q129" s="217"/>
      <c r="R129" s="217"/>
      <c r="S129" s="107"/>
      <c r="T129" s="217"/>
      <c r="U129" s="217"/>
    </row>
    <row r="130" spans="1:21" x14ac:dyDescent="0.4">
      <c r="A130" s="76"/>
      <c r="B130" s="235" t="s">
        <v>111</v>
      </c>
      <c r="C130" s="336"/>
      <c r="D130" s="336"/>
      <c r="E130" s="336">
        <f>SUM(E65:E68)*E112/1000</f>
        <v>1835.3938295204084</v>
      </c>
      <c r="F130" s="336">
        <f>SUM(F65:F68)*F112/1000</f>
        <v>104893.6475229964</v>
      </c>
      <c r="G130" s="336">
        <f>SUM(G65:G68)*G112/1000</f>
        <v>56039.367432320578</v>
      </c>
      <c r="H130" s="336">
        <f>SUM(H65:H68)*H112/1000</f>
        <v>1847.8060612906183</v>
      </c>
      <c r="I130" s="336">
        <f>SUM(I65:I68)*I112/1000</f>
        <v>966.31739316875633</v>
      </c>
      <c r="J130" s="336">
        <f>SUM(E130:I130)</f>
        <v>165582.53223929676</v>
      </c>
      <c r="K130" s="336"/>
      <c r="L130" s="336"/>
      <c r="M130" s="97"/>
      <c r="N130" s="333"/>
      <c r="O130" s="217"/>
      <c r="P130" s="334"/>
      <c r="Q130" s="217"/>
      <c r="R130" s="217"/>
      <c r="S130" s="217"/>
      <c r="T130" s="217"/>
      <c r="U130" s="217"/>
    </row>
    <row r="131" spans="1:21" x14ac:dyDescent="0.4">
      <c r="A131" s="76"/>
      <c r="B131" s="236" t="s">
        <v>113</v>
      </c>
      <c r="C131" s="336"/>
      <c r="D131" s="336"/>
      <c r="E131" s="336">
        <f>SUMPRODUCT(E65:E68,E20:E23)*E113/1000</f>
        <v>1120.3751195599555</v>
      </c>
      <c r="F131" s="336">
        <f>SUMPRODUCT(F65:F68,F20:F23)*F113/1000</f>
        <v>64410.005468344971</v>
      </c>
      <c r="G131" s="336">
        <f>SUMPRODUCT(G65:G68,G20:G23)*G113/1000</f>
        <v>37630.133887789496</v>
      </c>
      <c r="H131" s="336">
        <f>SUMPRODUCT(H65:H68,H20:H23)*H113/1000</f>
        <v>1211.1938635175052</v>
      </c>
      <c r="I131" s="336">
        <f>SUMPRODUCT(I65:I68,I20:I23)*I113/1000</f>
        <v>369.26201880027497</v>
      </c>
      <c r="J131" s="336">
        <f>SUM(E131:I131)</f>
        <v>104740.9703580122</v>
      </c>
      <c r="K131" s="336"/>
      <c r="L131" s="336"/>
      <c r="M131" s="217"/>
      <c r="N131" s="217"/>
      <c r="O131" s="217"/>
      <c r="P131" s="217"/>
      <c r="Q131" s="217"/>
      <c r="R131" s="215"/>
      <c r="S131" s="84"/>
      <c r="T131" s="217"/>
      <c r="U131" s="217"/>
    </row>
    <row r="132" spans="1:21" x14ac:dyDescent="0.4">
      <c r="A132" s="76"/>
      <c r="B132" s="236" t="s">
        <v>114</v>
      </c>
      <c r="C132" s="336"/>
      <c r="D132" s="336"/>
      <c r="E132" s="336">
        <f>SUMPRODUCT(E65:E68,Q20:Q23)*E114/1000</f>
        <v>715.01870996045284</v>
      </c>
      <c r="F132" s="336">
        <f>SUMPRODUCT(F65:F68,R20:R23)*F114/1000</f>
        <v>40483.642054651427</v>
      </c>
      <c r="G132" s="336">
        <f>SUMPRODUCT(G65:G68,S20:S23)*G114/1000</f>
        <v>18409.233544531085</v>
      </c>
      <c r="H132" s="336">
        <f>SUMPRODUCT(H65:H68,T20:T23)*H114/1000</f>
        <v>636.61219777311317</v>
      </c>
      <c r="I132" s="336">
        <f>SUMPRODUCT(I65:I68,U20:U23)*I114/1000</f>
        <v>597.05537436848135</v>
      </c>
      <c r="J132" s="336">
        <f>SUM(E132:I132)</f>
        <v>60841.561881284564</v>
      </c>
      <c r="K132" s="336"/>
      <c r="L132" s="336"/>
      <c r="M132" s="342"/>
      <c r="N132" s="217"/>
      <c r="O132" s="217"/>
      <c r="P132" s="217"/>
      <c r="Q132" s="217"/>
      <c r="R132" s="217"/>
      <c r="S132" s="217"/>
      <c r="T132" s="217"/>
      <c r="U132" s="217"/>
    </row>
    <row r="133" spans="1:21" x14ac:dyDescent="0.4">
      <c r="A133" s="76"/>
      <c r="C133" s="21"/>
      <c r="D133" s="21"/>
      <c r="E133" s="21"/>
      <c r="F133" s="21"/>
      <c r="G133" s="21"/>
      <c r="H133" s="21"/>
      <c r="I133" s="21"/>
      <c r="J133" s="336"/>
      <c r="K133" s="336"/>
      <c r="L133" s="21"/>
      <c r="M133" s="40"/>
      <c r="N133" s="217"/>
      <c r="O133" s="217"/>
      <c r="P133" s="217"/>
      <c r="Q133" s="217"/>
      <c r="R133" s="217"/>
      <c r="S133" s="107"/>
      <c r="T133" s="217"/>
      <c r="U133" s="217"/>
    </row>
    <row r="134" spans="1:21" x14ac:dyDescent="0.4">
      <c r="A134" s="76"/>
      <c r="B134" s="235" t="s">
        <v>115</v>
      </c>
      <c r="C134" s="21"/>
      <c r="D134" s="21"/>
      <c r="E134" s="21">
        <f>SUM(E60:E64,E69:E71)*E116/1000</f>
        <v>4449.1604145806114</v>
      </c>
      <c r="F134" s="21">
        <f>SUM(F60:F64,F69:F71)*F116/1000</f>
        <v>173721.28571390451</v>
      </c>
      <c r="G134" s="21">
        <f>SUM(G60:G64,G69:G71)*G116/1000</f>
        <v>114131.76676893573</v>
      </c>
      <c r="H134" s="21">
        <f>SUM(H60:H64,H69:H71)*H116/1000</f>
        <v>4076.2461511038841</v>
      </c>
      <c r="I134" s="21">
        <f>SUM(I60:I64,I69:I71)*I116/1000</f>
        <v>2386.9294093505296</v>
      </c>
      <c r="J134" s="336">
        <f>SUM(E134:I134)</f>
        <v>298765.38845787523</v>
      </c>
      <c r="K134" s="336"/>
      <c r="L134" s="21"/>
      <c r="M134" s="97"/>
      <c r="N134" s="333"/>
      <c r="O134" s="217"/>
      <c r="P134" s="334"/>
      <c r="Q134" s="217"/>
      <c r="R134" s="217"/>
      <c r="S134" s="217"/>
      <c r="T134" s="217"/>
      <c r="U134" s="217"/>
    </row>
    <row r="135" spans="1:21" x14ac:dyDescent="0.4">
      <c r="A135" s="76"/>
      <c r="B135" s="236" t="s">
        <v>113</v>
      </c>
      <c r="C135" s="336"/>
      <c r="D135" s="336"/>
      <c r="E135" s="336">
        <f>(SUMPRODUCT(E60:E64,E15:E19)+SUMPRODUCT(E69:E71,E24:E26))*E117/1000</f>
        <v>2330.0003238423396</v>
      </c>
      <c r="F135" s="336">
        <f>(SUMPRODUCT(F60:F64,F15:F19)+SUMPRODUCT(F69:F71,F24:F26))*F117/1000</f>
        <v>95418.123524026581</v>
      </c>
      <c r="G135" s="336">
        <f>(SUMPRODUCT(G60:G64,G15:G19)+SUMPRODUCT(G69:G71,G24:G26))*G117/1000</f>
        <v>71058.508969042159</v>
      </c>
      <c r="H135" s="336">
        <f>(SUMPRODUCT(H60:H64,H15:H19)+SUMPRODUCT(H69:H71,H24:H26))*H117/1000</f>
        <v>2427.5663047059943</v>
      </c>
      <c r="I135" s="336">
        <f>(SUMPRODUCT(I60:I64,I15:I19)+SUMPRODUCT(I69:I71,I24:I26))*I117/1000</f>
        <v>854.59233359800078</v>
      </c>
      <c r="J135" s="336">
        <f>SUM(E135:I135)</f>
        <v>172088.79145521511</v>
      </c>
      <c r="K135" s="336"/>
      <c r="L135" s="336"/>
      <c r="M135" s="217"/>
      <c r="N135" s="217"/>
      <c r="O135" s="217"/>
      <c r="P135" s="217"/>
      <c r="Q135" s="217"/>
      <c r="R135" s="215"/>
      <c r="S135" s="84"/>
      <c r="T135" s="217"/>
      <c r="U135" s="217"/>
    </row>
    <row r="136" spans="1:21" x14ac:dyDescent="0.4">
      <c r="A136" s="76"/>
      <c r="B136" s="236" t="s">
        <v>114</v>
      </c>
      <c r="C136" s="336"/>
      <c r="D136" s="336"/>
      <c r="E136" s="336">
        <f>+(SUMPRODUCT(E60:E64,Q15:Q19)+SUMPRODUCT(E69:E71,Q24:Q26))*E118/1000</f>
        <v>2119.1600907382704</v>
      </c>
      <c r="F136" s="336">
        <f>+(SUMPRODUCT(F60:F64,R15:R19)+SUMPRODUCT(F69:F71,R24:R26))*F118/1000</f>
        <v>78303.162189877956</v>
      </c>
      <c r="G136" s="336">
        <f>+(SUMPRODUCT(G60:G64,S15:S19)+SUMPRODUCT(G69:G71,S24:S26))*G118/1000</f>
        <v>43073.257799893589</v>
      </c>
      <c r="H136" s="336">
        <f>+(SUMPRODUCT(H60:H64,T15:T19)+SUMPRODUCT(H69:H71,T24:T26))*H118/1000</f>
        <v>1648.6798463978903</v>
      </c>
      <c r="I136" s="336">
        <f>+(SUMPRODUCT(I60:I64,U15:U19)+SUMPRODUCT(I69:I71,U24:U26))*I118/1000</f>
        <v>1532.3370757525286</v>
      </c>
      <c r="J136" s="336">
        <f>SUM(E136:I136)</f>
        <v>126676.59700266023</v>
      </c>
      <c r="K136" s="336"/>
      <c r="L136" s="336"/>
      <c r="M136" s="342"/>
      <c r="N136" s="217"/>
      <c r="O136" s="217"/>
      <c r="P136" s="217"/>
      <c r="Q136" s="217"/>
      <c r="R136" s="217"/>
      <c r="S136" s="217"/>
      <c r="T136" s="217"/>
      <c r="U136" s="217"/>
    </row>
    <row r="137" spans="1:21" x14ac:dyDescent="0.4">
      <c r="A137" s="76"/>
      <c r="C137" s="32"/>
      <c r="D137" s="32"/>
      <c r="E137" s="32"/>
      <c r="F137" s="32"/>
      <c r="G137" s="32"/>
      <c r="H137" s="32"/>
      <c r="I137" s="32"/>
      <c r="J137" s="336"/>
      <c r="K137" s="336"/>
      <c r="L137" s="32"/>
      <c r="M137" s="40"/>
      <c r="N137" s="217"/>
      <c r="O137" s="217"/>
      <c r="P137" s="217"/>
      <c r="Q137" s="217"/>
      <c r="R137" s="217"/>
      <c r="S137" s="107"/>
      <c r="T137" s="217"/>
      <c r="U137" s="217"/>
    </row>
    <row r="138" spans="1:21" x14ac:dyDescent="0.4">
      <c r="A138" s="76"/>
      <c r="B138" s="211" t="s">
        <v>117</v>
      </c>
      <c r="C138" s="21"/>
      <c r="D138" s="21"/>
      <c r="E138" s="21">
        <f>+E130+E134</f>
        <v>6284.5542441010202</v>
      </c>
      <c r="F138" s="21">
        <f>+F130+F134</f>
        <v>278614.93323690089</v>
      </c>
      <c r="G138" s="21">
        <f>+G130+G134</f>
        <v>170171.13420125633</v>
      </c>
      <c r="H138" s="21">
        <f>+H130+H134</f>
        <v>5924.0522123945029</v>
      </c>
      <c r="I138" s="21">
        <f>+I130+I134</f>
        <v>3353.2468025192857</v>
      </c>
      <c r="J138" s="336">
        <f>SUM(E138:I138)</f>
        <v>464347.92069717206</v>
      </c>
      <c r="K138" s="336"/>
      <c r="L138" s="21"/>
      <c r="M138" s="97"/>
      <c r="N138" s="333"/>
      <c r="O138" s="217"/>
      <c r="P138" s="334"/>
      <c r="Q138" s="217"/>
      <c r="R138" s="217"/>
      <c r="S138" s="217"/>
      <c r="T138" s="217"/>
      <c r="U138" s="217"/>
    </row>
    <row r="139" spans="1:21" x14ac:dyDescent="0.4">
      <c r="A139" s="76"/>
      <c r="M139" s="217"/>
      <c r="N139" s="217"/>
      <c r="O139" s="217"/>
      <c r="P139" s="217"/>
      <c r="Q139" s="217"/>
      <c r="R139" s="215"/>
      <c r="S139" s="84"/>
      <c r="T139" s="217"/>
      <c r="U139" s="217"/>
    </row>
    <row r="140" spans="1:21" x14ac:dyDescent="0.4">
      <c r="A140" s="76"/>
      <c r="B140" s="211" t="s">
        <v>118</v>
      </c>
      <c r="C140" s="336">
        <f>SUM(C138:I138)</f>
        <v>464347.92069717206</v>
      </c>
      <c r="E140" s="343"/>
      <c r="F140" s="44"/>
      <c r="M140" s="217"/>
      <c r="N140" s="217"/>
      <c r="O140" s="217"/>
      <c r="P140" s="217"/>
      <c r="Q140" s="217"/>
      <c r="R140" s="217"/>
      <c r="S140" s="217"/>
      <c r="T140" s="217"/>
      <c r="U140" s="217"/>
    </row>
    <row r="141" spans="1:21" x14ac:dyDescent="0.4">
      <c r="A141" s="76"/>
      <c r="M141" s="40"/>
      <c r="N141" s="217"/>
      <c r="O141" s="217"/>
      <c r="P141" s="217"/>
      <c r="Q141" s="217"/>
      <c r="R141" s="217"/>
      <c r="S141" s="107"/>
      <c r="T141" s="217"/>
      <c r="U141" s="217"/>
    </row>
    <row r="142" spans="1:21" x14ac:dyDescent="0.4">
      <c r="A142" s="76"/>
      <c r="M142" s="97"/>
      <c r="N142" s="333"/>
      <c r="O142" s="217"/>
      <c r="P142" s="334"/>
      <c r="Q142" s="217"/>
      <c r="R142" s="217"/>
      <c r="S142" s="217"/>
      <c r="T142" s="217"/>
      <c r="U142" s="217"/>
    </row>
    <row r="143" spans="1:21" ht="15.35" x14ac:dyDescent="0.5">
      <c r="A143" s="76"/>
      <c r="B143" s="382" t="str">
        <f>$B$1</f>
        <v xml:space="preserve">Jersey Central Power &amp; Light </v>
      </c>
      <c r="C143" s="382"/>
      <c r="D143" s="382"/>
      <c r="E143" s="382"/>
      <c r="F143" s="382"/>
      <c r="G143" s="382"/>
      <c r="H143" s="382"/>
      <c r="I143" s="382"/>
      <c r="J143" s="382"/>
      <c r="K143" s="382"/>
      <c r="L143" s="382"/>
      <c r="M143" s="217"/>
      <c r="N143" s="217"/>
      <c r="O143" s="217"/>
      <c r="P143" s="217"/>
      <c r="Q143" s="217"/>
      <c r="R143" s="215"/>
      <c r="S143" s="84"/>
      <c r="T143" s="217"/>
      <c r="U143" s="217"/>
    </row>
    <row r="144" spans="1:21" ht="15.35" x14ac:dyDescent="0.5">
      <c r="A144" s="76"/>
      <c r="B144" s="382" t="str">
        <f>$B$2</f>
        <v>Attachment 2</v>
      </c>
      <c r="C144" s="382"/>
      <c r="D144" s="382"/>
      <c r="E144" s="382"/>
      <c r="F144" s="382"/>
      <c r="G144" s="382"/>
      <c r="H144" s="382"/>
      <c r="I144" s="382"/>
      <c r="J144" s="382"/>
      <c r="K144" s="382"/>
      <c r="L144" s="382"/>
    </row>
    <row r="145" spans="1:51" x14ac:dyDescent="0.4">
      <c r="A145" s="77" t="s">
        <v>123</v>
      </c>
      <c r="B145" s="78" t="s">
        <v>124</v>
      </c>
      <c r="C145" s="32"/>
      <c r="Q145" s="211" t="s">
        <v>125</v>
      </c>
      <c r="T145" s="211" t="s">
        <v>126</v>
      </c>
      <c r="W145" s="211" t="s">
        <v>127</v>
      </c>
      <c r="Z145" s="211" t="s">
        <v>128</v>
      </c>
    </row>
    <row r="146" spans="1:51" x14ac:dyDescent="0.4">
      <c r="A146" s="76"/>
      <c r="B146" s="79" t="s">
        <v>129</v>
      </c>
      <c r="C146" s="32"/>
      <c r="W146" s="211" t="s">
        <v>130</v>
      </c>
      <c r="Z146" s="211" t="s">
        <v>131</v>
      </c>
      <c r="AC146" s="211" t="s">
        <v>132</v>
      </c>
    </row>
    <row r="147" spans="1:51" x14ac:dyDescent="0.4">
      <c r="A147" s="76"/>
      <c r="B147" s="79" t="s">
        <v>81</v>
      </c>
      <c r="C147" s="32"/>
    </row>
    <row r="148" spans="1:51" x14ac:dyDescent="0.4">
      <c r="A148" s="76"/>
      <c r="B148" s="78"/>
      <c r="C148" s="80"/>
      <c r="D148" s="80"/>
      <c r="E148" s="80" t="str">
        <f>+E$13</f>
        <v>RT{1}</v>
      </c>
      <c r="F148" s="80" t="str">
        <f>+F$13</f>
        <v>RS{2}</v>
      </c>
      <c r="G148" s="80" t="str">
        <f>+G$13</f>
        <v>GS{3}</v>
      </c>
      <c r="H148" s="80" t="str">
        <f>+H$58</f>
        <v>GST {4}</v>
      </c>
      <c r="I148" s="80" t="str">
        <f>+I$13</f>
        <v>OL/SL</v>
      </c>
      <c r="J148" s="80"/>
      <c r="K148" s="80"/>
      <c r="L148" s="80"/>
      <c r="M148" s="80"/>
      <c r="Q148" s="80" t="str">
        <f>+$H148</f>
        <v>GST {4}</v>
      </c>
      <c r="R148" s="80"/>
      <c r="S148" s="80"/>
      <c r="T148" s="80" t="str">
        <f>+$H148</f>
        <v>GST {4}</v>
      </c>
      <c r="U148" s="80"/>
      <c r="V148" s="80"/>
      <c r="W148" s="80" t="str">
        <f>+$H148</f>
        <v>GST {4}</v>
      </c>
      <c r="X148" s="80"/>
      <c r="Z148" s="80" t="str">
        <f>+$H148</f>
        <v>GST {4}</v>
      </c>
      <c r="AA148" s="80"/>
      <c r="AC148" s="80" t="str">
        <f>+$H148</f>
        <v>GST {4}</v>
      </c>
      <c r="AD148" s="80"/>
      <c r="AU148" s="80"/>
      <c r="AV148" s="80"/>
      <c r="AW148" s="80"/>
      <c r="AX148" s="80"/>
      <c r="AY148" s="80"/>
    </row>
    <row r="149" spans="1:51" x14ac:dyDescent="0.4">
      <c r="A149" s="76"/>
      <c r="B149" s="235" t="s">
        <v>111</v>
      </c>
      <c r="C149" s="44"/>
      <c r="D149" s="44"/>
      <c r="E149" s="335">
        <f>+E130/SUM(E65:E68)*1000</f>
        <v>27.703221480414303</v>
      </c>
      <c r="F149" s="335">
        <f>+F130/SUM(F65:F68)*1000</f>
        <v>27.810995612542165</v>
      </c>
      <c r="G149" s="335">
        <f>+G130/SUM(G65:G68)*1000</f>
        <v>28.349602211901288</v>
      </c>
      <c r="H149" s="335">
        <f>+H130/SUM(H65:H68)*1000</f>
        <v>28.105651552066597</v>
      </c>
      <c r="I149" s="335">
        <f>+I130/SUM(I65:I68)*1000</f>
        <v>25.185503366575176</v>
      </c>
      <c r="J149" s="44"/>
      <c r="K149" s="44"/>
      <c r="L149" s="44"/>
      <c r="M149" s="44"/>
      <c r="P149" s="95" t="s">
        <v>91</v>
      </c>
      <c r="AU149" s="226"/>
      <c r="AV149" s="226"/>
      <c r="AW149" s="226"/>
      <c r="AX149" s="226"/>
      <c r="AY149" s="226"/>
    </row>
    <row r="150" spans="1:51" x14ac:dyDescent="0.4">
      <c r="A150" s="76"/>
      <c r="B150" s="236" t="s">
        <v>133</v>
      </c>
      <c r="C150" s="336"/>
      <c r="D150" s="336"/>
      <c r="E150" s="335">
        <f>+(E131*1000-X161*AVERAGE(E$113,E$114))/R161</f>
        <v>34.417019548119939</v>
      </c>
      <c r="F150" s="335"/>
      <c r="G150" s="335"/>
      <c r="H150" s="335">
        <f>+(H131*1000-W150*AVERAGE(H$113,H$114))/Q150</f>
        <v>34.017849432360961</v>
      </c>
      <c r="I150" s="335"/>
      <c r="J150" s="336"/>
      <c r="K150" s="336"/>
      <c r="L150" s="336"/>
      <c r="M150" s="44"/>
      <c r="P150" s="211" t="s">
        <v>85</v>
      </c>
      <c r="Q150" s="226">
        <f>T65</f>
        <v>30387.3639</v>
      </c>
      <c r="R150" s="226"/>
      <c r="T150" s="226">
        <f>T76</f>
        <v>36853.0075</v>
      </c>
      <c r="U150" s="226"/>
      <c r="W150" s="226">
        <f>+T150-Q150</f>
        <v>6465.6435999999994</v>
      </c>
      <c r="X150" s="226"/>
      <c r="Z150" s="21">
        <f>+H150*Q150/1000</f>
        <v>1033.7127697965609</v>
      </c>
      <c r="AA150" s="21"/>
      <c r="AX150" s="226"/>
    </row>
    <row r="151" spans="1:51" ht="14.7" x14ac:dyDescent="0.7">
      <c r="A151" s="76"/>
      <c r="B151" s="236" t="s">
        <v>134</v>
      </c>
      <c r="C151" s="336"/>
      <c r="D151" s="336"/>
      <c r="E151" s="335">
        <f>+(E132*1000-X162*AVERAGE(E$113,E$114))/R162</f>
        <v>23.032145760484724</v>
      </c>
      <c r="F151" s="335"/>
      <c r="G151" s="335"/>
      <c r="H151" s="335">
        <f>+(H132*1000-W151*AVERAGE(H$113,H$114))/Q151</f>
        <v>23.024539570224754</v>
      </c>
      <c r="I151" s="335"/>
      <c r="J151" s="336"/>
      <c r="K151" s="336"/>
      <c r="L151" s="336"/>
      <c r="M151" s="44"/>
      <c r="P151" s="211" t="s">
        <v>86</v>
      </c>
      <c r="Q151" s="226">
        <f>T66</f>
        <v>35357.636100000003</v>
      </c>
      <c r="R151" s="226"/>
      <c r="T151" s="226">
        <f>T77</f>
        <v>28891.9925</v>
      </c>
      <c r="U151" s="226"/>
      <c r="W151" s="226">
        <f>+T151-Q151</f>
        <v>-6465.6436000000031</v>
      </c>
      <c r="X151" s="226"/>
      <c r="Z151" s="14">
        <f>+H151*Q151/1000</f>
        <v>814.09329149405733</v>
      </c>
      <c r="AA151" s="14"/>
      <c r="AX151" s="226"/>
    </row>
    <row r="152" spans="1:51" x14ac:dyDescent="0.4">
      <c r="A152" s="76"/>
      <c r="C152" s="21"/>
      <c r="D152" s="21"/>
      <c r="E152" s="337"/>
      <c r="F152" s="337"/>
      <c r="G152" s="337"/>
      <c r="H152" s="337"/>
      <c r="I152" s="337"/>
      <c r="J152" s="21"/>
      <c r="K152" s="21"/>
      <c r="L152" s="21"/>
      <c r="M152" s="21"/>
      <c r="Q152" s="226"/>
      <c r="R152" s="226"/>
      <c r="T152" s="226"/>
      <c r="U152" s="226"/>
      <c r="W152" s="226"/>
      <c r="X152" s="226"/>
      <c r="Z152" s="21">
        <f>+Z151+Z150</f>
        <v>1847.8060612906183</v>
      </c>
      <c r="AA152" s="21"/>
      <c r="AC152" s="319">
        <f>+H130</f>
        <v>1847.8060612906183</v>
      </c>
      <c r="AD152" s="319"/>
    </row>
    <row r="153" spans="1:51" x14ac:dyDescent="0.4">
      <c r="A153" s="76"/>
      <c r="B153" s="235" t="s">
        <v>115</v>
      </c>
      <c r="C153" s="32"/>
      <c r="D153" s="32"/>
      <c r="E153" s="337">
        <f>+E134/SUM(E60:E64,E69:E71)*1000</f>
        <v>32.960894442860294</v>
      </c>
      <c r="F153" s="337">
        <f>+F134/SUM(F60:F64,F69:F71)*1000</f>
        <v>32.766806579173071</v>
      </c>
      <c r="G153" s="337">
        <f>+G134/SUM(G60:G64,G69:G71)*1000</f>
        <v>32.828851309706707</v>
      </c>
      <c r="H153" s="337">
        <f>+H134/SUM(H60:H64,H69:H71)*1000</f>
        <v>32.383543472868773</v>
      </c>
      <c r="I153" s="337">
        <f>+I134/SUM(I60:I64,I69:I71)*1000</f>
        <v>31.107352986375037</v>
      </c>
      <c r="J153" s="32"/>
      <c r="K153" s="32"/>
      <c r="L153" s="32"/>
      <c r="M153" s="32"/>
      <c r="P153" s="95" t="s">
        <v>88</v>
      </c>
      <c r="Q153" s="226"/>
      <c r="R153" s="226"/>
      <c r="T153" s="226"/>
      <c r="U153" s="226"/>
      <c r="W153" s="226"/>
      <c r="X153" s="226"/>
      <c r="Z153" s="21"/>
      <c r="AA153" s="21"/>
      <c r="AC153" s="319"/>
      <c r="AU153" s="226"/>
      <c r="AV153" s="226"/>
      <c r="AW153" s="226"/>
      <c r="AX153" s="226"/>
      <c r="AY153" s="226"/>
    </row>
    <row r="154" spans="1:51" x14ac:dyDescent="0.4">
      <c r="A154" s="76"/>
      <c r="B154" s="236" t="s">
        <v>133</v>
      </c>
      <c r="C154" s="336"/>
      <c r="D154" s="336"/>
      <c r="E154" s="335">
        <f>+(E135*1000-X166*AVERAGE(E$113,E$114))/R166</f>
        <v>39.136373932539385</v>
      </c>
      <c r="F154" s="335"/>
      <c r="G154" s="335"/>
      <c r="H154" s="335">
        <f>+(H135*1000-W154*AVERAGE(H$117,H$118))/Q154</f>
        <v>35.728695356262143</v>
      </c>
      <c r="I154" s="335"/>
      <c r="J154" s="336"/>
      <c r="K154" s="336"/>
      <c r="L154" s="336"/>
      <c r="M154" s="44"/>
      <c r="P154" s="211" t="s">
        <v>85</v>
      </c>
      <c r="Q154" s="226">
        <f>T61</f>
        <v>55261.285100000001</v>
      </c>
      <c r="R154" s="226"/>
      <c r="T154" s="226">
        <f>T72</f>
        <v>69384.185700000002</v>
      </c>
      <c r="U154" s="226"/>
      <c r="W154" s="226">
        <f>+T154-Q154</f>
        <v>14122.900600000001</v>
      </c>
      <c r="X154" s="226"/>
      <c r="Z154" s="21">
        <f>+H154*Q154/1000</f>
        <v>1974.4136203334485</v>
      </c>
      <c r="AA154" s="21"/>
      <c r="AC154" s="319"/>
      <c r="AX154" s="226"/>
    </row>
    <row r="155" spans="1:51" ht="14.7" x14ac:dyDescent="0.7">
      <c r="A155" s="76"/>
      <c r="B155" s="236" t="s">
        <v>134</v>
      </c>
      <c r="C155" s="336"/>
      <c r="D155" s="336"/>
      <c r="E155" s="335">
        <f>+(E136*1000-X167*AVERAGE(E$113,E$114))/R167</f>
        <v>29.594111110718821</v>
      </c>
      <c r="F155" s="335"/>
      <c r="G155" s="335"/>
      <c r="H155" s="335">
        <f>+(H136*1000-W155*AVERAGE(H$117,H$118))/Q155</f>
        <v>29.765638295411811</v>
      </c>
      <c r="I155" s="335"/>
      <c r="J155" s="336"/>
      <c r="K155" s="336"/>
      <c r="L155" s="336"/>
      <c r="M155" s="44"/>
      <c r="P155" s="211" t="s">
        <v>86</v>
      </c>
      <c r="Q155" s="226">
        <f>T62</f>
        <v>70612.714899999992</v>
      </c>
      <c r="R155" s="226"/>
      <c r="T155" s="226">
        <f>T73</f>
        <v>56489.814299999998</v>
      </c>
      <c r="U155" s="226"/>
      <c r="W155" s="226">
        <f>+T155-Q155</f>
        <v>-14122.900599999994</v>
      </c>
      <c r="X155" s="226"/>
      <c r="Z155" s="14">
        <f>+H155*Q155/1000</f>
        <v>2101.8325307704358</v>
      </c>
      <c r="AA155" s="14"/>
      <c r="AC155" s="319"/>
      <c r="AX155" s="226"/>
    </row>
    <row r="156" spans="1:51" x14ac:dyDescent="0.4">
      <c r="A156" s="76"/>
      <c r="C156" s="32"/>
      <c r="D156" s="32"/>
      <c r="E156" s="337"/>
      <c r="F156" s="337"/>
      <c r="G156" s="337"/>
      <c r="H156" s="337"/>
      <c r="I156" s="337"/>
      <c r="J156" s="32"/>
      <c r="K156" s="32"/>
      <c r="L156" s="32"/>
      <c r="M156" s="32"/>
      <c r="Z156" s="21">
        <f>+Z155+Z154</f>
        <v>4076.2461511038846</v>
      </c>
      <c r="AA156" s="21"/>
      <c r="AC156" s="319">
        <f>+H134</f>
        <v>4076.2461511038841</v>
      </c>
      <c r="AD156" s="319"/>
    </row>
    <row r="157" spans="1:51" x14ac:dyDescent="0.4">
      <c r="A157" s="76"/>
      <c r="B157" s="211" t="s">
        <v>135</v>
      </c>
      <c r="C157" s="44"/>
      <c r="D157" s="44"/>
      <c r="E157" s="335">
        <f>(E149*SUM(E65:E68)+E153*SUM(E60:E64,E69:E71))/E72</f>
        <v>31.229926424831763</v>
      </c>
      <c r="F157" s="335">
        <f>(F149*SUM(F65:F68)+F153*SUM(F60:F64,F69:F71))/F72</f>
        <v>30.70676023206067</v>
      </c>
      <c r="G157" s="335">
        <f>(G149*SUM(G65:G68)+G153*SUM(G60:G64,G69:G71))/G72</f>
        <v>31.205200783463408</v>
      </c>
      <c r="H157" s="335">
        <f>(H149*SUM(H65:H68)+H153*SUM(H60:H64,H69:H71))/H72</f>
        <v>30.915787121290176</v>
      </c>
      <c r="I157" s="335">
        <f>(I149*SUM(I65:I68)+I153*SUM(I60:I64,I69:I71))/I72</f>
        <v>29.133334513634107</v>
      </c>
      <c r="J157" s="44"/>
      <c r="K157" s="44"/>
      <c r="L157" s="44"/>
      <c r="M157" s="44"/>
      <c r="AU157" s="226"/>
      <c r="AV157" s="226"/>
      <c r="AW157" s="226"/>
      <c r="AX157" s="226"/>
      <c r="AY157" s="226"/>
    </row>
    <row r="158" spans="1:51" x14ac:dyDescent="0.4">
      <c r="A158" s="76"/>
      <c r="B158" s="211" t="s">
        <v>136</v>
      </c>
      <c r="C158" s="44">
        <f>+C140/SUM(C72:I72)*1000</f>
        <v>30.885173001786345</v>
      </c>
      <c r="E158" s="311"/>
      <c r="F158" s="311"/>
      <c r="G158" s="311"/>
      <c r="H158" s="311"/>
      <c r="I158" s="311"/>
    </row>
    <row r="159" spans="1:51" x14ac:dyDescent="0.4">
      <c r="A159" s="76"/>
      <c r="Q159" s="80" t="str">
        <f>+$E148</f>
        <v>RT{1}</v>
      </c>
      <c r="R159" s="80"/>
      <c r="S159" s="80"/>
      <c r="T159" s="80" t="str">
        <f>+$E148</f>
        <v>RT{1}</v>
      </c>
      <c r="U159" s="80"/>
      <c r="V159" s="80"/>
      <c r="W159" s="80" t="str">
        <f>+$E148</f>
        <v>RT{1}</v>
      </c>
      <c r="X159" s="80"/>
      <c r="Z159" s="80" t="str">
        <f>+$E148</f>
        <v>RT{1}</v>
      </c>
      <c r="AA159" s="80"/>
      <c r="AC159" s="80" t="str">
        <f>+$E148</f>
        <v>RT{1}</v>
      </c>
    </row>
    <row r="160" spans="1:51" x14ac:dyDescent="0.4">
      <c r="A160" s="77" t="s">
        <v>137</v>
      </c>
      <c r="B160" s="78" t="s">
        <v>138</v>
      </c>
      <c r="P160" s="95" t="s">
        <v>91</v>
      </c>
      <c r="Q160" s="96" t="s">
        <v>139</v>
      </c>
      <c r="R160" s="96" t="s">
        <v>140</v>
      </c>
      <c r="T160" s="96" t="s">
        <v>139</v>
      </c>
      <c r="U160" s="96" t="s">
        <v>140</v>
      </c>
      <c r="W160" s="96" t="s">
        <v>139</v>
      </c>
      <c r="X160" s="96" t="s">
        <v>140</v>
      </c>
      <c r="Z160" s="96" t="s">
        <v>141</v>
      </c>
      <c r="AC160" s="96" t="s">
        <v>141</v>
      </c>
    </row>
    <row r="161" spans="1:51" x14ac:dyDescent="0.4">
      <c r="A161" s="76"/>
      <c r="B161" s="79" t="s">
        <v>435</v>
      </c>
      <c r="J161" s="80" t="s">
        <v>142</v>
      </c>
      <c r="K161" s="80"/>
      <c r="P161" s="211" t="s">
        <v>85</v>
      </c>
      <c r="Q161" s="226">
        <f>SUMPRODUCT(E38:E41,M65:M68)</f>
        <v>26180.203300000001</v>
      </c>
      <c r="R161" s="226">
        <f>SUMPRODUCT(E38:E41,E65:E68)</f>
        <v>27180.5452</v>
      </c>
      <c r="T161" s="226">
        <f>Q76</f>
        <v>33888.873700000004</v>
      </c>
      <c r="U161" s="226">
        <f>T161-($Q$163*$Q161/($Q$161+$Q$162))</f>
        <v>32885.143730456744</v>
      </c>
      <c r="W161" s="226">
        <f>+T161-Q161</f>
        <v>7708.6704000000027</v>
      </c>
      <c r="X161" s="226">
        <f>-Q161+U161</f>
        <v>6704.9404304567433</v>
      </c>
      <c r="Z161" s="21">
        <f>+E150*Q161/1000</f>
        <v>901.04456874985408</v>
      </c>
      <c r="AA161" s="21"/>
      <c r="AU161" s="21"/>
      <c r="AV161" s="21"/>
      <c r="AW161" s="21"/>
      <c r="AX161" s="21"/>
      <c r="AY161" s="21"/>
    </row>
    <row r="162" spans="1:51" ht="14.7" x14ac:dyDescent="0.7">
      <c r="A162" s="76"/>
      <c r="B162" s="79" t="s">
        <v>143</v>
      </c>
      <c r="C162" s="80"/>
      <c r="D162" s="80"/>
      <c r="E162" s="80" t="str">
        <f>+E$13</f>
        <v>RT{1}</v>
      </c>
      <c r="F162" s="80" t="str">
        <f>+F$13</f>
        <v>RS{2}</v>
      </c>
      <c r="G162" s="80" t="str">
        <f>+G$13</f>
        <v>GS{3}</v>
      </c>
      <c r="H162" s="80" t="str">
        <f>+H$58</f>
        <v>GST {4}</v>
      </c>
      <c r="I162" s="80" t="str">
        <f>+I$13</f>
        <v>OL/SL</v>
      </c>
      <c r="J162" s="80" t="s">
        <v>144</v>
      </c>
      <c r="K162" s="80"/>
      <c r="L162" s="80"/>
      <c r="M162" s="80"/>
      <c r="P162" s="211" t="s">
        <v>86</v>
      </c>
      <c r="Q162" s="226">
        <f>SUMPRODUCT(Q38:Q41,M65:M68)</f>
        <v>37624.796700000006</v>
      </c>
      <c r="R162" s="105">
        <f>SUMPRODUCT(Q38:Q41,E65:E68)</f>
        <v>39071.4548</v>
      </c>
      <c r="T162" s="226">
        <f>Q77</f>
        <v>32363.126299999996</v>
      </c>
      <c r="U162" s="226">
        <f>T162-($Q$163*$Q162/($Q$161+$Q$162))</f>
        <v>30920.61893621026</v>
      </c>
      <c r="W162" s="226">
        <f>+T162-Q162</f>
        <v>-5261.67040000001</v>
      </c>
      <c r="X162" s="226">
        <f>-Q162+U162</f>
        <v>-6704.1777637897467</v>
      </c>
      <c r="Z162" s="21">
        <f>+E151*Q162/1000</f>
        <v>866.57980180300478</v>
      </c>
      <c r="AA162" s="14"/>
      <c r="AU162" s="21"/>
      <c r="AV162" s="21"/>
      <c r="AW162" s="21"/>
      <c r="AX162" s="21"/>
      <c r="AY162" s="21"/>
    </row>
    <row r="163" spans="1:51" ht="14.7" x14ac:dyDescent="0.7">
      <c r="A163" s="76"/>
      <c r="P163" s="211" t="s">
        <v>145</v>
      </c>
      <c r="Q163" s="105">
        <f>SUM(W65:W68)/1000</f>
        <v>2446.2373333329997</v>
      </c>
      <c r="R163" s="226">
        <f>SUM(R161:R162)</f>
        <v>66252</v>
      </c>
      <c r="T163" s="226">
        <v>0</v>
      </c>
      <c r="U163" s="226">
        <v>0</v>
      </c>
      <c r="W163" s="226">
        <f>+T163-Q163</f>
        <v>-2446.2373333329997</v>
      </c>
      <c r="X163" s="226"/>
      <c r="Z163" s="14">
        <f>+E149*Q163/1000</f>
        <v>67.768654638982156</v>
      </c>
      <c r="AU163" s="21"/>
      <c r="AV163" s="21"/>
      <c r="AW163" s="21"/>
      <c r="AX163" s="21"/>
      <c r="AY163" s="21"/>
    </row>
    <row r="164" spans="1:51" x14ac:dyDescent="0.4">
      <c r="A164" s="76"/>
      <c r="B164" s="211" t="s">
        <v>146</v>
      </c>
      <c r="C164" s="344"/>
      <c r="D164" s="344"/>
      <c r="E164" s="344">
        <v>49.862481999999986</v>
      </c>
      <c r="F164" s="344">
        <v>3187.0982709999998</v>
      </c>
      <c r="G164" s="344">
        <v>1393.6537833999998</v>
      </c>
      <c r="H164" s="344">
        <v>24.347985000000016</v>
      </c>
      <c r="I164" s="344">
        <v>0.80814599999999992</v>
      </c>
      <c r="J164" s="344">
        <f>SUM(E164:I164)</f>
        <v>4655.7706674000001</v>
      </c>
      <c r="K164" s="344"/>
      <c r="L164" s="344"/>
      <c r="M164" s="344"/>
      <c r="Q164" s="226">
        <f>SUM(Q161:Q163)</f>
        <v>66251.237333333003</v>
      </c>
      <c r="Z164" s="21">
        <f>SUM(Z161:Z163)</f>
        <v>1835.3930251918409</v>
      </c>
      <c r="AA164" s="21"/>
      <c r="AC164" s="319">
        <f>+E130</f>
        <v>1835.3938295204084</v>
      </c>
      <c r="AU164" s="21"/>
      <c r="AV164" s="21"/>
      <c r="AW164" s="21"/>
      <c r="AX164" s="21"/>
      <c r="AY164" s="21"/>
    </row>
    <row r="165" spans="1:51" x14ac:dyDescent="0.4">
      <c r="A165" s="76"/>
      <c r="F165" s="27"/>
      <c r="G165" s="27"/>
      <c r="H165" s="27"/>
      <c r="I165" s="27"/>
      <c r="J165" s="27"/>
      <c r="P165" s="95" t="s">
        <v>88</v>
      </c>
      <c r="Q165" s="226"/>
      <c r="R165" s="226"/>
      <c r="T165" s="226"/>
      <c r="U165" s="226"/>
      <c r="W165" s="226"/>
      <c r="X165" s="226"/>
      <c r="AU165" s="21"/>
      <c r="AV165" s="21"/>
      <c r="AW165" s="21"/>
      <c r="AX165" s="21"/>
      <c r="AY165" s="21"/>
    </row>
    <row r="166" spans="1:51" x14ac:dyDescent="0.4">
      <c r="A166" s="76"/>
      <c r="E166" s="28"/>
      <c r="F166" s="28"/>
      <c r="G166" s="28"/>
      <c r="H166" s="28"/>
      <c r="I166" s="28"/>
      <c r="J166" s="28"/>
      <c r="K166" s="344"/>
      <c r="L166" s="344"/>
      <c r="M166" s="344"/>
      <c r="P166" s="211" t="s">
        <v>85</v>
      </c>
      <c r="Q166" s="226">
        <f>SUMPRODUCT(E33:E37,M60:M64)+SUMPRODUCT(E42:E44,M69:M71)</f>
        <v>45543.3194</v>
      </c>
      <c r="R166" s="226">
        <f>SUMPRODUCT(E33:E37,E60:E64)+SUMPRODUCT(E42:E44,E69:E71)</f>
        <v>47623.064899999998</v>
      </c>
      <c r="T166" s="226">
        <f>Q72</f>
        <v>64522.165199999996</v>
      </c>
      <c r="U166" s="226">
        <f>T166-($Q$168*$Q166/($Q$166+$Q$167))</f>
        <v>62448.972719942627</v>
      </c>
      <c r="W166" s="226">
        <f>+T166-Q166</f>
        <v>18978.845799999996</v>
      </c>
      <c r="X166" s="226">
        <f>-Q166+U166</f>
        <v>16905.653319942627</v>
      </c>
      <c r="Z166" s="21">
        <f>+E154*Q166/1000</f>
        <v>1782.4003781674753</v>
      </c>
      <c r="AA166" s="21"/>
      <c r="AC166" s="319"/>
      <c r="AU166" s="21"/>
      <c r="AV166" s="21"/>
      <c r="AW166" s="21"/>
      <c r="AX166" s="21"/>
      <c r="AY166" s="21"/>
    </row>
    <row r="167" spans="1:51" ht="14.7" x14ac:dyDescent="0.7">
      <c r="A167" s="76"/>
      <c r="B167" s="211" t="s">
        <v>147</v>
      </c>
      <c r="C167" s="344" t="s">
        <v>148</v>
      </c>
      <c r="D167" s="344"/>
      <c r="E167" s="312"/>
      <c r="F167" s="312"/>
      <c r="G167" s="312"/>
      <c r="H167" s="312"/>
      <c r="I167" s="344"/>
      <c r="J167" s="344"/>
      <c r="K167" s="344"/>
      <c r="L167" s="344"/>
      <c r="M167" s="344"/>
      <c r="P167" s="211" t="s">
        <v>86</v>
      </c>
      <c r="Q167" s="226">
        <f>SUMPRODUCT(Q33:Q37,M60:M64)+SUMPRODUCT(Q42:Q44,M69:M71)</f>
        <v>83561.680600000007</v>
      </c>
      <c r="R167" s="105">
        <f>SUMPRODUCT(Q33:Q37,E60:E64)+SUMPRODUCT(Q42:Q44,E69:E71)</f>
        <v>87359.935100000002</v>
      </c>
      <c r="T167" s="226">
        <f>Q73</f>
        <v>70460.834800000011</v>
      </c>
      <c r="U167" s="226">
        <f>T167-($Q$168*$Q167/($Q$166+$Q$167))</f>
        <v>66656.995946724084</v>
      </c>
      <c r="W167" s="226">
        <f>+T167-Q167</f>
        <v>-13100.845799999996</v>
      </c>
      <c r="X167" s="226">
        <f>-Q167+U167</f>
        <v>-16904.684653275923</v>
      </c>
      <c r="Z167" s="21">
        <f>+E155*Q167/1000</f>
        <v>2472.9336602747976</v>
      </c>
      <c r="AA167" s="14"/>
      <c r="AC167" s="319"/>
      <c r="AU167" s="21"/>
      <c r="AV167" s="21"/>
      <c r="AW167" s="21"/>
      <c r="AX167" s="21"/>
      <c r="AY167" s="21"/>
    </row>
    <row r="168" spans="1:51" ht="14.7" x14ac:dyDescent="0.7">
      <c r="A168" s="76"/>
      <c r="B168" s="211" t="s">
        <v>149</v>
      </c>
      <c r="I168" s="344"/>
      <c r="J168" s="344"/>
      <c r="K168" s="344"/>
      <c r="L168" s="344"/>
      <c r="M168" s="344"/>
      <c r="P168" s="211" t="s">
        <v>145</v>
      </c>
      <c r="Q168" s="105">
        <f>SUM(W60:W64,W69:W71)/1000</f>
        <v>5877.0313333332997</v>
      </c>
      <c r="R168" s="226">
        <f>SUM(R166:R167)</f>
        <v>134983</v>
      </c>
      <c r="T168" s="211">
        <v>0</v>
      </c>
      <c r="U168" s="226">
        <v>0</v>
      </c>
      <c r="W168" s="226">
        <f>+T168-Q168</f>
        <v>-5877.0313333332997</v>
      </c>
      <c r="X168" s="226"/>
      <c r="Z168" s="14">
        <f>+E153*Q168/1000</f>
        <v>193.71220941538141</v>
      </c>
      <c r="AU168" s="21"/>
      <c r="AV168" s="21"/>
      <c r="AW168" s="21"/>
      <c r="AX168" s="21"/>
      <c r="AY168" s="21"/>
    </row>
    <row r="169" spans="1:51" x14ac:dyDescent="0.4">
      <c r="A169" s="76"/>
      <c r="D169" s="212" t="s">
        <v>150</v>
      </c>
      <c r="E169" s="211">
        <v>122</v>
      </c>
      <c r="G169" s="212" t="s">
        <v>151</v>
      </c>
      <c r="H169" s="211">
        <v>4</v>
      </c>
      <c r="I169" s="344"/>
      <c r="J169" s="344"/>
      <c r="K169" s="344"/>
      <c r="L169" s="344"/>
      <c r="M169" s="345"/>
      <c r="N169" s="345"/>
      <c r="Q169" s="290">
        <f>SUM(Q166:Q168)</f>
        <v>134982.03133333329</v>
      </c>
      <c r="R169" s="80"/>
      <c r="S169" s="80"/>
      <c r="T169" s="80"/>
      <c r="U169" s="80"/>
      <c r="V169" s="80"/>
      <c r="W169" s="80"/>
      <c r="X169" s="80"/>
      <c r="Z169" s="21">
        <f>SUM(Z166:Z168)</f>
        <v>4449.0462478576537</v>
      </c>
      <c r="AA169" s="21"/>
      <c r="AC169" s="319">
        <f>+E134</f>
        <v>4449.1604145806114</v>
      </c>
      <c r="AU169" s="319"/>
      <c r="AV169" s="319"/>
      <c r="AW169" s="319"/>
      <c r="AX169" s="319"/>
      <c r="AY169" s="319"/>
    </row>
    <row r="170" spans="1:51" ht="14.7" x14ac:dyDescent="0.7">
      <c r="A170" s="76"/>
      <c r="D170" s="346" t="s">
        <v>152</v>
      </c>
      <c r="E170" s="211">
        <f>31+30+31+31+28+31+30+31</f>
        <v>243</v>
      </c>
      <c r="G170" s="346" t="s">
        <v>153</v>
      </c>
      <c r="H170" s="211">
        <v>8</v>
      </c>
      <c r="I170" s="344"/>
      <c r="J170" s="344"/>
      <c r="K170" s="344"/>
      <c r="L170" s="344"/>
      <c r="M170" s="345"/>
      <c r="N170" s="345"/>
      <c r="Q170" s="226"/>
      <c r="R170" s="226"/>
      <c r="T170" s="226"/>
      <c r="U170" s="226"/>
      <c r="W170" s="226"/>
      <c r="X170" s="226"/>
      <c r="Z170" s="14"/>
      <c r="AA170" s="14"/>
      <c r="AX170" s="319"/>
    </row>
    <row r="171" spans="1:51" x14ac:dyDescent="0.4">
      <c r="A171" s="76"/>
      <c r="D171" s="347"/>
      <c r="E171" s="347"/>
      <c r="F171" s="348"/>
      <c r="G171" s="212" t="s">
        <v>154</v>
      </c>
      <c r="H171" s="211">
        <f>+H169+H170</f>
        <v>12</v>
      </c>
      <c r="I171" s="344"/>
      <c r="J171" s="344"/>
      <c r="K171" s="344"/>
      <c r="L171" s="344"/>
      <c r="M171" s="344"/>
      <c r="N171" s="344"/>
      <c r="O171" s="344" t="s">
        <v>3</v>
      </c>
      <c r="Q171" s="226"/>
      <c r="R171" s="226"/>
      <c r="T171" s="226"/>
      <c r="U171" s="226"/>
      <c r="W171" s="226"/>
      <c r="X171" s="226"/>
      <c r="Z171" s="21"/>
      <c r="AA171" s="21"/>
      <c r="AC171" s="319">
        <f>SUM(AC164:AC169)</f>
        <v>6284.5542441010202</v>
      </c>
    </row>
    <row r="172" spans="1:51" x14ac:dyDescent="0.4">
      <c r="A172" s="76"/>
      <c r="B172" s="211" t="s">
        <v>155</v>
      </c>
      <c r="C172" s="21"/>
      <c r="D172" s="349"/>
      <c r="L172" s="350"/>
      <c r="N172" s="221" t="s">
        <v>3</v>
      </c>
      <c r="Q172" s="226"/>
      <c r="R172" s="226"/>
      <c r="T172" s="226"/>
      <c r="U172" s="226"/>
      <c r="W172" s="226"/>
      <c r="X172" s="226"/>
      <c r="Z172" s="21"/>
      <c r="AA172" s="21"/>
      <c r="AC172" s="319"/>
    </row>
    <row r="173" spans="1:51" x14ac:dyDescent="0.4">
      <c r="A173" s="76"/>
      <c r="C173" s="21"/>
      <c r="D173" s="44"/>
      <c r="E173" s="349"/>
      <c r="G173" s="212"/>
      <c r="H173" s="21"/>
      <c r="L173" s="350"/>
      <c r="Q173" s="226"/>
      <c r="R173" s="226"/>
      <c r="T173" s="226"/>
      <c r="U173" s="226"/>
      <c r="W173" s="226"/>
      <c r="X173" s="226"/>
      <c r="Z173" s="21"/>
      <c r="AA173" s="21"/>
      <c r="AC173" s="319"/>
    </row>
    <row r="174" spans="1:51" ht="14.7" x14ac:dyDescent="0.7">
      <c r="A174" s="76"/>
      <c r="B174" s="211" t="s">
        <v>156</v>
      </c>
      <c r="C174" s="211" t="s">
        <v>91</v>
      </c>
      <c r="D174" s="32">
        <v>164.89</v>
      </c>
      <c r="E174" s="349" t="s">
        <v>157</v>
      </c>
      <c r="G174" s="212" t="s">
        <v>158</v>
      </c>
      <c r="H174" s="319">
        <f>ROUND(D174*E169*J$164,0)</f>
        <v>93658183</v>
      </c>
      <c r="I174" s="212"/>
      <c r="J174" s="351"/>
      <c r="K174" s="352"/>
      <c r="L174" s="32"/>
      <c r="Q174" s="226"/>
      <c r="R174" s="226"/>
      <c r="T174" s="226"/>
      <c r="U174" s="226"/>
      <c r="W174" s="226"/>
      <c r="X174" s="226"/>
      <c r="Z174" s="14"/>
      <c r="AA174" s="14"/>
      <c r="AC174" s="319"/>
    </row>
    <row r="175" spans="1:51" ht="14.7" x14ac:dyDescent="0.7">
      <c r="A175" s="76"/>
      <c r="C175" s="211" t="s">
        <v>88</v>
      </c>
      <c r="D175" s="32">
        <f>D174</f>
        <v>164.89</v>
      </c>
      <c r="E175" s="349" t="s">
        <v>157</v>
      </c>
      <c r="G175" s="99" t="s">
        <v>159</v>
      </c>
      <c r="H175" s="100">
        <f>ROUND(D175*E170*J$164,0)</f>
        <v>186548676</v>
      </c>
      <c r="I175" s="212"/>
      <c r="J175" s="351"/>
      <c r="K175" s="352"/>
      <c r="L175" s="32"/>
      <c r="P175" s="211" t="s">
        <v>281</v>
      </c>
      <c r="Z175" s="21"/>
      <c r="AA175" s="21"/>
      <c r="AC175" s="319"/>
    </row>
    <row r="176" spans="1:51" x14ac:dyDescent="0.4">
      <c r="A176" s="76"/>
      <c r="B176" s="353"/>
      <c r="C176" s="353"/>
      <c r="D176" s="353"/>
      <c r="E176" s="353"/>
      <c r="F176" s="353"/>
      <c r="G176" s="212" t="s">
        <v>160</v>
      </c>
      <c r="H176" s="319">
        <f>SUM(H174:H175)</f>
        <v>280206859</v>
      </c>
      <c r="I176" s="212"/>
      <c r="J176" s="15"/>
      <c r="K176" s="352"/>
      <c r="L176" s="32"/>
      <c r="O176" s="211">
        <v>2015</v>
      </c>
      <c r="P176" s="29">
        <f>E72</f>
        <v>201235</v>
      </c>
      <c r="Q176" s="29">
        <f>F72</f>
        <v>9073407</v>
      </c>
      <c r="R176" s="29">
        <f>G72</f>
        <v>5453294</v>
      </c>
      <c r="S176" s="29">
        <f>H72</f>
        <v>191619</v>
      </c>
      <c r="T176" s="29">
        <f>I72</f>
        <v>115100</v>
      </c>
      <c r="U176" s="29">
        <f>SUM(P176:T176)</f>
        <v>15034655</v>
      </c>
    </row>
    <row r="177" spans="1:50" x14ac:dyDescent="0.4">
      <c r="A177" s="76"/>
      <c r="B177" s="211" t="s">
        <v>161</v>
      </c>
      <c r="I177" s="212"/>
      <c r="J177" s="15"/>
      <c r="K177" s="352"/>
      <c r="L177" s="32"/>
      <c r="O177" s="211">
        <v>2014</v>
      </c>
      <c r="P177" s="29">
        <v>300812</v>
      </c>
      <c r="Q177" s="29">
        <v>9139433</v>
      </c>
      <c r="R177" s="29">
        <v>6011880</v>
      </c>
      <c r="S177" s="29">
        <v>242920</v>
      </c>
      <c r="T177" s="29">
        <v>114222</v>
      </c>
      <c r="U177" s="29">
        <f>SUM(P177:T177)</f>
        <v>15809267</v>
      </c>
    </row>
    <row r="178" spans="1:50" x14ac:dyDescent="0.4">
      <c r="A178" s="76"/>
      <c r="B178" s="79" t="s">
        <v>162</v>
      </c>
      <c r="I178" s="212"/>
      <c r="J178" s="212"/>
      <c r="K178" s="212"/>
      <c r="L178" s="32"/>
      <c r="O178" s="211">
        <v>2013</v>
      </c>
      <c r="P178" s="29">
        <v>298034</v>
      </c>
      <c r="Q178" s="29">
        <v>8751355</v>
      </c>
      <c r="R178" s="29">
        <v>5786197</v>
      </c>
      <c r="S178" s="29">
        <v>228915</v>
      </c>
      <c r="T178" s="29">
        <v>115314</v>
      </c>
      <c r="U178" s="29">
        <f>SUM(P178:T178)</f>
        <v>15179815</v>
      </c>
    </row>
    <row r="179" spans="1:50" x14ac:dyDescent="0.4">
      <c r="A179" s="76"/>
      <c r="B179" s="79"/>
      <c r="C179" s="101" t="str">
        <f>" ---------- Rate "&amp;C30&amp;" ----------"</f>
        <v xml:space="preserve"> ---------- Rate  ----------</v>
      </c>
      <c r="D179" s="354"/>
      <c r="E179" s="354"/>
      <c r="I179" s="212"/>
      <c r="J179" s="212"/>
      <c r="K179" s="212"/>
      <c r="L179" s="32"/>
      <c r="P179" s="25">
        <f t="shared" ref="P179:U179" si="16">(P176-P177)/P177</f>
        <v>-0.33102735263220884</v>
      </c>
      <c r="Q179" s="25">
        <f t="shared" si="16"/>
        <v>-7.2242993629911181E-3</v>
      </c>
      <c r="R179" s="25">
        <f t="shared" si="16"/>
        <v>-9.291369754552653E-2</v>
      </c>
      <c r="S179" s="25">
        <f t="shared" si="16"/>
        <v>-0.21118475218178825</v>
      </c>
      <c r="T179" s="25">
        <f t="shared" si="16"/>
        <v>7.6867853828509391E-3</v>
      </c>
      <c r="U179" s="25">
        <f t="shared" si="16"/>
        <v>-4.8997338080253819E-2</v>
      </c>
    </row>
    <row r="180" spans="1:50" x14ac:dyDescent="0.4">
      <c r="A180" s="76"/>
      <c r="C180" s="96" t="s">
        <v>163</v>
      </c>
      <c r="E180" s="96" t="s">
        <v>164</v>
      </c>
      <c r="I180" s="212"/>
      <c r="J180" s="212"/>
      <c r="K180" s="212"/>
      <c r="L180" s="32"/>
      <c r="P180" s="25">
        <f t="shared" ref="P180:U180" si="17">(P176-P178)/P178</f>
        <v>-0.32479180227759247</v>
      </c>
      <c r="Q180" s="25">
        <f t="shared" si="17"/>
        <v>3.6800244076488728E-2</v>
      </c>
      <c r="R180" s="25">
        <f t="shared" si="17"/>
        <v>-5.7533989941925587E-2</v>
      </c>
      <c r="S180" s="25">
        <f t="shared" si="17"/>
        <v>-0.16292510320424611</v>
      </c>
      <c r="T180" s="25">
        <f t="shared" si="17"/>
        <v>-1.8558024177463275E-3</v>
      </c>
      <c r="U180" s="25">
        <f t="shared" si="17"/>
        <v>-9.5626988866465111E-3</v>
      </c>
    </row>
    <row r="181" spans="1:50" x14ac:dyDescent="0.4">
      <c r="A181" s="76"/>
      <c r="B181" s="212" t="s">
        <v>165</v>
      </c>
      <c r="C181" s="311"/>
      <c r="E181" s="230">
        <f>SUM(R65/(R65+R66))</f>
        <v>0.53058432613271322</v>
      </c>
      <c r="F181" s="78"/>
      <c r="I181" s="212"/>
      <c r="J181" s="212"/>
      <c r="K181" s="212"/>
      <c r="L181" s="32"/>
      <c r="AX181" s="230">
        <f>(37892894+37550803+37185127+37530967+385012043+415293692+408537249+370243592)/(37892894+37550803+37185127+37530967+385012043+415293692+408537249+370243592+28757462+38416028+35549073+25251802+243248593+403536675+352244990+172217638)</f>
        <v>0.5709969556930804</v>
      </c>
    </row>
    <row r="182" spans="1:50" x14ac:dyDescent="0.4">
      <c r="A182" s="76"/>
      <c r="B182" s="212" t="s">
        <v>166</v>
      </c>
      <c r="C182" s="95"/>
      <c r="E182" s="230">
        <f>1-E181</f>
        <v>0.46941567386728678</v>
      </c>
      <c r="G182" s="226"/>
      <c r="I182" s="212"/>
      <c r="J182" s="212"/>
      <c r="K182" s="212"/>
      <c r="L182" s="32"/>
    </row>
    <row r="183" spans="1:50" x14ac:dyDescent="0.4">
      <c r="A183" s="76"/>
      <c r="B183" s="212" t="s">
        <v>167</v>
      </c>
      <c r="C183" s="311">
        <v>0.86519999999999997</v>
      </c>
      <c r="D183" s="211" t="s">
        <v>168</v>
      </c>
      <c r="J183" s="212"/>
      <c r="K183" s="212"/>
      <c r="L183" s="32"/>
      <c r="P183" s="211" t="s">
        <v>282</v>
      </c>
    </row>
    <row r="184" spans="1:50" x14ac:dyDescent="0.4">
      <c r="A184" s="211"/>
      <c r="J184" s="212"/>
      <c r="K184" s="212"/>
      <c r="L184" s="32"/>
      <c r="P184" s="344">
        <f>E164</f>
        <v>49.862481999999986</v>
      </c>
      <c r="Q184" s="344">
        <f>F164</f>
        <v>3187.0982709999998</v>
      </c>
      <c r="R184" s="344">
        <f>G164</f>
        <v>1393.6537833999998</v>
      </c>
      <c r="S184" s="344">
        <f>H164</f>
        <v>24.347985000000016</v>
      </c>
      <c r="T184" s="344">
        <f>I164</f>
        <v>0.80814599999999992</v>
      </c>
      <c r="U184" s="27">
        <f>SUM(P184:T184)</f>
        <v>4655.7706674000001</v>
      </c>
    </row>
    <row r="185" spans="1:50" x14ac:dyDescent="0.4">
      <c r="A185" s="77" t="s">
        <v>169</v>
      </c>
      <c r="B185" s="78" t="s">
        <v>170</v>
      </c>
      <c r="O185" s="211">
        <v>2014</v>
      </c>
      <c r="P185" s="211">
        <v>103.3</v>
      </c>
      <c r="Q185" s="27">
        <v>3286</v>
      </c>
      <c r="R185" s="27">
        <v>1769</v>
      </c>
      <c r="S185" s="27">
        <v>44.1</v>
      </c>
      <c r="T185" s="27">
        <v>2</v>
      </c>
      <c r="U185" s="27">
        <f>SUM(P185:T185)</f>
        <v>5204.4000000000005</v>
      </c>
    </row>
    <row r="186" spans="1:50" x14ac:dyDescent="0.4">
      <c r="A186" s="77"/>
      <c r="B186" s="79" t="s">
        <v>171</v>
      </c>
      <c r="F186" s="355">
        <v>2</v>
      </c>
      <c r="G186" s="211" t="s">
        <v>172</v>
      </c>
      <c r="Q186" s="27"/>
      <c r="R186" s="27"/>
      <c r="S186" s="27"/>
      <c r="T186" s="27"/>
      <c r="U186" s="27"/>
    </row>
    <row r="187" spans="1:50" x14ac:dyDescent="0.4">
      <c r="A187" s="77"/>
      <c r="B187" s="79" t="s">
        <v>173</v>
      </c>
      <c r="F187" s="356">
        <v>15.39</v>
      </c>
      <c r="G187" s="211" t="s">
        <v>172</v>
      </c>
      <c r="Q187" s="27"/>
      <c r="R187" s="27"/>
      <c r="S187" s="27"/>
      <c r="T187" s="27"/>
      <c r="U187" s="27"/>
    </row>
    <row r="188" spans="1:50" x14ac:dyDescent="0.4">
      <c r="A188" s="76"/>
      <c r="B188" s="79" t="s">
        <v>283</v>
      </c>
      <c r="F188" s="357">
        <f>F186+F187</f>
        <v>17.39</v>
      </c>
      <c r="G188" s="211" t="s">
        <v>172</v>
      </c>
      <c r="P188" s="28">
        <f>(P184-P185)/P185</f>
        <v>-0.51730414327202334</v>
      </c>
      <c r="Q188" s="28">
        <f t="shared" ref="Q188:U188" si="18">(Q184-Q185)/Q185</f>
        <v>-3.0097909007912402E-2</v>
      </c>
      <c r="R188" s="28">
        <f t="shared" si="18"/>
        <v>-0.21217988501978527</v>
      </c>
      <c r="S188" s="28">
        <f t="shared" si="18"/>
        <v>-0.44789149659863914</v>
      </c>
      <c r="T188" s="28">
        <f t="shared" si="18"/>
        <v>-0.5959270000000001</v>
      </c>
      <c r="U188" s="28">
        <f t="shared" si="18"/>
        <v>-0.10541644235646767</v>
      </c>
    </row>
    <row r="189" spans="1:50" x14ac:dyDescent="0.4">
      <c r="A189" s="76"/>
      <c r="B189" s="78"/>
      <c r="E189" s="21"/>
      <c r="F189" s="349"/>
    </row>
    <row r="190" spans="1:50" x14ac:dyDescent="0.4">
      <c r="A190" s="77" t="s">
        <v>175</v>
      </c>
      <c r="B190" s="78" t="s">
        <v>176</v>
      </c>
    </row>
    <row r="191" spans="1:50" x14ac:dyDescent="0.4">
      <c r="A191" s="77"/>
      <c r="B191" s="78"/>
    </row>
    <row r="192" spans="1:50" x14ac:dyDescent="0.4">
      <c r="A192" s="77"/>
      <c r="B192" s="78"/>
      <c r="C192" s="80"/>
      <c r="D192" s="80"/>
      <c r="E192" s="80" t="str">
        <f>+E$13</f>
        <v>RT{1}</v>
      </c>
      <c r="F192" s="80" t="str">
        <f>+F$13</f>
        <v>RS{2}</v>
      </c>
      <c r="G192" s="80" t="str">
        <f>+G$13</f>
        <v>GS{3}</v>
      </c>
      <c r="H192" s="102" t="str">
        <f>+H$58</f>
        <v>GST {4}</v>
      </c>
      <c r="I192" s="80" t="str">
        <f>+I$13</f>
        <v>OL/SL</v>
      </c>
      <c r="J192" s="80"/>
      <c r="K192" s="80"/>
    </row>
    <row r="193" spans="1:18" x14ac:dyDescent="0.4">
      <c r="A193" s="76"/>
      <c r="B193" s="212" t="s">
        <v>177</v>
      </c>
      <c r="C193" s="44"/>
      <c r="D193" s="44"/>
      <c r="E193" s="335">
        <v>0</v>
      </c>
      <c r="F193" s="335">
        <v>0</v>
      </c>
      <c r="G193" s="335">
        <f>E193</f>
        <v>0</v>
      </c>
      <c r="H193" s="335">
        <f>E193</f>
        <v>0</v>
      </c>
      <c r="I193" s="335">
        <v>0</v>
      </c>
      <c r="J193" s="44"/>
      <c r="K193" s="44"/>
      <c r="L193" s="44"/>
      <c r="M193" s="44"/>
    </row>
    <row r="194" spans="1:18" x14ac:dyDescent="0.4">
      <c r="A194" s="76"/>
      <c r="B194" s="212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</row>
    <row r="195" spans="1:18" x14ac:dyDescent="0.4">
      <c r="A195" s="76"/>
      <c r="B195" s="212" t="s">
        <v>179</v>
      </c>
      <c r="C195" s="44"/>
      <c r="D195" s="44"/>
      <c r="E195" s="335">
        <f>$H$176*(E$164/$J$164)/E$72</f>
        <v>14.912743792581944</v>
      </c>
      <c r="F195" s="335">
        <f>$H$176*(F$164/$J$164)/F$72</f>
        <v>21.140353475048347</v>
      </c>
      <c r="G195" s="335">
        <f>$H$176*(G$164/$J$164)/G$72</f>
        <v>15.380950271609654</v>
      </c>
      <c r="H195" s="335">
        <f>$H$176*(H$164/$J$164)/H$72</f>
        <v>7.6473618154257581</v>
      </c>
      <c r="I195" s="335">
        <f>$H$176*(I$164/$J$164)/I$72</f>
        <v>0.42257294304414195</v>
      </c>
      <c r="J195" s="44"/>
      <c r="K195" s="44"/>
      <c r="L195" s="44"/>
      <c r="M195" s="44"/>
    </row>
    <row r="196" spans="1:18" x14ac:dyDescent="0.4">
      <c r="A196" s="76"/>
      <c r="B196" s="212" t="s">
        <v>180</v>
      </c>
      <c r="C196" s="44"/>
      <c r="D196" s="44"/>
      <c r="E196" s="335">
        <f>$H$174*(E$164/$J$164)/SUM(E65:E68)</f>
        <v>15.140110595331661</v>
      </c>
      <c r="F196" s="335">
        <f>$H$174*(F$164/$J$164)/SUM(F65:F68)</f>
        <v>16.998748634401974</v>
      </c>
      <c r="G196" s="335">
        <f>$H$174*(G$164/$J$164)/SUM(G65:G68)</f>
        <v>14.182826543099418</v>
      </c>
      <c r="H196" s="335"/>
      <c r="I196" s="335">
        <f>$H$174*(I$164/$J$164)/SUM(I65:I68)</f>
        <v>0.42371595195580447</v>
      </c>
      <c r="J196" s="44"/>
      <c r="K196" s="44"/>
      <c r="L196" s="44"/>
      <c r="M196" s="44"/>
    </row>
    <row r="197" spans="1:18" x14ac:dyDescent="0.4">
      <c r="A197" s="76"/>
      <c r="B197" s="212" t="s">
        <v>181</v>
      </c>
      <c r="C197" s="44"/>
      <c r="D197" s="44"/>
      <c r="E197" s="335">
        <f>$H$174*(E$164/$J$164)/R161</f>
        <v>36.903697103246962</v>
      </c>
      <c r="F197" s="335"/>
      <c r="G197" s="335"/>
      <c r="H197" s="335">
        <f>$H$174*(H$164/$J$164)/Q150</f>
        <v>16.11848231455356</v>
      </c>
      <c r="I197" s="335"/>
      <c r="J197" s="44"/>
      <c r="K197" s="44"/>
      <c r="L197" s="44"/>
      <c r="M197" s="32"/>
    </row>
    <row r="198" spans="1:18" x14ac:dyDescent="0.4">
      <c r="A198" s="76"/>
      <c r="B198" s="212" t="s">
        <v>182</v>
      </c>
      <c r="C198" s="44"/>
      <c r="D198" s="44"/>
      <c r="E198" s="335">
        <f>$H$175*(E$164/$J$164)/(E72-SUM(E65:E68))</f>
        <v>14.801148218207585</v>
      </c>
      <c r="F198" s="335">
        <f>$H$175*(F$164/$J$164)/(F72-SUM(F65:F68))</f>
        <v>24.086690295951712</v>
      </c>
      <c r="G198" s="335">
        <f>$H$175*(G$164/$J$164)/(G72-SUM(G65:G68))</f>
        <v>16.062185457000595</v>
      </c>
      <c r="H198" s="335"/>
      <c r="I198" s="335">
        <f>$H$175*(I$164/$J$164)/(I72-SUM(I65:I68))</f>
        <v>0.42200140879607506</v>
      </c>
      <c r="J198" s="44"/>
      <c r="K198" s="44"/>
      <c r="L198" s="44"/>
      <c r="M198" s="44"/>
    </row>
    <row r="199" spans="1:18" x14ac:dyDescent="0.4">
      <c r="A199" s="76"/>
      <c r="B199" s="212" t="s">
        <v>183</v>
      </c>
      <c r="C199" s="44"/>
      <c r="D199" s="44"/>
      <c r="E199" s="335">
        <f>$H$175*(E$164/$J$164)/R166</f>
        <v>41.952431959882418</v>
      </c>
      <c r="F199" s="358"/>
      <c r="G199" s="358"/>
      <c r="H199" s="335">
        <f>$H$175*(H$164/$J$164)/Q154</f>
        <v>17.653980256460144</v>
      </c>
      <c r="I199" s="335"/>
      <c r="J199" s="44"/>
      <c r="K199" s="44"/>
      <c r="L199" s="44"/>
      <c r="M199" s="32" t="s">
        <v>3</v>
      </c>
    </row>
    <row r="200" spans="1:18" x14ac:dyDescent="0.4">
      <c r="A200" s="76"/>
      <c r="B200" s="212"/>
      <c r="C200" s="44"/>
      <c r="D200" s="44"/>
      <c r="E200" s="335"/>
      <c r="F200" s="335"/>
      <c r="G200" s="335"/>
      <c r="H200" s="335"/>
      <c r="I200" s="335"/>
      <c r="J200" s="44"/>
      <c r="K200" s="44"/>
      <c r="L200" s="44"/>
      <c r="M200" s="44"/>
    </row>
    <row r="201" spans="1:18" ht="15.35" x14ac:dyDescent="0.5">
      <c r="A201" s="76"/>
      <c r="B201" s="382" t="str">
        <f>$B$1</f>
        <v xml:space="preserve">Jersey Central Power &amp; Light </v>
      </c>
      <c r="C201" s="382"/>
      <c r="D201" s="382"/>
      <c r="E201" s="382"/>
      <c r="F201" s="382"/>
      <c r="G201" s="382"/>
      <c r="H201" s="382"/>
      <c r="I201" s="382"/>
      <c r="J201" s="382"/>
      <c r="K201" s="382"/>
      <c r="L201" s="382"/>
      <c r="M201" s="44"/>
    </row>
    <row r="202" spans="1:18" ht="15.35" x14ac:dyDescent="0.5">
      <c r="A202" s="76"/>
      <c r="B202" s="382" t="str">
        <f>$B$2</f>
        <v>Attachment 2</v>
      </c>
      <c r="C202" s="382"/>
      <c r="D202" s="382"/>
      <c r="E202" s="382"/>
      <c r="F202" s="382"/>
      <c r="G202" s="382"/>
      <c r="H202" s="382"/>
      <c r="I202" s="382"/>
      <c r="J202" s="382"/>
      <c r="K202" s="382"/>
      <c r="L202" s="382"/>
      <c r="M202" s="44"/>
      <c r="N202" s="44"/>
      <c r="O202" s="44"/>
      <c r="P202" s="44"/>
      <c r="Q202" s="44"/>
      <c r="R202" s="44"/>
    </row>
    <row r="203" spans="1:18" x14ac:dyDescent="0.4">
      <c r="A203" s="76"/>
      <c r="E203" s="44"/>
      <c r="F203" s="44"/>
      <c r="G203" s="44"/>
      <c r="H203" s="44"/>
      <c r="L203" s="44"/>
      <c r="M203" s="44"/>
      <c r="N203" s="44"/>
      <c r="O203" s="44"/>
      <c r="P203" s="44"/>
      <c r="Q203" s="44"/>
      <c r="R203" s="44"/>
    </row>
    <row r="204" spans="1:18" x14ac:dyDescent="0.4">
      <c r="A204" s="76"/>
      <c r="M204" s="44"/>
      <c r="N204" s="44"/>
      <c r="O204" s="44"/>
      <c r="P204" s="44"/>
      <c r="Q204" s="44"/>
      <c r="R204" s="44"/>
    </row>
    <row r="205" spans="1:18" x14ac:dyDescent="0.4">
      <c r="A205" s="77" t="s">
        <v>184</v>
      </c>
      <c r="B205" s="78" t="s">
        <v>185</v>
      </c>
      <c r="M205" s="44"/>
      <c r="N205" s="44"/>
      <c r="O205" s="44"/>
      <c r="P205" s="44"/>
      <c r="Q205" s="44"/>
      <c r="R205" s="44"/>
    </row>
    <row r="206" spans="1:18" x14ac:dyDescent="0.4">
      <c r="A206" s="76"/>
      <c r="B206" s="78"/>
      <c r="M206" s="44"/>
      <c r="N206" s="44"/>
      <c r="O206" s="44"/>
      <c r="P206" s="44"/>
      <c r="Q206" s="44"/>
      <c r="R206" s="44"/>
    </row>
    <row r="207" spans="1:18" x14ac:dyDescent="0.4">
      <c r="A207" s="76"/>
      <c r="B207" s="78" t="s">
        <v>186</v>
      </c>
      <c r="M207" s="44"/>
      <c r="N207" s="44"/>
      <c r="O207" s="44"/>
      <c r="P207" s="44"/>
      <c r="Q207" s="44"/>
      <c r="R207" s="44"/>
    </row>
    <row r="208" spans="1:18" x14ac:dyDescent="0.4">
      <c r="A208" s="76"/>
      <c r="B208" s="79" t="s">
        <v>284</v>
      </c>
      <c r="M208" s="44"/>
      <c r="N208" s="44"/>
      <c r="O208" s="44"/>
      <c r="P208" s="44"/>
      <c r="Q208" s="44"/>
      <c r="R208" s="44"/>
    </row>
    <row r="209" spans="1:18" x14ac:dyDescent="0.4">
      <c r="A209" s="76"/>
      <c r="B209" s="79" t="s">
        <v>81</v>
      </c>
      <c r="M209" s="44"/>
      <c r="N209" s="44"/>
      <c r="O209" s="44"/>
      <c r="P209" s="44"/>
      <c r="Q209" s="44"/>
      <c r="R209" s="44"/>
    </row>
    <row r="210" spans="1:18" x14ac:dyDescent="0.4">
      <c r="A210" s="76"/>
      <c r="C210" s="80"/>
      <c r="D210" s="80"/>
      <c r="E210" s="80" t="str">
        <f>+E$13</f>
        <v>RT{1}</v>
      </c>
      <c r="F210" s="80" t="str">
        <f>+F$13</f>
        <v>RS{2}</v>
      </c>
      <c r="G210" s="80" t="str">
        <f>+G$13</f>
        <v>GS{3}</v>
      </c>
      <c r="H210" s="102" t="str">
        <f>+H$58</f>
        <v>GST {4}</v>
      </c>
      <c r="I210" s="80" t="str">
        <f>+I$13</f>
        <v>OL/SL</v>
      </c>
      <c r="J210" s="80"/>
      <c r="K210" s="80"/>
      <c r="M210" s="44"/>
      <c r="N210" s="44"/>
      <c r="O210" s="44"/>
      <c r="P210" s="44"/>
      <c r="Q210" s="44"/>
      <c r="R210" s="44"/>
    </row>
    <row r="211" spans="1:18" x14ac:dyDescent="0.4">
      <c r="A211" s="76"/>
      <c r="C211" s="80"/>
      <c r="D211" s="80"/>
      <c r="E211" s="44"/>
      <c r="F211" s="80"/>
      <c r="G211" s="80"/>
      <c r="M211" s="44"/>
      <c r="N211" s="44"/>
      <c r="O211" s="44"/>
      <c r="P211" s="44"/>
      <c r="Q211" s="44"/>
      <c r="R211" s="44"/>
    </row>
    <row r="212" spans="1:18" x14ac:dyDescent="0.4">
      <c r="A212" s="76"/>
      <c r="B212" s="235" t="s">
        <v>111</v>
      </c>
      <c r="C212" s="44"/>
      <c r="D212" s="44"/>
      <c r="E212" s="44">
        <f>+E149+(E$95*$F$188)+E$193+E196</f>
        <v>62.285338660761425</v>
      </c>
      <c r="F212" s="44">
        <f>+F149+(F$95*$F$188)+F$193+F196</f>
        <v>64.251750831959598</v>
      </c>
      <c r="G212" s="44">
        <f>+G149+(G$95*$F$188)+G$193+G196</f>
        <v>61.974435340016164</v>
      </c>
      <c r="H212" s="44"/>
      <c r="I212" s="44">
        <f>+I149+(I$95*$F$188)+I$193+I196</f>
        <v>45.051225903546438</v>
      </c>
      <c r="J212" s="44"/>
      <c r="K212" s="44"/>
      <c r="L212" s="44"/>
      <c r="M212" s="44"/>
      <c r="N212" s="44"/>
      <c r="O212" s="44"/>
      <c r="P212" s="44"/>
      <c r="Q212" s="44"/>
      <c r="R212" s="44"/>
    </row>
    <row r="213" spans="1:18" x14ac:dyDescent="0.4">
      <c r="A213" s="76"/>
      <c r="B213" s="236" t="s">
        <v>133</v>
      </c>
      <c r="C213" s="44"/>
      <c r="D213" s="44"/>
      <c r="E213" s="44">
        <f>+E150+(E$95*$F$188)+E$193+E$197</f>
        <v>90.762723236382357</v>
      </c>
      <c r="F213" s="44"/>
      <c r="G213" s="44"/>
      <c r="H213" s="44">
        <f>+H150+(H$95*$F$188)+H$193+H$197</f>
        <v>69.578338331929984</v>
      </c>
      <c r="I213" s="44"/>
      <c r="J213" s="44"/>
      <c r="K213" s="44"/>
      <c r="M213" s="44"/>
      <c r="N213" s="44"/>
      <c r="O213" s="44"/>
      <c r="P213" s="44"/>
      <c r="Q213" s="44"/>
      <c r="R213" s="44"/>
    </row>
    <row r="214" spans="1:18" x14ac:dyDescent="0.4">
      <c r="A214" s="76"/>
      <c r="B214" s="236" t="s">
        <v>134</v>
      </c>
      <c r="C214" s="44"/>
      <c r="D214" s="44"/>
      <c r="E214" s="44">
        <f>+E151+(E$95*$F$188)+E$193</f>
        <v>42.47415234550018</v>
      </c>
      <c r="F214" s="44"/>
      <c r="G214" s="44"/>
      <c r="H214" s="44">
        <f>+H151+(H$95*$F$188)+H$193</f>
        <v>42.466546155240209</v>
      </c>
      <c r="I214" s="44"/>
      <c r="J214" s="44"/>
      <c r="K214" s="44"/>
      <c r="M214" s="44"/>
      <c r="N214" s="44"/>
      <c r="O214" s="44"/>
      <c r="P214" s="44"/>
      <c r="Q214" s="44"/>
      <c r="R214" s="44"/>
    </row>
    <row r="215" spans="1:18" x14ac:dyDescent="0.4">
      <c r="A215" s="76"/>
      <c r="B215" s="212" t="s">
        <v>165</v>
      </c>
      <c r="C215" s="44"/>
      <c r="D215" s="44"/>
      <c r="E215" s="44"/>
      <c r="F215" s="44">
        <f>(F212*SUM(F65:F68)-C183*10*E182*SUM(F65:F68))/SUM(F65:F68)</f>
        <v>60.190366421659832</v>
      </c>
      <c r="G215" s="44"/>
      <c r="H215" s="44"/>
      <c r="I215" s="44"/>
      <c r="J215" s="44"/>
      <c r="K215" s="44"/>
      <c r="M215" s="44"/>
      <c r="N215" s="44"/>
      <c r="O215" s="44"/>
      <c r="P215" s="44"/>
      <c r="Q215" s="44"/>
      <c r="R215" s="44"/>
    </row>
    <row r="216" spans="1:18" x14ac:dyDescent="0.4">
      <c r="A216" s="76"/>
      <c r="B216" s="212" t="s">
        <v>166</v>
      </c>
      <c r="C216" s="44"/>
      <c r="D216" s="44"/>
      <c r="E216" s="44"/>
      <c r="F216" s="44">
        <f>+F215+C183*10</f>
        <v>68.842366421659833</v>
      </c>
      <c r="G216" s="237"/>
      <c r="H216" s="44"/>
      <c r="I216" s="44"/>
      <c r="J216" s="44"/>
      <c r="K216" s="44"/>
      <c r="M216" s="44"/>
      <c r="N216" s="44"/>
      <c r="O216" s="44"/>
      <c r="P216" s="44"/>
      <c r="Q216" s="44"/>
      <c r="R216" s="44"/>
    </row>
    <row r="217" spans="1:18" x14ac:dyDescent="0.4">
      <c r="A217" s="76"/>
      <c r="C217" s="44"/>
      <c r="D217" s="44"/>
      <c r="E217" s="44"/>
      <c r="F217" s="44"/>
      <c r="G217" s="44"/>
      <c r="H217" s="44"/>
      <c r="I217" s="44"/>
      <c r="J217" s="44"/>
      <c r="K217" s="44"/>
      <c r="M217" s="44"/>
      <c r="N217" s="44"/>
      <c r="O217" s="44"/>
      <c r="P217" s="44"/>
      <c r="Q217" s="44"/>
      <c r="R217" s="44"/>
    </row>
    <row r="218" spans="1:18" x14ac:dyDescent="0.4">
      <c r="A218" s="76"/>
      <c r="B218" s="235" t="s">
        <v>115</v>
      </c>
      <c r="C218" s="44"/>
      <c r="D218" s="44"/>
      <c r="E218" s="44">
        <f>+E153+(E$95*$F$188)+E$193+E198</f>
        <v>67.204049246083329</v>
      </c>
      <c r="F218" s="44">
        <f>+F153+(F$95*$F$188)+F$193+F198</f>
        <v>76.295503460140239</v>
      </c>
      <c r="G218" s="44">
        <f>+G153+(G$95*$F$188)+G$193+G198</f>
        <v>68.33304335172275</v>
      </c>
      <c r="H218" s="44"/>
      <c r="I218" s="44">
        <f>+I153+(I$95*$F$188)+I$193+I198</f>
        <v>50.971360980186574</v>
      </c>
      <c r="J218" s="44"/>
      <c r="K218" s="44"/>
      <c r="L218" s="44"/>
      <c r="M218" s="44"/>
      <c r="N218" s="44"/>
      <c r="O218" s="44"/>
      <c r="P218" s="44"/>
      <c r="Q218" s="44"/>
      <c r="R218" s="44"/>
    </row>
    <row r="219" spans="1:18" x14ac:dyDescent="0.4">
      <c r="A219" s="76"/>
      <c r="B219" s="236" t="s">
        <v>133</v>
      </c>
      <c r="C219" s="44"/>
      <c r="D219" s="44"/>
      <c r="E219" s="44">
        <f>+E154+(E$95*$F$188)+E$193+E$199</f>
        <v>100.53081247743725</v>
      </c>
      <c r="F219" s="44"/>
      <c r="G219" s="44"/>
      <c r="H219" s="44">
        <f>+H154+(H$95*$F$188)+H$193+H$199</f>
        <v>72.824682197737744</v>
      </c>
      <c r="I219" s="44"/>
      <c r="J219" s="44"/>
      <c r="K219" s="44"/>
      <c r="M219" s="44"/>
      <c r="N219" s="44"/>
      <c r="O219" s="44"/>
      <c r="P219" s="44"/>
      <c r="Q219" s="44"/>
      <c r="R219" s="44"/>
    </row>
    <row r="220" spans="1:18" x14ac:dyDescent="0.4">
      <c r="A220" s="76"/>
      <c r="B220" s="236" t="s">
        <v>134</v>
      </c>
      <c r="C220" s="44"/>
      <c r="D220" s="44"/>
      <c r="E220" s="44">
        <f>+E155+(E$95*$F$188)+E$193</f>
        <v>49.036117695734276</v>
      </c>
      <c r="F220" s="44"/>
      <c r="G220" s="44"/>
      <c r="H220" s="44">
        <f>+H155+(H$95*$F$188)+H$193</f>
        <v>49.207644880427267</v>
      </c>
      <c r="I220" s="44"/>
      <c r="J220" s="44"/>
      <c r="K220" s="44"/>
      <c r="M220" s="44"/>
      <c r="N220" s="44"/>
      <c r="O220" s="44"/>
      <c r="P220" s="44"/>
      <c r="Q220" s="44"/>
      <c r="R220" s="44"/>
    </row>
    <row r="221" spans="1:18" x14ac:dyDescent="0.4">
      <c r="A221" s="76"/>
      <c r="C221" s="44"/>
      <c r="D221" s="44"/>
      <c r="E221" s="44"/>
      <c r="F221" s="44"/>
      <c r="G221" s="44"/>
      <c r="H221" s="44"/>
      <c r="I221" s="44"/>
      <c r="J221" s="44"/>
      <c r="K221" s="44"/>
      <c r="M221" s="44"/>
      <c r="N221" s="44"/>
      <c r="O221" s="44"/>
      <c r="P221" s="44"/>
      <c r="Q221" s="44"/>
      <c r="R221" s="44"/>
    </row>
    <row r="222" spans="1:18" x14ac:dyDescent="0.4">
      <c r="A222" s="76"/>
      <c r="B222" s="211" t="s">
        <v>188</v>
      </c>
      <c r="C222" s="44"/>
      <c r="D222" s="44"/>
      <c r="E222" s="44">
        <f>+E157+(E$95*$F$188)+E$193+E195</f>
        <v>65.584676802429172</v>
      </c>
      <c r="F222" s="44">
        <f>+F157+(F$95*$F$188)+F$193+F195</f>
        <v>71.289120292124466</v>
      </c>
      <c r="G222" s="44">
        <f>+G157+(G$95*$F$188)+G$193+G195</f>
        <v>66.028157640088509</v>
      </c>
      <c r="H222" s="44">
        <f>((H213*SUMPRODUCT(H38:H41,H65:H68)+H214*SUMPRODUCT(T38:T41,H65:H68))+(H219*(SUMPRODUCT(H33:H37,H60:H64)+SUMPRODUCT(H42:H44,H69:H71))+H220*(SUMPRODUCT(T33:T37,H60:H64)+SUMPRODUCT(T42:T44,H69:H71))))/H72</f>
        <v>58.005155521731396</v>
      </c>
      <c r="I222" s="44">
        <f>+I157+(I$95*$F$188)+I$193+I195</f>
        <v>48.997914041693704</v>
      </c>
      <c r="J222" s="44"/>
      <c r="K222" s="44"/>
      <c r="L222" s="44"/>
      <c r="M222" s="44"/>
      <c r="N222" s="44"/>
      <c r="O222" s="44"/>
      <c r="P222" s="44"/>
      <c r="Q222" s="44"/>
      <c r="R222" s="44"/>
    </row>
    <row r="223" spans="1:18" x14ac:dyDescent="0.4">
      <c r="A223" s="76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</row>
    <row r="224" spans="1:18" x14ac:dyDescent="0.4">
      <c r="A224" s="76"/>
      <c r="B224" s="78" t="s">
        <v>189</v>
      </c>
      <c r="M224" s="44"/>
      <c r="N224" s="44"/>
      <c r="O224" s="44"/>
      <c r="P224" s="44"/>
      <c r="Q224" s="44"/>
      <c r="R224" s="44"/>
    </row>
    <row r="225" spans="1:18" x14ac:dyDescent="0.4">
      <c r="A225" s="76"/>
      <c r="B225" s="79" t="s">
        <v>285</v>
      </c>
      <c r="M225" s="44"/>
      <c r="N225" s="44"/>
      <c r="O225" s="44"/>
      <c r="P225" s="44"/>
      <c r="Q225" s="44"/>
      <c r="R225" s="44"/>
    </row>
    <row r="226" spans="1:18" x14ac:dyDescent="0.4">
      <c r="A226" s="76"/>
      <c r="B226" s="79" t="s">
        <v>286</v>
      </c>
      <c r="M226" s="44"/>
      <c r="N226" s="44"/>
      <c r="O226" s="44"/>
      <c r="P226" s="44"/>
      <c r="Q226" s="44"/>
      <c r="R226" s="44"/>
    </row>
    <row r="227" spans="1:18" x14ac:dyDescent="0.4">
      <c r="A227" s="76"/>
      <c r="B227" s="236"/>
      <c r="C227" s="44"/>
      <c r="D227" s="44"/>
      <c r="I227" s="212"/>
      <c r="J227" s="44"/>
      <c r="K227" s="44"/>
      <c r="L227" s="349"/>
    </row>
    <row r="228" spans="1:18" x14ac:dyDescent="0.4">
      <c r="A228" s="76"/>
      <c r="C228" s="44"/>
      <c r="D228" s="44"/>
    </row>
    <row r="229" spans="1:18" x14ac:dyDescent="0.4">
      <c r="A229" s="76"/>
      <c r="B229" s="82" t="s">
        <v>191</v>
      </c>
      <c r="C229" s="44"/>
      <c r="D229" s="44"/>
      <c r="I229" s="103"/>
      <c r="L229" s="349"/>
    </row>
    <row r="230" spans="1:18" x14ac:dyDescent="0.4">
      <c r="A230" s="76"/>
      <c r="B230" s="236"/>
      <c r="C230" s="44"/>
      <c r="D230" s="44"/>
      <c r="I230" s="212"/>
      <c r="J230" s="32"/>
      <c r="K230" s="32"/>
      <c r="L230" s="349"/>
    </row>
    <row r="231" spans="1:18" ht="15.35" x14ac:dyDescent="0.5">
      <c r="A231" s="76"/>
      <c r="B231" s="382" t="str">
        <f>$B$1</f>
        <v xml:space="preserve">Jersey Central Power &amp; Light </v>
      </c>
      <c r="C231" s="382"/>
      <c r="D231" s="382"/>
      <c r="E231" s="382"/>
      <c r="F231" s="382"/>
      <c r="G231" s="382"/>
      <c r="H231" s="382"/>
      <c r="I231" s="382"/>
      <c r="J231" s="382"/>
      <c r="K231" s="382"/>
      <c r="L231" s="382"/>
    </row>
    <row r="232" spans="1:18" ht="15.35" x14ac:dyDescent="0.5">
      <c r="A232" s="76"/>
      <c r="B232" s="382" t="str">
        <f>$B$2</f>
        <v>Attachment 2</v>
      </c>
      <c r="C232" s="382"/>
      <c r="D232" s="382"/>
      <c r="E232" s="382"/>
      <c r="F232" s="382"/>
      <c r="G232" s="382"/>
      <c r="H232" s="382"/>
      <c r="I232" s="382"/>
      <c r="J232" s="382"/>
      <c r="K232" s="382"/>
      <c r="L232" s="382"/>
    </row>
    <row r="233" spans="1:18" ht="15.35" x14ac:dyDescent="0.5">
      <c r="A233" s="7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</row>
    <row r="234" spans="1:18" ht="15.35" x14ac:dyDescent="0.5">
      <c r="A234" s="77" t="s">
        <v>192</v>
      </c>
      <c r="B234" s="78" t="s">
        <v>193</v>
      </c>
      <c r="C234" s="248"/>
      <c r="E234" s="104"/>
      <c r="F234" s="96"/>
      <c r="L234" s="116"/>
    </row>
    <row r="235" spans="1:18" ht="15.35" x14ac:dyDescent="0.5">
      <c r="B235" s="211" t="s">
        <v>194</v>
      </c>
      <c r="L235" s="116"/>
    </row>
    <row r="236" spans="1:18" ht="15.35" x14ac:dyDescent="0.5">
      <c r="E236" s="80" t="s">
        <v>13</v>
      </c>
      <c r="F236" s="80" t="s">
        <v>14</v>
      </c>
      <c r="G236" s="80" t="s">
        <v>15</v>
      </c>
      <c r="H236" s="80" t="s">
        <v>46</v>
      </c>
      <c r="I236" s="80" t="s">
        <v>17</v>
      </c>
      <c r="L236" s="116"/>
    </row>
    <row r="237" spans="1:18" ht="15.35" x14ac:dyDescent="0.5">
      <c r="L237" s="116"/>
    </row>
    <row r="238" spans="1:18" ht="15.35" x14ac:dyDescent="0.5">
      <c r="B238" s="235" t="s">
        <v>111</v>
      </c>
      <c r="E238" s="226">
        <f>'Composite Cost Allocation'!E106</f>
        <v>2446237.3333329996</v>
      </c>
      <c r="G238" s="226">
        <f>'Composite Cost Allocation'!G106</f>
        <v>1976725000</v>
      </c>
      <c r="I238" s="226">
        <f>'Composite Cost Allocation'!I106</f>
        <v>38368000</v>
      </c>
      <c r="L238" s="116"/>
    </row>
    <row r="239" spans="1:18" ht="15.35" x14ac:dyDescent="0.5">
      <c r="B239" s="236" t="s">
        <v>133</v>
      </c>
      <c r="E239" s="226">
        <f>'Composite Cost Allocation'!E107</f>
        <v>26178933</v>
      </c>
      <c r="H239" s="226">
        <f>'Composite Cost Allocation'!H107</f>
        <v>30387363.899999999</v>
      </c>
      <c r="L239" s="116"/>
    </row>
    <row r="240" spans="1:18" ht="15.35" x14ac:dyDescent="0.5">
      <c r="B240" s="236" t="s">
        <v>134</v>
      </c>
      <c r="E240" s="226">
        <f>'Composite Cost Allocation'!E108</f>
        <v>37626829.666666999</v>
      </c>
      <c r="H240" s="226">
        <f>'Composite Cost Allocation'!H108</f>
        <v>35357636.100000001</v>
      </c>
      <c r="L240" s="116"/>
    </row>
    <row r="241" spans="1:14" ht="15.35" x14ac:dyDescent="0.5">
      <c r="B241" s="212" t="s">
        <v>165</v>
      </c>
      <c r="F241" s="226">
        <f>'Composite Cost Allocation'!F109</f>
        <v>2001184000</v>
      </c>
      <c r="L241" s="116"/>
    </row>
    <row r="242" spans="1:14" ht="15.35" x14ac:dyDescent="0.5">
      <c r="B242" s="212" t="s">
        <v>166</v>
      </c>
      <c r="F242" s="226">
        <f>'Composite Cost Allocation'!F110</f>
        <v>1770477000</v>
      </c>
      <c r="L242" s="116"/>
    </row>
    <row r="243" spans="1:14" ht="15.35" x14ac:dyDescent="0.5">
      <c r="L243" s="116"/>
    </row>
    <row r="244" spans="1:14" ht="15.35" x14ac:dyDescent="0.5">
      <c r="B244" s="235" t="s">
        <v>115</v>
      </c>
      <c r="E244" s="226">
        <f>'Composite Cost Allocation'!E112</f>
        <v>5877031.3333332986</v>
      </c>
      <c r="F244" s="226">
        <f>'Composite Cost Allocation'!F112</f>
        <v>5301746000</v>
      </c>
      <c r="G244" s="226">
        <f>'Composite Cost Allocation'!G112</f>
        <v>3476569000</v>
      </c>
      <c r="I244" s="226">
        <f>'Composite Cost Allocation'!I112</f>
        <v>76732000</v>
      </c>
      <c r="L244" s="116"/>
    </row>
    <row r="245" spans="1:14" ht="15.35" x14ac:dyDescent="0.5">
      <c r="B245" s="236" t="s">
        <v>133</v>
      </c>
      <c r="E245" s="226">
        <f>'Composite Cost Allocation'!E113</f>
        <v>45545243.856866822</v>
      </c>
      <c r="H245" s="226">
        <f>'Composite Cost Allocation'!H113</f>
        <v>55261285.100000001</v>
      </c>
      <c r="L245" s="116"/>
    </row>
    <row r="246" spans="1:14" ht="15.35" x14ac:dyDescent="0.5">
      <c r="B246" s="236" t="s">
        <v>134</v>
      </c>
      <c r="E246" s="226">
        <f>'Composite Cost Allocation'!E114</f>
        <v>83560724.80979988</v>
      </c>
      <c r="H246" s="226">
        <f>'Composite Cost Allocation'!H114</f>
        <v>70612714.900000006</v>
      </c>
      <c r="L246" s="116"/>
    </row>
    <row r="247" spans="1:14" ht="15.35" x14ac:dyDescent="0.5">
      <c r="J247" s="80" t="s">
        <v>44</v>
      </c>
      <c r="K247" s="80"/>
      <c r="M247" s="109" t="s">
        <v>287</v>
      </c>
      <c r="N247" s="109" t="s">
        <v>288</v>
      </c>
    </row>
    <row r="248" spans="1:14" x14ac:dyDescent="0.4">
      <c r="B248" s="212" t="s">
        <v>158</v>
      </c>
      <c r="E248" s="226">
        <f>SUM(E238:E242)</f>
        <v>66252000</v>
      </c>
      <c r="F248" s="226">
        <f>SUM(F238:F242)</f>
        <v>3771661000</v>
      </c>
      <c r="G248" s="226">
        <f>SUM(G238:G242)</f>
        <v>1976725000</v>
      </c>
      <c r="H248" s="226">
        <f>SUM(H238:H242)</f>
        <v>65745000</v>
      </c>
      <c r="I248" s="226">
        <f>SUM(I238:I242)</f>
        <v>38368000</v>
      </c>
      <c r="J248" s="226">
        <f>SUM(E248:I248)</f>
        <v>5918751000</v>
      </c>
      <c r="K248" s="226"/>
      <c r="M248" s="30">
        <f>ROUND(J248*$E$95/1000,0)</f>
        <v>6617159</v>
      </c>
      <c r="N248" s="30">
        <f>ROUND(J248*$E$98/1000,0)</f>
        <v>6564885</v>
      </c>
    </row>
    <row r="249" spans="1:14" x14ac:dyDescent="0.4">
      <c r="B249" s="212" t="s">
        <v>159</v>
      </c>
      <c r="E249" s="105">
        <f>SUM(E244:E246)</f>
        <v>134983000</v>
      </c>
      <c r="F249" s="105">
        <f>SUM(F244:F246)</f>
        <v>5301746000</v>
      </c>
      <c r="G249" s="95">
        <f>SUM(G244:G246)</f>
        <v>3476569000</v>
      </c>
      <c r="H249" s="95">
        <f>SUM(H244:H246)</f>
        <v>125874000</v>
      </c>
      <c r="I249" s="95">
        <f>SUM(I244:I246)</f>
        <v>76732000</v>
      </c>
      <c r="J249" s="105">
        <f>SUM(E249:I249)</f>
        <v>9115904000</v>
      </c>
      <c r="K249" s="105"/>
      <c r="M249" s="30">
        <f>ROUND(J249*$E$95/1000,0)</f>
        <v>10191574</v>
      </c>
      <c r="N249" s="30">
        <f>ROUND(J249*$E$98/1000,0)</f>
        <v>10111062</v>
      </c>
    </row>
    <row r="250" spans="1:14" x14ac:dyDescent="0.4">
      <c r="B250" s="212" t="s">
        <v>160</v>
      </c>
      <c r="E250" s="226">
        <f>SUM(E248:E249)</f>
        <v>201235000</v>
      </c>
      <c r="F250" s="226">
        <f>SUM(F248:F249)</f>
        <v>9073407000</v>
      </c>
      <c r="G250" s="226">
        <f>SUM(G248:G249)</f>
        <v>5453294000</v>
      </c>
      <c r="H250" s="226">
        <f>SUM(H248:H249)</f>
        <v>191619000</v>
      </c>
      <c r="I250" s="226">
        <f>SUM(I248:I249)</f>
        <v>115100000</v>
      </c>
      <c r="J250" s="226">
        <f>SUM(E250:I250)</f>
        <v>15034655000</v>
      </c>
      <c r="K250" s="226"/>
      <c r="M250" s="31">
        <f>SUM(M248:M249)</f>
        <v>16808733</v>
      </c>
      <c r="N250" s="31">
        <f>SUM(N248:N249)</f>
        <v>16675947</v>
      </c>
    </row>
    <row r="251" spans="1:14" ht="15.35" x14ac:dyDescent="0.5">
      <c r="A251" s="76"/>
      <c r="B251" s="116"/>
      <c r="C251" s="116"/>
      <c r="D251" s="116"/>
      <c r="E251" s="116"/>
      <c r="F251" s="116"/>
      <c r="G251" s="116"/>
      <c r="H251" s="116"/>
      <c r="I251" s="116"/>
      <c r="J251" s="359" t="s">
        <v>3</v>
      </c>
      <c r="K251" s="359"/>
      <c r="L251" s="116"/>
    </row>
    <row r="252" spans="1:14" ht="15.35" x14ac:dyDescent="0.5">
      <c r="A252" s="7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</row>
    <row r="254" spans="1:14" x14ac:dyDescent="0.4">
      <c r="A254" s="77" t="s">
        <v>195</v>
      </c>
      <c r="B254" s="78" t="s">
        <v>196</v>
      </c>
    </row>
    <row r="255" spans="1:14" x14ac:dyDescent="0.4">
      <c r="A255" s="76"/>
      <c r="B255" s="78"/>
    </row>
    <row r="256" spans="1:14" x14ac:dyDescent="0.4">
      <c r="A256" s="76"/>
      <c r="C256" s="80"/>
      <c r="D256" s="80"/>
      <c r="E256" s="80" t="str">
        <f>+E$13</f>
        <v>RT{1}</v>
      </c>
      <c r="F256" s="80" t="str">
        <f>+F$13</f>
        <v>RS{2}</v>
      </c>
      <c r="G256" s="80" t="str">
        <f>+G$13</f>
        <v>GS{3}</v>
      </c>
      <c r="H256" s="102" t="str">
        <f>+H$58</f>
        <v>GST {4}</v>
      </c>
      <c r="I256" s="80" t="str">
        <f>+I$13</f>
        <v>OL/SL</v>
      </c>
      <c r="J256" s="80" t="s">
        <v>44</v>
      </c>
      <c r="K256" s="80"/>
      <c r="L256" s="80"/>
    </row>
    <row r="257" spans="1:15" x14ac:dyDescent="0.4">
      <c r="A257" s="76"/>
      <c r="B257" s="211" t="s">
        <v>197</v>
      </c>
    </row>
    <row r="258" spans="1:15" x14ac:dyDescent="0.4">
      <c r="A258" s="76"/>
      <c r="B258" s="235" t="s">
        <v>111</v>
      </c>
      <c r="C258" s="21"/>
      <c r="D258" s="21"/>
      <c r="E258" s="21">
        <f>+E212*E238/1000000</f>
        <v>152.36472075124379</v>
      </c>
      <c r="F258" s="21"/>
      <c r="G258" s="21">
        <f>+G212*G238/1000000</f>
        <v>122506.41569749346</v>
      </c>
      <c r="H258" s="21"/>
      <c r="I258" s="21">
        <f>+I212*I238/1000000</f>
        <v>1728.5254354672697</v>
      </c>
      <c r="J258" s="21"/>
      <c r="K258" s="21"/>
      <c r="L258" s="21"/>
    </row>
    <row r="259" spans="1:15" x14ac:dyDescent="0.4">
      <c r="A259" s="76"/>
      <c r="B259" s="236" t="s">
        <v>133</v>
      </c>
      <c r="C259" s="21"/>
      <c r="D259" s="21"/>
      <c r="E259" s="21">
        <f>+E213*E239/1000000</f>
        <v>2376.0712505027968</v>
      </c>
      <c r="F259" s="21"/>
      <c r="G259" s="21"/>
      <c r="H259" s="21">
        <f>+H213*H239/1000000</f>
        <v>2114.3022864496752</v>
      </c>
      <c r="I259" s="21"/>
      <c r="J259" s="21"/>
      <c r="K259" s="21"/>
      <c r="L259" s="21"/>
    </row>
    <row r="260" spans="1:15" x14ac:dyDescent="0.4">
      <c r="A260" s="76"/>
      <c r="B260" s="236" t="s">
        <v>134</v>
      </c>
      <c r="C260" s="21"/>
      <c r="D260" s="21"/>
      <c r="E260" s="21">
        <f>+E214*E240/1000000</f>
        <v>1598.1676955401999</v>
      </c>
      <c r="F260" s="21"/>
      <c r="G260" s="21"/>
      <c r="H260" s="21">
        <f>+H214*H240/1000000</f>
        <v>1501.5166853808375</v>
      </c>
      <c r="I260" s="21"/>
      <c r="J260" s="21"/>
      <c r="K260" s="21"/>
      <c r="L260" s="319"/>
      <c r="M260" s="319"/>
      <c r="N260" s="319"/>
      <c r="O260" s="319"/>
    </row>
    <row r="261" spans="1:15" x14ac:dyDescent="0.4">
      <c r="A261" s="76"/>
      <c r="B261" s="212" t="s">
        <v>165</v>
      </c>
      <c r="C261" s="21"/>
      <c r="D261" s="21"/>
      <c r="E261" s="21"/>
      <c r="F261" s="21">
        <f>+F215*F241/1000000</f>
        <v>120451.9982371629</v>
      </c>
      <c r="G261" s="21"/>
      <c r="H261" s="21"/>
      <c r="I261" s="21"/>
      <c r="J261" s="21"/>
      <c r="K261" s="21"/>
      <c r="L261" s="21"/>
    </row>
    <row r="262" spans="1:15" x14ac:dyDescent="0.4">
      <c r="A262" s="76"/>
      <c r="B262" s="212" t="s">
        <v>166</v>
      </c>
      <c r="C262" s="21"/>
      <c r="D262" s="21"/>
      <c r="E262" s="21"/>
      <c r="F262" s="21">
        <f>+F216*F242/1000000</f>
        <v>121883.82637512103</v>
      </c>
      <c r="G262" s="21"/>
      <c r="H262" s="21"/>
      <c r="I262" s="21"/>
      <c r="J262" s="21"/>
      <c r="K262" s="21"/>
      <c r="L262" s="21"/>
    </row>
    <row r="263" spans="1:15" x14ac:dyDescent="0.4">
      <c r="A263" s="76"/>
      <c r="C263" s="21"/>
      <c r="D263" s="21"/>
      <c r="E263" s="21"/>
      <c r="F263" s="21"/>
      <c r="G263" s="21"/>
      <c r="H263" s="21"/>
      <c r="I263" s="21"/>
      <c r="J263" s="21"/>
      <c r="K263" s="21"/>
      <c r="L263" s="21"/>
    </row>
    <row r="264" spans="1:15" x14ac:dyDescent="0.4">
      <c r="A264" s="76"/>
      <c r="B264" s="235" t="s">
        <v>115</v>
      </c>
      <c r="C264" s="21"/>
      <c r="D264" s="21"/>
      <c r="E264" s="21">
        <f>+E218*E244/1000000</f>
        <v>394.96030314610579</v>
      </c>
      <c r="F264" s="21">
        <f>+F218*F244/1000000</f>
        <v>404499.38028778468</v>
      </c>
      <c r="G264" s="21">
        <f>+G218*G244/1000000</f>
        <v>237564.5401922554</v>
      </c>
      <c r="I264" s="21">
        <f>+I218*I244/1000000</f>
        <v>3911.1344707316762</v>
      </c>
      <c r="J264" s="21"/>
      <c r="K264" s="21"/>
      <c r="L264" s="21"/>
    </row>
    <row r="265" spans="1:15" x14ac:dyDescent="0.4">
      <c r="A265" s="76"/>
      <c r="B265" s="236" t="s">
        <v>133</v>
      </c>
      <c r="C265" s="21"/>
      <c r="D265" s="21"/>
      <c r="E265" s="21">
        <f>+E219*E245/1000000</f>
        <v>4578.7003694138302</v>
      </c>
      <c r="F265" s="319"/>
      <c r="G265" s="319"/>
      <c r="H265" s="21">
        <f>+H219*H245/1000000</f>
        <v>4024.3855252460799</v>
      </c>
      <c r="I265" s="319"/>
      <c r="J265" s="21"/>
      <c r="K265" s="21"/>
      <c r="L265" s="21"/>
    </row>
    <row r="266" spans="1:15" x14ac:dyDescent="0.4">
      <c r="A266" s="76"/>
      <c r="B266" s="236" t="s">
        <v>134</v>
      </c>
      <c r="C266" s="319"/>
      <c r="D266" s="319"/>
      <c r="E266" s="21">
        <f>+E220*E246/1000000</f>
        <v>4097.4935365142101</v>
      </c>
      <c r="H266" s="21">
        <f>+H220*H246/1000000</f>
        <v>3474.6853988420553</v>
      </c>
      <c r="J266" s="21"/>
      <c r="K266" s="21"/>
      <c r="L266" s="21"/>
    </row>
    <row r="267" spans="1:15" x14ac:dyDescent="0.4">
      <c r="A267" s="76"/>
      <c r="B267" s="219"/>
    </row>
    <row r="268" spans="1:15" x14ac:dyDescent="0.4">
      <c r="A268" s="76"/>
      <c r="B268" s="211" t="s">
        <v>198</v>
      </c>
    </row>
    <row r="269" spans="1:15" x14ac:dyDescent="0.4">
      <c r="A269" s="76"/>
      <c r="B269" s="219" t="s">
        <v>91</v>
      </c>
      <c r="E269" s="319">
        <f>SUM(E258:E262)</f>
        <v>4126.6036667942408</v>
      </c>
      <c r="F269" s="319">
        <f>SUM(F258:F262)</f>
        <v>242335.82461228393</v>
      </c>
      <c r="G269" s="319">
        <f>SUM(G258:G262)</f>
        <v>122506.41569749346</v>
      </c>
      <c r="H269" s="319">
        <f>SUM(H258:H262)</f>
        <v>3615.818971830513</v>
      </c>
      <c r="I269" s="319">
        <f>SUM(I258:I262)</f>
        <v>1728.5254354672697</v>
      </c>
      <c r="J269" s="360">
        <f>SUM(E269:I269)</f>
        <v>374313.18838386942</v>
      </c>
      <c r="K269" s="360"/>
    </row>
    <row r="270" spans="1:15" x14ac:dyDescent="0.4">
      <c r="A270" s="76"/>
      <c r="B270" s="219" t="s">
        <v>88</v>
      </c>
      <c r="E270" s="319">
        <f>SUM(E264:E266)</f>
        <v>9071.1542090741459</v>
      </c>
      <c r="F270" s="319">
        <f>SUM(F264:F266)</f>
        <v>404499.38028778468</v>
      </c>
      <c r="G270" s="319">
        <f>SUM(G264:G266)</f>
        <v>237564.5401922554</v>
      </c>
      <c r="H270" s="319">
        <f>SUM(H264:H266)</f>
        <v>7499.0709240881351</v>
      </c>
      <c r="I270" s="319">
        <f>SUM(I264:I266)</f>
        <v>3911.1344707316762</v>
      </c>
      <c r="J270" s="360">
        <f>SUM(E270:I270)</f>
        <v>662545.28008393408</v>
      </c>
      <c r="K270" s="360"/>
    </row>
    <row r="271" spans="1:15" x14ac:dyDescent="0.4">
      <c r="A271" s="76"/>
      <c r="B271" s="219" t="s">
        <v>44</v>
      </c>
      <c r="E271" s="319">
        <f>SUM(E269:E270)</f>
        <v>13197.757875868387</v>
      </c>
      <c r="F271" s="319">
        <f>SUM(F269:F270)</f>
        <v>646835.20490006858</v>
      </c>
      <c r="G271" s="319">
        <f>SUM(G269:G270)</f>
        <v>360070.95588974888</v>
      </c>
      <c r="H271" s="319">
        <f>SUM(H269:H270)</f>
        <v>11114.889895918648</v>
      </c>
      <c r="I271" s="319">
        <f>SUM(I269:I270)</f>
        <v>5639.6599061989455</v>
      </c>
      <c r="J271" s="319">
        <f>SUM(E271:I271)</f>
        <v>1036858.4684678034</v>
      </c>
      <c r="K271" s="319"/>
    </row>
    <row r="272" spans="1:15" x14ac:dyDescent="0.4">
      <c r="A272" s="76"/>
    </row>
    <row r="273" spans="1:12" x14ac:dyDescent="0.4">
      <c r="A273" s="76"/>
      <c r="B273" s="211" t="s">
        <v>199</v>
      </c>
    </row>
    <row r="274" spans="1:12" x14ac:dyDescent="0.4">
      <c r="A274" s="76"/>
      <c r="B274" s="219" t="s">
        <v>91</v>
      </c>
      <c r="E274" s="28">
        <f t="shared" ref="E274:J274" si="19">+E269/E271</f>
        <v>0.31267460015610554</v>
      </c>
      <c r="F274" s="28">
        <f t="shared" si="19"/>
        <v>0.3746484773501515</v>
      </c>
      <c r="G274" s="28">
        <f t="shared" si="19"/>
        <v>0.34022854021862303</v>
      </c>
      <c r="H274" s="28">
        <f t="shared" si="19"/>
        <v>0.3253130715364288</v>
      </c>
      <c r="I274" s="28">
        <f t="shared" si="19"/>
        <v>0.30649462276392347</v>
      </c>
      <c r="J274" s="28">
        <f t="shared" si="19"/>
        <v>0.3610070224309429</v>
      </c>
      <c r="K274" s="28"/>
    </row>
    <row r="275" spans="1:12" x14ac:dyDescent="0.4">
      <c r="A275" s="76"/>
      <c r="B275" s="219" t="s">
        <v>88</v>
      </c>
      <c r="E275" s="28">
        <f t="shared" ref="E275:J275" si="20">+E270/E271</f>
        <v>0.6873253998438944</v>
      </c>
      <c r="F275" s="28">
        <f t="shared" si="20"/>
        <v>0.62535152264984861</v>
      </c>
      <c r="G275" s="28">
        <f t="shared" si="20"/>
        <v>0.65977145978137697</v>
      </c>
      <c r="H275" s="28">
        <f t="shared" si="20"/>
        <v>0.67468692846357115</v>
      </c>
      <c r="I275" s="28">
        <f t="shared" si="20"/>
        <v>0.69350537723607664</v>
      </c>
      <c r="J275" s="28">
        <f t="shared" si="20"/>
        <v>0.63899297756905715</v>
      </c>
      <c r="K275" s="28"/>
    </row>
    <row r="276" spans="1:12" x14ac:dyDescent="0.4">
      <c r="A276" s="76"/>
      <c r="B276" s="219"/>
      <c r="E276" s="28"/>
      <c r="F276" s="28"/>
      <c r="G276" s="28"/>
      <c r="H276" s="28"/>
      <c r="I276" s="28"/>
      <c r="J276" s="28"/>
      <c r="K276" s="28"/>
    </row>
    <row r="277" spans="1:12" ht="15.35" x14ac:dyDescent="0.5">
      <c r="A277" s="76"/>
      <c r="B277" s="382" t="str">
        <f>$B$1</f>
        <v xml:space="preserve">Jersey Central Power &amp; Light </v>
      </c>
      <c r="C277" s="382"/>
      <c r="D277" s="382"/>
      <c r="E277" s="382"/>
      <c r="F277" s="382"/>
      <c r="G277" s="382"/>
      <c r="H277" s="382"/>
      <c r="I277" s="382"/>
      <c r="J277" s="382"/>
      <c r="K277" s="382"/>
      <c r="L277" s="382"/>
    </row>
    <row r="278" spans="1:12" ht="15.35" x14ac:dyDescent="0.5">
      <c r="A278" s="76"/>
      <c r="B278" s="382" t="str">
        <f>$B$2</f>
        <v>Attachment 2</v>
      </c>
      <c r="C278" s="382"/>
      <c r="D278" s="382"/>
      <c r="E278" s="382"/>
      <c r="F278" s="382"/>
      <c r="G278" s="382"/>
      <c r="H278" s="382"/>
      <c r="I278" s="382"/>
      <c r="J278" s="382"/>
      <c r="K278" s="382"/>
      <c r="L278" s="382"/>
    </row>
    <row r="281" spans="1:12" x14ac:dyDescent="0.4">
      <c r="A281" s="77" t="s">
        <v>289</v>
      </c>
      <c r="C281" s="78" t="s">
        <v>290</v>
      </c>
    </row>
    <row r="283" spans="1:12" x14ac:dyDescent="0.4">
      <c r="A283" s="211"/>
    </row>
    <row r="284" spans="1:12" x14ac:dyDescent="0.4">
      <c r="A284" s="211"/>
    </row>
    <row r="285" spans="1:12" x14ac:dyDescent="0.4">
      <c r="A285" s="77" t="s">
        <v>291</v>
      </c>
      <c r="B285" s="78" t="s">
        <v>292</v>
      </c>
      <c r="G285" s="319"/>
    </row>
    <row r="286" spans="1:12" x14ac:dyDescent="0.4">
      <c r="A286" s="76"/>
      <c r="C286" s="44"/>
      <c r="D286" s="44"/>
    </row>
    <row r="287" spans="1:12" x14ac:dyDescent="0.4">
      <c r="A287" s="76"/>
      <c r="B287" s="78" t="s">
        <v>293</v>
      </c>
      <c r="C287" s="44"/>
      <c r="D287" s="44"/>
    </row>
    <row r="288" spans="1:12" x14ac:dyDescent="0.4">
      <c r="A288" s="76"/>
      <c r="B288" s="212" t="s">
        <v>205</v>
      </c>
      <c r="C288" s="21">
        <f>(+SUMPRODUCT(C222:I222,C72:I72))/1000</f>
        <v>1036858.6412106074</v>
      </c>
    </row>
    <row r="289" spans="1:21" x14ac:dyDescent="0.4">
      <c r="A289" s="76"/>
      <c r="C289" s="212" t="s">
        <v>398</v>
      </c>
      <c r="D289" s="44">
        <f>+C288/SUMPRODUCT(E72:I72,E95:I95)*1000</f>
        <v>61.685711838684277</v>
      </c>
      <c r="E289" s="211" t="s">
        <v>294</v>
      </c>
      <c r="M289" s="247"/>
      <c r="N289" s="361"/>
      <c r="O289" s="247"/>
      <c r="P289" s="247"/>
      <c r="Q289" s="247"/>
      <c r="R289" s="247"/>
    </row>
    <row r="290" spans="1:21" x14ac:dyDescent="0.4">
      <c r="A290" s="76"/>
    </row>
    <row r="291" spans="1:21" x14ac:dyDescent="0.4">
      <c r="A291" s="76"/>
      <c r="C291" s="212"/>
      <c r="D291" s="32"/>
      <c r="I291" s="211" t="s">
        <v>3</v>
      </c>
    </row>
    <row r="292" spans="1:21" x14ac:dyDescent="0.4">
      <c r="A292" s="77" t="s">
        <v>296</v>
      </c>
      <c r="B292" s="78" t="s">
        <v>297</v>
      </c>
      <c r="C292" s="212"/>
      <c r="D292" s="205"/>
    </row>
    <row r="293" spans="1:21" x14ac:dyDescent="0.4">
      <c r="A293" s="76"/>
    </row>
    <row r="294" spans="1:21" x14ac:dyDescent="0.4">
      <c r="A294" s="76"/>
      <c r="B294" s="211" t="s">
        <v>298</v>
      </c>
      <c r="G294" s="110" t="s">
        <v>399</v>
      </c>
      <c r="H294" s="95"/>
      <c r="I294" s="95"/>
      <c r="J294" s="95"/>
      <c r="K294" s="95"/>
      <c r="R294" s="110"/>
      <c r="S294" s="95"/>
      <c r="T294" s="95"/>
      <c r="U294" s="95"/>
    </row>
    <row r="295" spans="1:21" x14ac:dyDescent="0.4">
      <c r="A295" s="76"/>
      <c r="B295" s="219" t="s">
        <v>91</v>
      </c>
      <c r="C295" s="32">
        <f>+J269/SUMPRODUCT(Q64:U64,E$95:I$95)*1000</f>
        <v>56.567053237396522</v>
      </c>
      <c r="D295" s="211" t="s">
        <v>222</v>
      </c>
      <c r="H295" s="80" t="s">
        <v>91</v>
      </c>
      <c r="I295" s="33">
        <f>ROUND(C295/$D$289,4)</f>
        <v>0.91700000000000004</v>
      </c>
      <c r="M295" s="219"/>
      <c r="N295" s="32"/>
      <c r="Q295" s="34"/>
      <c r="S295" s="80"/>
      <c r="T295" s="33"/>
    </row>
    <row r="296" spans="1:21" x14ac:dyDescent="0.4">
      <c r="A296" s="76"/>
      <c r="B296" s="219" t="s">
        <v>88</v>
      </c>
      <c r="C296" s="32">
        <f>+J270/SUMPRODUCT(Q60:U60,E$95:I$95)*1000</f>
        <v>65.009124547326877</v>
      </c>
      <c r="D296" s="211" t="s">
        <v>222</v>
      </c>
      <c r="H296" s="80" t="s">
        <v>88</v>
      </c>
      <c r="I296" s="33">
        <f>ROUND(C296/$D$289,4)</f>
        <v>1.0539000000000001</v>
      </c>
      <c r="M296" s="219"/>
      <c r="N296" s="32"/>
      <c r="Q296" s="34"/>
      <c r="S296" s="80"/>
      <c r="T296" s="33"/>
    </row>
    <row r="297" spans="1:21" x14ac:dyDescent="0.4">
      <c r="A297" s="76"/>
    </row>
    <row r="298" spans="1:21" x14ac:dyDescent="0.4">
      <c r="A298" s="76"/>
      <c r="G298" s="110" t="s">
        <v>400</v>
      </c>
    </row>
    <row r="299" spans="1:21" x14ac:dyDescent="0.4">
      <c r="A299" s="76"/>
      <c r="E299" s="348"/>
      <c r="F299" s="226"/>
      <c r="H299" s="80" t="s">
        <v>91</v>
      </c>
      <c r="I299" s="111">
        <f>IF(I296&gt;I295,1,I295)</f>
        <v>1</v>
      </c>
    </row>
    <row r="300" spans="1:21" x14ac:dyDescent="0.4">
      <c r="A300" s="78" t="s">
        <v>223</v>
      </c>
      <c r="E300" s="20"/>
      <c r="F300" s="106"/>
      <c r="H300" s="80" t="s">
        <v>88</v>
      </c>
      <c r="I300" s="111">
        <f>IF(I296&gt;I295,1,I296)</f>
        <v>1</v>
      </c>
    </row>
    <row r="301" spans="1:21" x14ac:dyDescent="0.4">
      <c r="A301" s="76"/>
      <c r="B301" s="212" t="s">
        <v>224</v>
      </c>
      <c r="C301" s="362">
        <f>D174</f>
        <v>164.89</v>
      </c>
      <c r="D301" s="349" t="s">
        <v>225</v>
      </c>
      <c r="E301" s="20"/>
      <c r="F301" s="106"/>
    </row>
    <row r="302" spans="1:21" x14ac:dyDescent="0.4">
      <c r="A302" s="76"/>
      <c r="B302" s="212"/>
      <c r="C302" s="362">
        <f>D175</f>
        <v>164.89</v>
      </c>
      <c r="D302" s="349" t="s">
        <v>226</v>
      </c>
      <c r="E302" s="20"/>
      <c r="F302" s="106"/>
    </row>
    <row r="303" spans="1:21" x14ac:dyDescent="0.4">
      <c r="A303" s="76"/>
      <c r="B303" s="212" t="s">
        <v>227</v>
      </c>
      <c r="C303" s="319" t="s">
        <v>299</v>
      </c>
      <c r="D303" s="349"/>
      <c r="E303" s="20"/>
      <c r="F303" s="106"/>
    </row>
    <row r="304" spans="1:21" x14ac:dyDescent="0.4">
      <c r="A304" s="76"/>
      <c r="B304" s="212" t="s">
        <v>229</v>
      </c>
      <c r="C304" s="29">
        <f>+H169</f>
        <v>4</v>
      </c>
      <c r="D304" s="211" t="s">
        <v>230</v>
      </c>
      <c r="E304" s="20"/>
      <c r="F304" s="106"/>
    </row>
    <row r="305" spans="1:6" x14ac:dyDescent="0.4">
      <c r="A305" s="76"/>
      <c r="B305" s="212"/>
      <c r="C305" s="29">
        <f>+H170</f>
        <v>8</v>
      </c>
      <c r="D305" s="211" t="s">
        <v>231</v>
      </c>
      <c r="E305" s="20"/>
      <c r="F305" s="106"/>
    </row>
    <row r="306" spans="1:6" x14ac:dyDescent="0.4">
      <c r="A306" s="76"/>
      <c r="B306" s="212" t="s">
        <v>300</v>
      </c>
      <c r="C306" s="362">
        <f>+F188</f>
        <v>17.39</v>
      </c>
      <c r="D306" s="211" t="s">
        <v>233</v>
      </c>
      <c r="E306" s="20"/>
      <c r="F306" s="106"/>
    </row>
    <row r="307" spans="1:6" x14ac:dyDescent="0.4">
      <c r="A307" s="76"/>
      <c r="B307" s="212" t="s">
        <v>234</v>
      </c>
      <c r="C307" s="211" t="s">
        <v>423</v>
      </c>
      <c r="E307" s="20"/>
      <c r="F307" s="106"/>
    </row>
    <row r="308" spans="1:6" x14ac:dyDescent="0.4">
      <c r="A308" s="76"/>
      <c r="B308" s="212" t="s">
        <v>236</v>
      </c>
      <c r="C308" s="247" t="s">
        <v>424</v>
      </c>
      <c r="E308" s="20"/>
      <c r="F308" s="106"/>
    </row>
    <row r="309" spans="1:6" x14ac:dyDescent="0.4">
      <c r="A309" s="76"/>
      <c r="B309" s="212"/>
      <c r="C309" s="247" t="s">
        <v>425</v>
      </c>
      <c r="E309" s="20"/>
      <c r="F309" s="106"/>
    </row>
    <row r="310" spans="1:6" x14ac:dyDescent="0.4">
      <c r="A310" s="76"/>
      <c r="B310" s="212" t="s">
        <v>237</v>
      </c>
      <c r="C310" s="211" t="s">
        <v>426</v>
      </c>
      <c r="E310" s="20"/>
      <c r="F310" s="106"/>
    </row>
    <row r="311" spans="1:6" x14ac:dyDescent="0.4">
      <c r="A311" s="76"/>
      <c r="B311" s="212" t="s">
        <v>301</v>
      </c>
      <c r="C311" s="211" t="s">
        <v>302</v>
      </c>
      <c r="E311" s="20"/>
      <c r="F311" s="106"/>
    </row>
    <row r="312" spans="1:6" x14ac:dyDescent="0.4">
      <c r="A312" s="76"/>
      <c r="B312" s="212" t="s">
        <v>303</v>
      </c>
      <c r="C312" s="211" t="s">
        <v>304</v>
      </c>
      <c r="E312" s="20"/>
      <c r="F312" s="106"/>
    </row>
    <row r="313" spans="1:6" x14ac:dyDescent="0.4">
      <c r="A313" s="76"/>
      <c r="B313" s="212" t="s">
        <v>240</v>
      </c>
      <c r="C313" s="211" t="s">
        <v>241</v>
      </c>
      <c r="E313" s="242"/>
      <c r="F313" s="106"/>
    </row>
    <row r="314" spans="1:6" x14ac:dyDescent="0.4">
      <c r="C314" s="211" t="s">
        <v>242</v>
      </c>
      <c r="E314" s="20"/>
      <c r="F314" s="106"/>
    </row>
    <row r="315" spans="1:6" x14ac:dyDescent="0.4">
      <c r="B315" s="212" t="s">
        <v>243</v>
      </c>
      <c r="C315" s="363" t="s">
        <v>244</v>
      </c>
      <c r="E315" s="20"/>
      <c r="F315" s="106"/>
    </row>
    <row r="316" spans="1:6" x14ac:dyDescent="0.4">
      <c r="A316" s="76"/>
      <c r="C316" s="363" t="s">
        <v>245</v>
      </c>
      <c r="E316" s="245"/>
    </row>
    <row r="317" spans="1:6" x14ac:dyDescent="0.4">
      <c r="C317" s="363" t="s">
        <v>246</v>
      </c>
    </row>
    <row r="318" spans="1:6" x14ac:dyDescent="0.4">
      <c r="A318" s="76"/>
      <c r="B318" s="212" t="s">
        <v>247</v>
      </c>
      <c r="C318" s="364" t="s">
        <v>248</v>
      </c>
      <c r="E318" s="348"/>
      <c r="F318" s="226"/>
    </row>
    <row r="319" spans="1:6" x14ac:dyDescent="0.4">
      <c r="A319" s="76"/>
      <c r="B319" s="211" t="s">
        <v>3</v>
      </c>
      <c r="C319" s="245"/>
      <c r="E319" s="348"/>
      <c r="F319" s="348"/>
    </row>
  </sheetData>
  <mergeCells count="17">
    <mergeCell ref="M30:N30"/>
    <mergeCell ref="B52:L52"/>
    <mergeCell ref="B201:L201"/>
    <mergeCell ref="B1:L1"/>
    <mergeCell ref="B2:L2"/>
    <mergeCell ref="B3:L3"/>
    <mergeCell ref="B5:L5"/>
    <mergeCell ref="B53:L53"/>
    <mergeCell ref="B103:L103"/>
    <mergeCell ref="B104:L104"/>
    <mergeCell ref="B143:L143"/>
    <mergeCell ref="B144:L144"/>
    <mergeCell ref="B202:L202"/>
    <mergeCell ref="B231:L231"/>
    <mergeCell ref="B232:L232"/>
    <mergeCell ref="B277:L277"/>
    <mergeCell ref="B278:L278"/>
  </mergeCells>
  <pageMargins left="0.97" right="0.79" top="0.69" bottom="0.69" header="0.33" footer="0.5"/>
  <pageSetup scale="60" fitToHeight="0" orientation="landscape" r:id="rId1"/>
  <headerFooter alignWithMargins="0">
    <oddFooter>&amp;L&amp;A&amp;CPage &amp;P of &amp;N&amp;R&amp;D</oddFooter>
  </headerFooter>
  <rowBreaks count="6" manualBreakCount="6">
    <brk id="51" max="11" man="1"/>
    <brk id="102" max="11" man="1"/>
    <brk id="142" max="11" man="1"/>
    <brk id="199" max="11" man="1"/>
    <brk id="230" max="11" man="1"/>
    <brk id="276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99869-841C-42FD-A169-B28B3C499830}">
  <dimension ref="A1:AF177"/>
  <sheetViews>
    <sheetView view="pageBreakPreview" zoomScale="60" zoomScaleNormal="60" workbookViewId="0"/>
  </sheetViews>
  <sheetFormatPr defaultColWidth="9.05859375" defaultRowHeight="12.7" x14ac:dyDescent="0.4"/>
  <cols>
    <col min="1" max="1" width="16.05859375" style="128" customWidth="1"/>
    <col min="2" max="2" width="27.87890625" style="118" customWidth="1"/>
    <col min="3" max="3" width="11.87890625" style="118" customWidth="1"/>
    <col min="4" max="4" width="9.52734375" style="118" customWidth="1"/>
    <col min="5" max="5" width="14.46875" style="118" customWidth="1"/>
    <col min="6" max="6" width="15" style="118" customWidth="1"/>
    <col min="7" max="7" width="16.87890625" style="118" bestFit="1" customWidth="1"/>
    <col min="8" max="9" width="14.05859375" style="118" customWidth="1"/>
    <col min="10" max="10" width="15.87890625" style="118" customWidth="1"/>
    <col min="11" max="11" width="3.05859375" style="118" customWidth="1"/>
    <col min="12" max="12" width="5.52734375" style="118" customWidth="1"/>
    <col min="13" max="14" width="4.52734375" style="118" hidden="1" customWidth="1"/>
    <col min="15" max="15" width="20.17578125" style="118" hidden="1" customWidth="1"/>
    <col min="16" max="16" width="21.46875" style="118" hidden="1" customWidth="1"/>
    <col min="17" max="17" width="14.8203125" style="118" hidden="1" customWidth="1"/>
    <col min="18" max="19" width="13.64453125" style="118" hidden="1" customWidth="1"/>
    <col min="20" max="20" width="14.17578125" style="118" hidden="1" customWidth="1"/>
    <col min="21" max="21" width="14.05859375" style="118" customWidth="1"/>
    <col min="22" max="22" width="13.64453125" style="118" customWidth="1"/>
    <col min="23" max="23" width="14.87890625" style="118" bestFit="1" customWidth="1"/>
    <col min="24" max="24" width="14.3515625" style="118" bestFit="1" customWidth="1"/>
    <col min="25" max="25" width="18" style="118" customWidth="1"/>
    <col min="26" max="26" width="14.05859375" style="118" customWidth="1"/>
    <col min="27" max="27" width="13.64453125" style="118" customWidth="1"/>
    <col min="28" max="28" width="13.52734375" style="118" customWidth="1"/>
    <col min="29" max="29" width="13.64453125" style="118" customWidth="1"/>
    <col min="30" max="30" width="17.52734375" style="118" customWidth="1"/>
    <col min="31" max="31" width="16.64453125" style="118" customWidth="1"/>
    <col min="32" max="32" width="14.46875" style="118" customWidth="1"/>
    <col min="33" max="16384" width="9.05859375" style="118"/>
  </cols>
  <sheetData>
    <row r="1" spans="1:16" ht="15.35" x14ac:dyDescent="0.5">
      <c r="B1" s="384" t="s">
        <v>0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</row>
    <row r="2" spans="1:16" ht="15.35" x14ac:dyDescent="0.5">
      <c r="B2" s="384" t="s">
        <v>1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384"/>
    </row>
    <row r="3" spans="1:16" ht="15.35" x14ac:dyDescent="0.5">
      <c r="B3" s="384" t="str">
        <f>'BGS PTY19 Cost Alloc'!$B$3</f>
        <v>2021 BGS Auction Cost and Bid Factor Tables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</row>
    <row r="4" spans="1:16" ht="15.35" x14ac:dyDescent="0.5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6" ht="15.35" x14ac:dyDescent="0.5">
      <c r="B5" s="384" t="s">
        <v>305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</row>
    <row r="6" spans="1:16" x14ac:dyDescent="0.4">
      <c r="N6" s="194" t="s">
        <v>3</v>
      </c>
    </row>
    <row r="7" spans="1:16" x14ac:dyDescent="0.4">
      <c r="A7" s="4" t="s">
        <v>306</v>
      </c>
      <c r="B7" s="2" t="s">
        <v>307</v>
      </c>
      <c r="C7" s="195"/>
      <c r="E7" s="17" t="s">
        <v>308</v>
      </c>
      <c r="F7" s="196">
        <v>18</v>
      </c>
      <c r="G7" s="2"/>
      <c r="P7" s="197" t="s">
        <v>3</v>
      </c>
    </row>
    <row r="8" spans="1:16" ht="14.25" customHeight="1" x14ac:dyDescent="0.4">
      <c r="A8" s="6"/>
      <c r="B8" s="118" t="s">
        <v>309</v>
      </c>
      <c r="C8" s="7"/>
      <c r="D8" s="7"/>
      <c r="M8" s="7"/>
      <c r="N8" s="7"/>
    </row>
    <row r="9" spans="1:16" x14ac:dyDescent="0.4">
      <c r="A9" s="6"/>
    </row>
    <row r="10" spans="1:16" x14ac:dyDescent="0.4">
      <c r="A10" s="6"/>
      <c r="B10" s="118" t="s">
        <v>197</v>
      </c>
      <c r="E10" s="9" t="s">
        <v>13</v>
      </c>
      <c r="F10" s="9" t="s">
        <v>14</v>
      </c>
      <c r="G10" s="9" t="s">
        <v>15</v>
      </c>
      <c r="H10" s="9" t="s">
        <v>46</v>
      </c>
      <c r="I10" s="9" t="s">
        <v>17</v>
      </c>
      <c r="M10" s="198"/>
      <c r="N10" s="198"/>
    </row>
    <row r="11" spans="1:16" x14ac:dyDescent="0.4">
      <c r="A11" s="6"/>
      <c r="B11" s="199" t="s">
        <v>111</v>
      </c>
      <c r="C11" s="200"/>
      <c r="D11" s="200"/>
      <c r="E11" s="200">
        <f>'BGS PTY17 Cost Alloc'!E289</f>
        <v>190.27301137502351</v>
      </c>
      <c r="F11" s="200"/>
      <c r="G11" s="200">
        <f>'BGS PTY17 Cost Alloc'!G289</f>
        <v>154908.86237453143</v>
      </c>
      <c r="H11" s="21"/>
      <c r="I11" s="200">
        <f>'BGS PTY17 Cost Alloc'!I289</f>
        <v>2357.4863802793402</v>
      </c>
      <c r="J11" s="200"/>
      <c r="K11" s="200"/>
      <c r="L11" s="200"/>
      <c r="M11" s="198"/>
      <c r="N11" s="198"/>
    </row>
    <row r="12" spans="1:16" x14ac:dyDescent="0.4">
      <c r="A12" s="6"/>
      <c r="B12" s="201" t="s">
        <v>133</v>
      </c>
      <c r="C12" s="200"/>
      <c r="D12" s="200"/>
      <c r="E12" s="200">
        <f>'BGS PTY17 Cost Alloc'!E290</f>
        <v>2825.7623322572831</v>
      </c>
      <c r="F12" s="200"/>
      <c r="G12" s="200"/>
      <c r="H12" s="200">
        <f>'BGS PTY17 Cost Alloc'!H290</f>
        <v>2766.751246611158</v>
      </c>
      <c r="I12" s="200"/>
      <c r="J12" s="200"/>
      <c r="K12" s="200"/>
      <c r="L12" s="200"/>
      <c r="M12" s="198"/>
      <c r="N12" s="198"/>
    </row>
    <row r="13" spans="1:16" x14ac:dyDescent="0.4">
      <c r="A13" s="6"/>
      <c r="B13" s="201" t="s">
        <v>134</v>
      </c>
      <c r="C13" s="200"/>
      <c r="D13" s="200"/>
      <c r="E13" s="200">
        <f>'BGS PTY17 Cost Alloc'!E291</f>
        <v>2137.2404835496036</v>
      </c>
      <c r="F13" s="200"/>
      <c r="G13" s="200"/>
      <c r="H13" s="200">
        <f>'BGS PTY17 Cost Alloc'!H291</f>
        <v>2010.5394155605743</v>
      </c>
      <c r="I13" s="200"/>
      <c r="J13" s="200"/>
      <c r="K13" s="200"/>
      <c r="L13" s="200"/>
      <c r="M13" s="198"/>
      <c r="N13" s="198"/>
    </row>
    <row r="14" spans="1:16" x14ac:dyDescent="0.4">
      <c r="A14" s="6"/>
      <c r="B14" s="202" t="s">
        <v>165</v>
      </c>
      <c r="C14" s="200"/>
      <c r="D14" s="200"/>
      <c r="E14" s="200"/>
      <c r="F14" s="200">
        <f>'BGS PTY17 Cost Alloc'!F292</f>
        <v>150740.20482662893</v>
      </c>
      <c r="G14" s="200"/>
      <c r="H14" s="21"/>
      <c r="I14" s="200"/>
      <c r="J14" s="200"/>
      <c r="K14" s="200"/>
      <c r="L14" s="200"/>
      <c r="M14" s="198"/>
      <c r="N14" s="198"/>
    </row>
    <row r="15" spans="1:16" x14ac:dyDescent="0.4">
      <c r="A15" s="6"/>
      <c r="B15" s="202" t="s">
        <v>166</v>
      </c>
      <c r="C15" s="200"/>
      <c r="D15" s="200"/>
      <c r="E15" s="200"/>
      <c r="F15" s="200">
        <f>'BGS PTY17 Cost Alloc'!F293</f>
        <v>148680.24946160289</v>
      </c>
      <c r="G15" s="200"/>
      <c r="H15" s="21"/>
      <c r="I15" s="200"/>
      <c r="J15" s="200"/>
      <c r="K15" s="200"/>
      <c r="L15" s="200"/>
      <c r="M15" s="198"/>
      <c r="N15" s="198"/>
    </row>
    <row r="16" spans="1:16" x14ac:dyDescent="0.4">
      <c r="A16" s="6"/>
      <c r="C16" s="200"/>
      <c r="D16" s="200"/>
      <c r="E16" s="200"/>
      <c r="F16" s="200"/>
      <c r="G16" s="200"/>
      <c r="H16" s="21"/>
      <c r="I16" s="200"/>
      <c r="J16" s="200"/>
      <c r="K16" s="200"/>
      <c r="L16" s="200"/>
      <c r="M16" s="198"/>
      <c r="N16" s="198"/>
    </row>
    <row r="17" spans="1:16" x14ac:dyDescent="0.4">
      <c r="A17" s="6"/>
      <c r="B17" s="199" t="s">
        <v>115</v>
      </c>
      <c r="C17" s="200"/>
      <c r="D17" s="200"/>
      <c r="E17" s="200">
        <f>'BGS PTY17 Cost Alloc'!E295</f>
        <v>438.9030212670221</v>
      </c>
      <c r="F17" s="200">
        <f>'BGS PTY17 Cost Alloc'!F295</f>
        <v>432968.27244778653</v>
      </c>
      <c r="G17" s="200">
        <f>'BGS PTY17 Cost Alloc'!G295</f>
        <v>262505.50928240793</v>
      </c>
      <c r="I17" s="200">
        <f>'BGS PTY17 Cost Alloc'!I295</f>
        <v>4646.5517086158679</v>
      </c>
      <c r="J17" s="200"/>
      <c r="K17" s="200"/>
      <c r="L17" s="200"/>
      <c r="M17" s="198"/>
      <c r="N17" s="198"/>
    </row>
    <row r="18" spans="1:16" x14ac:dyDescent="0.4">
      <c r="A18" s="6"/>
      <c r="B18" s="201" t="s">
        <v>133</v>
      </c>
      <c r="C18" s="200"/>
      <c r="D18" s="200"/>
      <c r="E18" s="200">
        <f>'BGS PTY17 Cost Alloc'!E296</f>
        <v>4636.2416172676403</v>
      </c>
      <c r="F18" s="203"/>
      <c r="G18" s="203"/>
      <c r="H18" s="200">
        <f>'BGS PTY17 Cost Alloc'!H296</f>
        <v>4495.8061373482687</v>
      </c>
      <c r="I18" s="203"/>
      <c r="J18" s="200"/>
      <c r="K18" s="200"/>
      <c r="L18" s="200"/>
      <c r="M18" s="198"/>
      <c r="N18" s="198"/>
    </row>
    <row r="19" spans="1:16" x14ac:dyDescent="0.4">
      <c r="A19" s="6"/>
      <c r="B19" s="201" t="s">
        <v>134</v>
      </c>
      <c r="C19" s="203"/>
      <c r="D19" s="203"/>
      <c r="E19" s="200">
        <f>'BGS PTY17 Cost Alloc'!E297</f>
        <v>5005.3073289666818</v>
      </c>
      <c r="H19" s="200">
        <f>'BGS PTY17 Cost Alloc'!H297</f>
        <v>4106.1475787045774</v>
      </c>
      <c r="J19" s="200"/>
      <c r="K19" s="200"/>
      <c r="L19" s="200"/>
      <c r="M19" s="198"/>
      <c r="N19" s="198"/>
    </row>
    <row r="20" spans="1:16" x14ac:dyDescent="0.4">
      <c r="A20" s="6"/>
      <c r="B20" s="120"/>
      <c r="M20" s="198"/>
      <c r="N20" s="198"/>
    </row>
    <row r="21" spans="1:16" x14ac:dyDescent="0.4">
      <c r="A21" s="6"/>
      <c r="B21" s="118" t="s">
        <v>198</v>
      </c>
      <c r="M21" s="198"/>
      <c r="N21" s="198"/>
    </row>
    <row r="22" spans="1:16" x14ac:dyDescent="0.4">
      <c r="A22" s="6"/>
      <c r="B22" s="120" t="s">
        <v>91</v>
      </c>
      <c r="E22" s="203">
        <f>SUM(E11:E15)</f>
        <v>5153.2758271819102</v>
      </c>
      <c r="F22" s="203">
        <f>SUM(F11:F15)</f>
        <v>299420.45428823179</v>
      </c>
      <c r="G22" s="203">
        <f>SUM(G11:G15)</f>
        <v>154908.86237453143</v>
      </c>
      <c r="H22" s="203">
        <f>SUM(H11:H15)</f>
        <v>4777.290662171732</v>
      </c>
      <c r="I22" s="203">
        <f>SUM(I11:I15)</f>
        <v>2357.4863802793402</v>
      </c>
      <c r="J22" s="204">
        <f>SUM(E22:I22)</f>
        <v>466617.3695323962</v>
      </c>
      <c r="K22" s="204"/>
      <c r="L22" s="204"/>
      <c r="M22" s="205"/>
      <c r="N22" s="205"/>
    </row>
    <row r="23" spans="1:16" x14ac:dyDescent="0.4">
      <c r="A23" s="6"/>
      <c r="B23" s="120" t="s">
        <v>88</v>
      </c>
      <c r="E23" s="203">
        <f>SUM(E17:E19)</f>
        <v>10080.451967501343</v>
      </c>
      <c r="F23" s="203">
        <f>SUM(F17:F19)</f>
        <v>432968.27244778653</v>
      </c>
      <c r="G23" s="203">
        <f>SUM(G17:G19)</f>
        <v>262505.50928240793</v>
      </c>
      <c r="H23" s="203">
        <f>SUM(H17:H19)</f>
        <v>8601.9537160528453</v>
      </c>
      <c r="I23" s="203">
        <f>SUM(I17:I19)</f>
        <v>4646.5517086158679</v>
      </c>
      <c r="J23" s="204">
        <f>SUM(E23:I23)</f>
        <v>718802.73912236444</v>
      </c>
      <c r="K23" s="204"/>
      <c r="L23" s="204"/>
      <c r="M23" s="205"/>
      <c r="N23" s="205"/>
    </row>
    <row r="24" spans="1:16" x14ac:dyDescent="0.4">
      <c r="A24" s="4"/>
      <c r="B24" s="120" t="s">
        <v>44</v>
      </c>
      <c r="E24" s="203">
        <f>SUM(E22:E23)</f>
        <v>15233.727794683255</v>
      </c>
      <c r="F24" s="203">
        <f>SUM(F22:F23)</f>
        <v>732388.72673601832</v>
      </c>
      <c r="G24" s="203">
        <f>SUM(G22:G23)</f>
        <v>417414.37165693939</v>
      </c>
      <c r="H24" s="203">
        <f>SUM(H22:H23)</f>
        <v>13379.244378224577</v>
      </c>
      <c r="I24" s="203">
        <f>SUM(I22:I23)</f>
        <v>7004.0380888952077</v>
      </c>
      <c r="J24" s="203">
        <f>SUM(E24:I24)</f>
        <v>1185420.1086547605</v>
      </c>
      <c r="K24" s="203"/>
      <c r="L24" s="203"/>
      <c r="M24" s="205"/>
      <c r="N24" s="205"/>
    </row>
    <row r="25" spans="1:16" x14ac:dyDescent="0.4">
      <c r="A25" s="6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6" x14ac:dyDescent="0.4">
      <c r="A26" s="4" t="s">
        <v>310</v>
      </c>
      <c r="B26" s="2" t="s">
        <v>311</v>
      </c>
      <c r="C26" s="195"/>
      <c r="E26" s="17" t="s">
        <v>308</v>
      </c>
      <c r="F26" s="196">
        <v>15</v>
      </c>
      <c r="G26" s="2" t="s">
        <v>3</v>
      </c>
      <c r="P26" s="197" t="s">
        <v>3</v>
      </c>
    </row>
    <row r="27" spans="1:16" x14ac:dyDescent="0.4">
      <c r="A27" s="6"/>
      <c r="B27" s="118" t="s">
        <v>309</v>
      </c>
      <c r="C27" s="7"/>
      <c r="D27" s="7"/>
    </row>
    <row r="28" spans="1:16" x14ac:dyDescent="0.4">
      <c r="A28" s="6"/>
    </row>
    <row r="29" spans="1:16" x14ac:dyDescent="0.4">
      <c r="A29" s="6"/>
      <c r="B29" s="118" t="s">
        <v>197</v>
      </c>
      <c r="E29" s="9" t="s">
        <v>13</v>
      </c>
      <c r="F29" s="9" t="s">
        <v>14</v>
      </c>
      <c r="G29" s="9" t="s">
        <v>15</v>
      </c>
      <c r="H29" s="9" t="s">
        <v>46</v>
      </c>
      <c r="I29" s="9" t="s">
        <v>17</v>
      </c>
    </row>
    <row r="30" spans="1:16" x14ac:dyDescent="0.4">
      <c r="A30" s="6"/>
      <c r="B30" s="199" t="s">
        <v>111</v>
      </c>
      <c r="C30" s="200"/>
      <c r="D30" s="200"/>
      <c r="E30" s="200">
        <f>'BGS PTY18 Cost Alloc'!E289</f>
        <v>175.43115542374835</v>
      </c>
      <c r="F30" s="200"/>
      <c r="G30" s="200">
        <f>'BGS PTY18 Cost Alloc'!G289</f>
        <v>141650.88033462822</v>
      </c>
      <c r="H30" s="21"/>
      <c r="I30" s="200">
        <f>'BGS PTY18 Cost Alloc'!I289</f>
        <v>2031.355984687506</v>
      </c>
      <c r="J30" s="200"/>
      <c r="K30" s="200"/>
      <c r="L30" s="200"/>
    </row>
    <row r="31" spans="1:16" x14ac:dyDescent="0.4">
      <c r="A31" s="6"/>
      <c r="B31" s="201" t="s">
        <v>133</v>
      </c>
      <c r="C31" s="200"/>
      <c r="D31" s="200"/>
      <c r="E31" s="200">
        <f>'BGS PTY18 Cost Alloc'!E290</f>
        <v>2713.6246600490608</v>
      </c>
      <c r="F31" s="200"/>
      <c r="G31" s="200"/>
      <c r="H31" s="200">
        <f>'BGS PTY18 Cost Alloc'!H290</f>
        <v>2477.148234229383</v>
      </c>
      <c r="I31" s="200"/>
      <c r="J31" s="200"/>
      <c r="K31" s="200"/>
      <c r="L31" s="200"/>
    </row>
    <row r="32" spans="1:16" x14ac:dyDescent="0.4">
      <c r="A32" s="6"/>
      <c r="B32" s="201" t="s">
        <v>134</v>
      </c>
      <c r="C32" s="200"/>
      <c r="D32" s="200"/>
      <c r="E32" s="200">
        <f>'BGS PTY18 Cost Alloc'!E291</f>
        <v>1862.2673743359405</v>
      </c>
      <c r="F32" s="200"/>
      <c r="G32" s="200"/>
      <c r="H32" s="200">
        <f>'BGS PTY18 Cost Alloc'!H291</f>
        <v>1749.9758242628</v>
      </c>
      <c r="I32" s="200"/>
      <c r="J32" s="200"/>
      <c r="K32" s="200"/>
      <c r="L32" s="200"/>
    </row>
    <row r="33" spans="1:12" x14ac:dyDescent="0.4">
      <c r="A33" s="6"/>
      <c r="B33" s="202" t="s">
        <v>165</v>
      </c>
      <c r="C33" s="200"/>
      <c r="D33" s="200"/>
      <c r="E33" s="200"/>
      <c r="F33" s="200">
        <f>'BGS PTY18 Cost Alloc'!F292</f>
        <v>139543.75245880408</v>
      </c>
      <c r="G33" s="200"/>
      <c r="H33" s="21"/>
      <c r="I33" s="200"/>
      <c r="J33" s="200"/>
      <c r="K33" s="200"/>
      <c r="L33" s="200"/>
    </row>
    <row r="34" spans="1:12" x14ac:dyDescent="0.4">
      <c r="A34" s="6"/>
      <c r="B34" s="202" t="s">
        <v>166</v>
      </c>
      <c r="C34" s="200"/>
      <c r="D34" s="200"/>
      <c r="E34" s="200"/>
      <c r="F34" s="200">
        <f>'BGS PTY18 Cost Alloc'!F293</f>
        <v>138774.58291678267</v>
      </c>
      <c r="G34" s="200"/>
      <c r="H34" s="21"/>
      <c r="I34" s="200"/>
      <c r="J34" s="200"/>
      <c r="K34" s="200"/>
      <c r="L34" s="200"/>
    </row>
    <row r="35" spans="1:12" x14ac:dyDescent="0.4">
      <c r="A35" s="6"/>
      <c r="C35" s="200"/>
      <c r="D35" s="200"/>
      <c r="E35" s="200"/>
      <c r="F35" s="200"/>
      <c r="G35" s="200"/>
      <c r="H35" s="21"/>
      <c r="I35" s="200"/>
      <c r="J35" s="200"/>
      <c r="K35" s="200"/>
      <c r="L35" s="200"/>
    </row>
    <row r="36" spans="1:12" x14ac:dyDescent="0.4">
      <c r="A36" s="6"/>
      <c r="B36" s="199" t="s">
        <v>115</v>
      </c>
      <c r="C36" s="200"/>
      <c r="D36" s="200"/>
      <c r="E36" s="200">
        <f>'BGS PTY18 Cost Alloc'!E295</f>
        <v>394.11303012019499</v>
      </c>
      <c r="F36" s="200">
        <f>'BGS PTY18 Cost Alloc'!F295</f>
        <v>405965.47983994923</v>
      </c>
      <c r="G36" s="200">
        <f>'BGS PTY18 Cost Alloc'!G295</f>
        <v>237605.33522009655</v>
      </c>
      <c r="I36" s="200">
        <f>'BGS PTY18 Cost Alloc'!I295</f>
        <v>3847.2546839677016</v>
      </c>
      <c r="J36" s="200"/>
      <c r="K36" s="200"/>
      <c r="L36" s="200"/>
    </row>
    <row r="37" spans="1:12" x14ac:dyDescent="0.4">
      <c r="A37" s="6"/>
      <c r="B37" s="201" t="s">
        <v>133</v>
      </c>
      <c r="C37" s="200"/>
      <c r="D37" s="200"/>
      <c r="E37" s="200">
        <f>'BGS PTY18 Cost Alloc'!E296</f>
        <v>4494.5985729305767</v>
      </c>
      <c r="F37" s="203"/>
      <c r="G37" s="203"/>
      <c r="H37" s="200">
        <f>'BGS PTY18 Cost Alloc'!H296</f>
        <v>4052.0861984243857</v>
      </c>
      <c r="I37" s="203"/>
      <c r="J37" s="200"/>
      <c r="K37" s="200"/>
      <c r="L37" s="200"/>
    </row>
    <row r="38" spans="1:12" x14ac:dyDescent="0.4">
      <c r="A38" s="6"/>
      <c r="B38" s="201" t="s">
        <v>134</v>
      </c>
      <c r="C38" s="203"/>
      <c r="D38" s="203"/>
      <c r="E38" s="200">
        <f>'BGS PTY18 Cost Alloc'!E297</f>
        <v>4162.9869417427735</v>
      </c>
      <c r="H38" s="200">
        <f>'BGS PTY18 Cost Alloc'!H297</f>
        <v>3406.0808029457539</v>
      </c>
      <c r="J38" s="200"/>
      <c r="K38" s="200"/>
      <c r="L38" s="200"/>
    </row>
    <row r="39" spans="1:12" x14ac:dyDescent="0.4">
      <c r="A39" s="6"/>
      <c r="B39" s="120"/>
    </row>
    <row r="40" spans="1:12" x14ac:dyDescent="0.4">
      <c r="A40" s="6"/>
      <c r="B40" s="118" t="s">
        <v>198</v>
      </c>
    </row>
    <row r="41" spans="1:12" x14ac:dyDescent="0.4">
      <c r="A41" s="6"/>
      <c r="B41" s="120" t="s">
        <v>91</v>
      </c>
      <c r="E41" s="203">
        <f>SUM(E30:E34)</f>
        <v>4751.3231898087497</v>
      </c>
      <c r="F41" s="203">
        <f>SUM(F30:F34)</f>
        <v>278318.33537558676</v>
      </c>
      <c r="G41" s="203">
        <f>SUM(G30:G34)</f>
        <v>141650.88033462822</v>
      </c>
      <c r="H41" s="203">
        <f>SUM(H30:H34)</f>
        <v>4227.1240584921834</v>
      </c>
      <c r="I41" s="203">
        <f>SUM(I30:I34)</f>
        <v>2031.355984687506</v>
      </c>
      <c r="J41" s="204">
        <f>SUM(E41:I41)</f>
        <v>430979.01894320344</v>
      </c>
      <c r="K41" s="204"/>
      <c r="L41" s="204"/>
    </row>
    <row r="42" spans="1:12" x14ac:dyDescent="0.4">
      <c r="A42" s="6"/>
      <c r="B42" s="120" t="s">
        <v>88</v>
      </c>
      <c r="E42" s="203">
        <f>SUM(E36:E38)</f>
        <v>9051.698544793544</v>
      </c>
      <c r="F42" s="203">
        <f>SUM(F36:F38)</f>
        <v>405965.47983994923</v>
      </c>
      <c r="G42" s="203">
        <f>SUM(G36:G38)</f>
        <v>237605.33522009655</v>
      </c>
      <c r="H42" s="203">
        <f>SUM(H36:H38)</f>
        <v>7458.1670013701396</v>
      </c>
      <c r="I42" s="203">
        <f>SUM(I36:I38)</f>
        <v>3847.2546839677016</v>
      </c>
      <c r="J42" s="204">
        <f>SUM(E42:I42)</f>
        <v>663927.93529017712</v>
      </c>
      <c r="K42" s="204"/>
      <c r="L42" s="204"/>
    </row>
    <row r="43" spans="1:12" x14ac:dyDescent="0.4">
      <c r="A43" s="4"/>
      <c r="B43" s="120" t="s">
        <v>44</v>
      </c>
      <c r="E43" s="203">
        <f>SUM(E41:E42)</f>
        <v>13803.021734602295</v>
      </c>
      <c r="F43" s="203">
        <f>SUM(F41:F42)</f>
        <v>684283.81521553593</v>
      </c>
      <c r="G43" s="203">
        <f>SUM(G41:G42)</f>
        <v>379256.2155547248</v>
      </c>
      <c r="H43" s="203">
        <f>SUM(H41:H42)</f>
        <v>11685.291059862324</v>
      </c>
      <c r="I43" s="203">
        <f>SUM(I41:I42)</f>
        <v>5878.6106686552075</v>
      </c>
      <c r="J43" s="203">
        <f>SUM(E43:I43)</f>
        <v>1094906.9542333807</v>
      </c>
      <c r="K43" s="203"/>
      <c r="L43" s="203"/>
    </row>
    <row r="44" spans="1:12" x14ac:dyDescent="0.4">
      <c r="A44" s="4"/>
      <c r="B44" s="120"/>
      <c r="E44" s="203"/>
      <c r="F44" s="203"/>
      <c r="G44" s="203"/>
      <c r="H44" s="203"/>
      <c r="I44" s="203"/>
      <c r="J44" s="203"/>
      <c r="K44" s="203"/>
      <c r="L44" s="203"/>
    </row>
    <row r="45" spans="1:12" x14ac:dyDescent="0.4">
      <c r="A45" s="118"/>
      <c r="B45" s="206" t="str">
        <f>'BGS PTY19 Cost Alloc'!B46</f>
        <v>{1} For BGS purposes the RT rate class includes the RS and GS rate class Off-Peak (OPWH) and Controlled Water Heating (CTWH) provisions.  The RT rate class also includes the</v>
      </c>
      <c r="E45" s="203"/>
      <c r="F45" s="203"/>
      <c r="G45" s="203"/>
      <c r="H45" s="203"/>
      <c r="I45" s="203"/>
      <c r="J45" s="203"/>
      <c r="K45" s="203"/>
      <c r="L45" s="203"/>
    </row>
    <row r="46" spans="1:12" x14ac:dyDescent="0.4">
      <c r="A46" s="118"/>
      <c r="B46" s="206" t="str">
        <f>'BGS PTY19 Cost Alloc'!B47</f>
        <v xml:space="preserve">  summer billing month RGT rate class usage.  OPWH and CTWH is billed on the average RT rates, while RT and Summer RGT use is billed at on-peak and off-peak rates.</v>
      </c>
      <c r="E46" s="203"/>
      <c r="F46" s="203"/>
      <c r="G46" s="203"/>
      <c r="H46" s="203"/>
      <c r="I46" s="203"/>
      <c r="J46" s="203"/>
      <c r="K46" s="203"/>
      <c r="L46" s="203"/>
    </row>
    <row r="47" spans="1:12" x14ac:dyDescent="0.4">
      <c r="A47" s="118"/>
      <c r="B47" s="206" t="str">
        <f>'BGS PTY19 Cost Alloc'!B48</f>
        <v xml:space="preserve">{2} For BGS purposes the RS rate class excludes the Off-Peak and Controlled Water Heating provisions and includes  </v>
      </c>
      <c r="E47" s="203"/>
      <c r="F47" s="203"/>
      <c r="G47" s="203"/>
      <c r="H47" s="203"/>
      <c r="I47" s="203"/>
      <c r="J47" s="203"/>
      <c r="K47" s="203"/>
      <c r="L47" s="203"/>
    </row>
    <row r="48" spans="1:12" x14ac:dyDescent="0.4">
      <c r="A48" s="118"/>
      <c r="B48" s="206" t="str">
        <f>'BGS PTY19 Cost Alloc'!B49</f>
        <v xml:space="preserve">     the winter billing month RGT rate class usage</v>
      </c>
      <c r="E48" s="203"/>
      <c r="F48" s="203"/>
      <c r="G48" s="203"/>
      <c r="H48" s="203"/>
      <c r="I48" s="203"/>
      <c r="J48" s="203"/>
      <c r="K48" s="203"/>
      <c r="L48" s="203"/>
    </row>
    <row r="49" spans="1:16" x14ac:dyDescent="0.4">
      <c r="A49" s="118"/>
      <c r="B49" s="206" t="str">
        <f>'BGS PTY19 Cost Alloc'!B50</f>
        <v>{3} For BGS purposes the GS rate class excludes the Off-Peak and Controlled Water Heating provisions</v>
      </c>
      <c r="E49" s="203"/>
      <c r="F49" s="203"/>
      <c r="G49" s="203"/>
      <c r="H49" s="203"/>
      <c r="I49" s="203"/>
      <c r="J49" s="203"/>
      <c r="K49" s="203"/>
      <c r="L49" s="203"/>
    </row>
    <row r="50" spans="1:16" x14ac:dyDescent="0.4">
      <c r="A50" s="206"/>
      <c r="B50" s="207" t="str">
        <f>'BGS PTY19 Cost Alloc'!B101</f>
        <v>{4} The GS and GST units exclude the units associated with the 500 kW and above PLS accounts that will be required to take service under BGS-CIEP</v>
      </c>
      <c r="E50" s="203"/>
      <c r="F50" s="203"/>
      <c r="G50" s="203"/>
      <c r="H50" s="203"/>
      <c r="I50" s="203"/>
      <c r="J50" s="203"/>
      <c r="K50" s="203"/>
      <c r="L50" s="203"/>
    </row>
    <row r="51" spans="1:16" x14ac:dyDescent="0.4">
      <c r="A51" s="118"/>
      <c r="B51" s="207" t="str">
        <f>'BGS PTY19 Cost Alloc'!B102</f>
        <v xml:space="preserve"> </v>
      </c>
    </row>
    <row r="52" spans="1:16" ht="15.35" x14ac:dyDescent="0.5">
      <c r="B52" s="384" t="s">
        <v>0</v>
      </c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</row>
    <row r="53" spans="1:16" ht="15.35" x14ac:dyDescent="0.5">
      <c r="B53" s="384" t="s">
        <v>1</v>
      </c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</row>
    <row r="54" spans="1:16" ht="15.35" x14ac:dyDescent="0.5">
      <c r="B54" s="384"/>
      <c r="C54" s="384"/>
      <c r="D54" s="384"/>
      <c r="E54" s="384"/>
      <c r="F54" s="384"/>
      <c r="G54" s="384"/>
      <c r="H54" s="384"/>
      <c r="I54" s="384"/>
      <c r="J54" s="384"/>
      <c r="K54" s="384"/>
      <c r="L54" s="384"/>
      <c r="M54" s="384"/>
      <c r="N54" s="384"/>
    </row>
    <row r="55" spans="1:16" x14ac:dyDescent="0.4">
      <c r="N55" s="194" t="s">
        <v>3</v>
      </c>
    </row>
    <row r="57" spans="1:16" x14ac:dyDescent="0.4">
      <c r="E57" s="3"/>
    </row>
    <row r="58" spans="1:16" x14ac:dyDescent="0.4">
      <c r="A58" s="4" t="s">
        <v>312</v>
      </c>
      <c r="B58" s="2" t="s">
        <v>313</v>
      </c>
      <c r="C58" s="195"/>
      <c r="E58" s="17" t="s">
        <v>308</v>
      </c>
      <c r="F58" s="196">
        <v>20</v>
      </c>
      <c r="G58" s="118" t="s">
        <v>3</v>
      </c>
      <c r="P58" s="197" t="s">
        <v>3</v>
      </c>
    </row>
    <row r="59" spans="1:16" x14ac:dyDescent="0.4">
      <c r="A59" s="6"/>
      <c r="B59" s="118" t="s">
        <v>309</v>
      </c>
      <c r="C59" s="7"/>
      <c r="D59" s="7"/>
    </row>
    <row r="60" spans="1:16" x14ac:dyDescent="0.4">
      <c r="A60" s="6"/>
    </row>
    <row r="61" spans="1:16" x14ac:dyDescent="0.4">
      <c r="A61" s="6"/>
      <c r="B61" s="118" t="s">
        <v>197</v>
      </c>
      <c r="E61" s="9" t="s">
        <v>13</v>
      </c>
      <c r="F61" s="9" t="s">
        <v>14</v>
      </c>
      <c r="G61" s="9" t="s">
        <v>15</v>
      </c>
      <c r="H61" s="9" t="s">
        <v>46</v>
      </c>
      <c r="I61" s="9" t="s">
        <v>17</v>
      </c>
    </row>
    <row r="62" spans="1:16" x14ac:dyDescent="0.4">
      <c r="A62" s="6"/>
      <c r="B62" s="199" t="s">
        <v>111</v>
      </c>
      <c r="C62" s="200"/>
      <c r="D62" s="200"/>
      <c r="E62" s="200">
        <f>'BGS PTY19 Cost Alloc'!E258</f>
        <v>152.36472075124379</v>
      </c>
      <c r="F62" s="200"/>
      <c r="G62" s="200">
        <f>'BGS PTY19 Cost Alloc'!G258</f>
        <v>122506.41569749346</v>
      </c>
      <c r="H62" s="21"/>
      <c r="I62" s="200">
        <f>'BGS PTY19 Cost Alloc'!I258</f>
        <v>1728.5254354672697</v>
      </c>
      <c r="J62" s="200"/>
      <c r="K62" s="200"/>
      <c r="L62" s="200"/>
    </row>
    <row r="63" spans="1:16" x14ac:dyDescent="0.4">
      <c r="A63" s="6"/>
      <c r="B63" s="201" t="s">
        <v>133</v>
      </c>
      <c r="C63" s="200"/>
      <c r="D63" s="200"/>
      <c r="E63" s="200">
        <f>'BGS PTY19 Cost Alloc'!E259</f>
        <v>2376.0712505027968</v>
      </c>
      <c r="F63" s="200"/>
      <c r="G63" s="200"/>
      <c r="H63" s="200">
        <f>'BGS PTY19 Cost Alloc'!H259</f>
        <v>2114.3022864496752</v>
      </c>
      <c r="I63" s="200"/>
      <c r="J63" s="200"/>
      <c r="K63" s="200"/>
      <c r="L63" s="200"/>
    </row>
    <row r="64" spans="1:16" x14ac:dyDescent="0.4">
      <c r="A64" s="6"/>
      <c r="B64" s="201" t="s">
        <v>134</v>
      </c>
      <c r="C64" s="200"/>
      <c r="D64" s="200"/>
      <c r="E64" s="200">
        <f>'BGS PTY19 Cost Alloc'!E260</f>
        <v>1598.1676955401999</v>
      </c>
      <c r="F64" s="200"/>
      <c r="G64" s="200"/>
      <c r="H64" s="200">
        <f>'BGS PTY19 Cost Alloc'!H260</f>
        <v>1501.5166853808375</v>
      </c>
      <c r="I64" s="200"/>
      <c r="J64" s="200"/>
      <c r="K64" s="200"/>
      <c r="L64" s="200"/>
    </row>
    <row r="65" spans="1:12" x14ac:dyDescent="0.4">
      <c r="A65" s="6"/>
      <c r="B65" s="202" t="s">
        <v>165</v>
      </c>
      <c r="C65" s="200"/>
      <c r="D65" s="200"/>
      <c r="E65" s="200"/>
      <c r="F65" s="200">
        <f>'BGS PTY19 Cost Alloc'!F261</f>
        <v>120451.9982371629</v>
      </c>
      <c r="G65" s="200"/>
      <c r="H65" s="21"/>
      <c r="I65" s="200"/>
      <c r="J65" s="200"/>
      <c r="K65" s="200"/>
      <c r="L65" s="200"/>
    </row>
    <row r="66" spans="1:12" x14ac:dyDescent="0.4">
      <c r="A66" s="6"/>
      <c r="B66" s="202" t="s">
        <v>166</v>
      </c>
      <c r="C66" s="200"/>
      <c r="D66" s="200"/>
      <c r="E66" s="200"/>
      <c r="F66" s="200">
        <f>'BGS PTY19 Cost Alloc'!F262</f>
        <v>121883.82637512103</v>
      </c>
      <c r="G66" s="200"/>
      <c r="H66" s="21"/>
      <c r="I66" s="200"/>
      <c r="J66" s="200"/>
      <c r="K66" s="200"/>
      <c r="L66" s="200"/>
    </row>
    <row r="67" spans="1:12" x14ac:dyDescent="0.4">
      <c r="A67" s="6"/>
      <c r="C67" s="200"/>
      <c r="D67" s="200"/>
      <c r="E67" s="200"/>
      <c r="F67" s="200"/>
      <c r="G67" s="200"/>
      <c r="H67" s="21"/>
      <c r="I67" s="200"/>
      <c r="J67" s="200"/>
      <c r="K67" s="200"/>
      <c r="L67" s="200"/>
    </row>
    <row r="68" spans="1:12" x14ac:dyDescent="0.4">
      <c r="A68" s="6"/>
      <c r="B68" s="199" t="s">
        <v>115</v>
      </c>
      <c r="C68" s="200"/>
      <c r="D68" s="200"/>
      <c r="E68" s="200">
        <f>'BGS PTY19 Cost Alloc'!E264</f>
        <v>394.96030314610579</v>
      </c>
      <c r="F68" s="200">
        <f>'BGS PTY19 Cost Alloc'!F264</f>
        <v>404499.38028778468</v>
      </c>
      <c r="G68" s="200">
        <f>'BGS PTY19 Cost Alloc'!G264</f>
        <v>237564.5401922554</v>
      </c>
      <c r="I68" s="200">
        <f>'BGS PTY19 Cost Alloc'!I264</f>
        <v>3911.1344707316762</v>
      </c>
      <c r="J68" s="200"/>
      <c r="K68" s="200"/>
      <c r="L68" s="200"/>
    </row>
    <row r="69" spans="1:12" x14ac:dyDescent="0.4">
      <c r="A69" s="6"/>
      <c r="B69" s="201" t="s">
        <v>133</v>
      </c>
      <c r="C69" s="200"/>
      <c r="D69" s="200"/>
      <c r="E69" s="200">
        <f>'BGS PTY19 Cost Alloc'!E265</f>
        <v>4578.7003694138302</v>
      </c>
      <c r="F69" s="203"/>
      <c r="G69" s="203"/>
      <c r="H69" s="200">
        <f>'BGS PTY19 Cost Alloc'!H265</f>
        <v>4024.3855252460799</v>
      </c>
      <c r="I69" s="203"/>
      <c r="J69" s="200"/>
      <c r="K69" s="200"/>
      <c r="L69" s="200"/>
    </row>
    <row r="70" spans="1:12" x14ac:dyDescent="0.4">
      <c r="A70" s="6"/>
      <c r="B70" s="201" t="s">
        <v>134</v>
      </c>
      <c r="C70" s="203"/>
      <c r="D70" s="203"/>
      <c r="E70" s="200">
        <f>'BGS PTY19 Cost Alloc'!E266</f>
        <v>4097.4935365142101</v>
      </c>
      <c r="H70" s="200">
        <f>'BGS PTY19 Cost Alloc'!H266</f>
        <v>3474.6853988420553</v>
      </c>
      <c r="J70" s="200"/>
      <c r="K70" s="200"/>
      <c r="L70" s="200"/>
    </row>
    <row r="71" spans="1:12" x14ac:dyDescent="0.4">
      <c r="A71" s="6"/>
      <c r="B71" s="120"/>
    </row>
    <row r="72" spans="1:12" x14ac:dyDescent="0.4">
      <c r="A72" s="6"/>
      <c r="B72" s="118" t="s">
        <v>198</v>
      </c>
    </row>
    <row r="73" spans="1:12" x14ac:dyDescent="0.4">
      <c r="A73" s="6"/>
      <c r="B73" s="120" t="s">
        <v>91</v>
      </c>
      <c r="E73" s="203">
        <f>SUM(E62:E66)</f>
        <v>4126.6036667942408</v>
      </c>
      <c r="F73" s="203">
        <f>SUM(F62:F66)</f>
        <v>242335.82461228393</v>
      </c>
      <c r="G73" s="203">
        <f>SUM(G62:G66)</f>
        <v>122506.41569749346</v>
      </c>
      <c r="H73" s="203">
        <f>SUM(H62:H66)</f>
        <v>3615.818971830513</v>
      </c>
      <c r="I73" s="203">
        <f>SUM(I62:I66)</f>
        <v>1728.5254354672697</v>
      </c>
      <c r="J73" s="204">
        <f>SUM(E73:I73)</f>
        <v>374313.18838386942</v>
      </c>
      <c r="K73" s="204"/>
      <c r="L73" s="204"/>
    </row>
    <row r="74" spans="1:12" x14ac:dyDescent="0.4">
      <c r="A74" s="6"/>
      <c r="B74" s="120" t="s">
        <v>88</v>
      </c>
      <c r="E74" s="203">
        <f>SUM(E68:E70)</f>
        <v>9071.1542090741459</v>
      </c>
      <c r="F74" s="203">
        <f>SUM(F68:F70)</f>
        <v>404499.38028778468</v>
      </c>
      <c r="G74" s="203">
        <f>SUM(G68:G70)</f>
        <v>237564.5401922554</v>
      </c>
      <c r="H74" s="203">
        <f>SUM(H68:H70)</f>
        <v>7499.0709240881351</v>
      </c>
      <c r="I74" s="203">
        <f>SUM(I68:I70)</f>
        <v>3911.1344707316762</v>
      </c>
      <c r="J74" s="204">
        <f>SUM(E74:I74)</f>
        <v>662545.28008393408</v>
      </c>
      <c r="K74" s="204"/>
      <c r="L74" s="204"/>
    </row>
    <row r="75" spans="1:12" x14ac:dyDescent="0.4">
      <c r="A75" s="4"/>
      <c r="B75" s="120" t="s">
        <v>44</v>
      </c>
      <c r="E75" s="203">
        <f>SUM(E73:E74)</f>
        <v>13197.757875868387</v>
      </c>
      <c r="F75" s="203">
        <f>SUM(F73:F74)</f>
        <v>646835.20490006858</v>
      </c>
      <c r="G75" s="203">
        <f>SUM(G73:G74)</f>
        <v>360070.95588974888</v>
      </c>
      <c r="H75" s="203">
        <f>SUM(H73:H74)</f>
        <v>11114.889895918648</v>
      </c>
      <c r="I75" s="203">
        <f>SUM(I73:I74)</f>
        <v>5639.6599061989455</v>
      </c>
      <c r="J75" s="203">
        <f>SUM(E75:I75)</f>
        <v>1036858.4684678034</v>
      </c>
      <c r="K75" s="203"/>
      <c r="L75" s="203"/>
    </row>
    <row r="79" spans="1:12" x14ac:dyDescent="0.4">
      <c r="A79" s="4" t="s">
        <v>314</v>
      </c>
      <c r="B79" s="2" t="s">
        <v>315</v>
      </c>
      <c r="C79" s="195"/>
      <c r="E79" s="3"/>
    </row>
    <row r="80" spans="1:12" x14ac:dyDescent="0.4">
      <c r="A80" s="6"/>
      <c r="B80" s="118" t="s">
        <v>309</v>
      </c>
      <c r="C80" s="7"/>
      <c r="D80" s="7"/>
    </row>
    <row r="81" spans="1:30" x14ac:dyDescent="0.4">
      <c r="A81" s="6"/>
    </row>
    <row r="82" spans="1:30" x14ac:dyDescent="0.4">
      <c r="A82" s="6"/>
      <c r="B82" s="118" t="s">
        <v>197</v>
      </c>
      <c r="E82" s="9" t="s">
        <v>13</v>
      </c>
      <c r="F82" s="9" t="s">
        <v>14</v>
      </c>
      <c r="G82" s="9" t="s">
        <v>15</v>
      </c>
      <c r="H82" s="9" t="s">
        <v>46</v>
      </c>
      <c r="I82" s="9" t="s">
        <v>17</v>
      </c>
    </row>
    <row r="83" spans="1:30" x14ac:dyDescent="0.4">
      <c r="A83" s="6"/>
      <c r="B83" s="199" t="s">
        <v>111</v>
      </c>
      <c r="C83" s="200"/>
      <c r="D83" s="200"/>
      <c r="E83" s="200">
        <f>(E11*$F$7+E30*$F$26+E62*$F$58)/($F$7+$F$26+$F$58)</f>
        <v>171.76747077606652</v>
      </c>
      <c r="F83" s="200"/>
      <c r="G83" s="200">
        <f>(G11*$F$7+G30*$F$26+G62*$F$58)/($F$7+$F$26+$F$58)</f>
        <v>138929.26493794072</v>
      </c>
      <c r="H83" s="21"/>
      <c r="I83" s="200">
        <f>(I11*$F$7+I30*$F$26+I62*$F$58)/($F$7+$F$26+$F$58)</f>
        <v>2027.8415721638887</v>
      </c>
      <c r="J83" s="200"/>
      <c r="K83" s="200"/>
      <c r="L83" s="200"/>
    </row>
    <row r="84" spans="1:30" x14ac:dyDescent="0.4">
      <c r="A84" s="6"/>
      <c r="B84" s="201" t="s">
        <v>133</v>
      </c>
      <c r="C84" s="200"/>
      <c r="D84" s="200"/>
      <c r="E84" s="200">
        <f>(E12*$F$7+E31*$F$26+E63*$F$58)/($F$7+$F$26+$F$58)</f>
        <v>2624.3305073853385</v>
      </c>
      <c r="F84" s="200"/>
      <c r="G84" s="200"/>
      <c r="H84" s="200">
        <f>(H12*$F$7+H31*$F$26+H63*$F$58)/($F$7+$F$26+$F$58)</f>
        <v>2438.5809751214169</v>
      </c>
      <c r="I84" s="200"/>
      <c r="J84" s="200"/>
      <c r="K84" s="200"/>
      <c r="L84" s="200"/>
    </row>
    <row r="85" spans="1:30" x14ac:dyDescent="0.4">
      <c r="A85" s="6"/>
      <c r="B85" s="201" t="s">
        <v>134</v>
      </c>
      <c r="C85" s="200"/>
      <c r="D85" s="200"/>
      <c r="E85" s="200">
        <f>(E13*$F$7+E32*$F$26+E64*$F$58)/($F$7+$F$26+$F$58)</f>
        <v>1855.9942118818108</v>
      </c>
      <c r="F85" s="200"/>
      <c r="G85" s="200"/>
      <c r="H85" s="200">
        <f>(H13*$F$7+H32*$F$26+H64*$F$58)/($F$7+$F$26+$F$58)</f>
        <v>1744.7109538046998</v>
      </c>
      <c r="I85" s="200"/>
      <c r="J85" s="200"/>
      <c r="K85" s="200"/>
      <c r="L85" s="200"/>
      <c r="Q85" s="9"/>
      <c r="R85" s="9"/>
      <c r="S85" s="9"/>
      <c r="V85" s="9"/>
      <c r="W85" s="9"/>
      <c r="X85" s="9"/>
      <c r="AA85" s="9"/>
      <c r="AB85" s="9"/>
      <c r="AC85" s="9"/>
    </row>
    <row r="86" spans="1:30" x14ac:dyDescent="0.4">
      <c r="A86" s="6"/>
      <c r="B86" s="202" t="s">
        <v>165</v>
      </c>
      <c r="C86" s="200"/>
      <c r="D86" s="200"/>
      <c r="E86" s="200"/>
      <c r="F86" s="200">
        <f>(F14*$F$7+F33*$F$26+F65*$F$58)/($F$7+$F$26+$F$58)</f>
        <v>136141.88563216303</v>
      </c>
      <c r="G86" s="200"/>
      <c r="H86" s="21"/>
      <c r="I86" s="200"/>
      <c r="J86" s="200"/>
      <c r="K86" s="200"/>
      <c r="L86" s="200"/>
      <c r="V86" s="123"/>
      <c r="W86" s="123"/>
      <c r="X86" s="123"/>
      <c r="AA86" s="123"/>
      <c r="AB86" s="123"/>
      <c r="AC86" s="123"/>
    </row>
    <row r="87" spans="1:30" x14ac:dyDescent="0.4">
      <c r="A87" s="6"/>
      <c r="B87" s="202" t="s">
        <v>166</v>
      </c>
      <c r="C87" s="200"/>
      <c r="D87" s="200"/>
      <c r="E87" s="200"/>
      <c r="F87" s="200">
        <f>(F15*$F$7+F34*$F$26+F66*$F$58)/($F$7+$F$26+$F$58)</f>
        <v>135764.90116156626</v>
      </c>
      <c r="G87" s="200"/>
      <c r="H87" s="21"/>
      <c r="I87" s="200"/>
      <c r="J87" s="200"/>
      <c r="K87" s="200"/>
      <c r="L87" s="200"/>
      <c r="O87" s="2"/>
    </row>
    <row r="88" spans="1:30" x14ac:dyDescent="0.4">
      <c r="A88" s="6"/>
      <c r="C88" s="200"/>
      <c r="D88" s="200"/>
      <c r="E88" s="200"/>
      <c r="F88" s="200"/>
      <c r="G88" s="200"/>
      <c r="H88" s="21"/>
      <c r="I88" s="200"/>
      <c r="J88" s="200"/>
      <c r="K88" s="200"/>
      <c r="L88" s="200"/>
      <c r="O88" s="208"/>
      <c r="Q88" s="35"/>
      <c r="R88" s="35"/>
      <c r="S88" s="35"/>
      <c r="T88" s="35"/>
    </row>
    <row r="89" spans="1:30" x14ac:dyDescent="0.4">
      <c r="A89" s="6"/>
      <c r="B89" s="199" t="s">
        <v>115</v>
      </c>
      <c r="C89" s="200"/>
      <c r="D89" s="200"/>
      <c r="E89" s="200">
        <f>(E17*$F$7+E36*$F$26+E68*$F$58)/($F$7+$F$26+$F$58)</f>
        <v>409.64445089681965</v>
      </c>
      <c r="F89" s="200">
        <f>(F17*$F$7+F36*$F$26+F68*$F$58)/($F$7+$F$26+$F$58)</f>
        <v>414582.99447952997</v>
      </c>
      <c r="G89" s="200">
        <f>(G17*$F$7+G36*$F$26+G68*$F$58)/($F$7+$F$26+$F$58)</f>
        <v>246046.60375905471</v>
      </c>
      <c r="I89" s="200">
        <f>(I17*$F$7+I36*$F$26+I68*$F$58)/($F$7+$F$26+$F$58)</f>
        <v>4142.8196307402768</v>
      </c>
      <c r="J89" s="200"/>
      <c r="K89" s="200"/>
      <c r="L89" s="200"/>
      <c r="O89" s="208"/>
      <c r="Q89" s="35"/>
      <c r="R89" s="35"/>
      <c r="S89" s="35"/>
      <c r="T89" s="35"/>
      <c r="V89" s="2"/>
      <c r="AA89" s="2"/>
    </row>
    <row r="90" spans="1:30" x14ac:dyDescent="0.4">
      <c r="A90" s="6"/>
      <c r="B90" s="201" t="s">
        <v>133</v>
      </c>
      <c r="C90" s="200"/>
      <c r="D90" s="200"/>
      <c r="E90" s="200">
        <f>(E18*$F$7+E37*$F$26+E69*$F$58)/($F$7+$F$26+$F$58)</f>
        <v>4574.4402847745805</v>
      </c>
      <c r="F90" s="203"/>
      <c r="G90" s="203"/>
      <c r="H90" s="200">
        <f>(H18*$F$7+H37*$F$26+H69*$F$58)/($F$7+$F$26+$F$58)</f>
        <v>4192.3304519538906</v>
      </c>
      <c r="I90" s="203"/>
      <c r="J90" s="200"/>
      <c r="K90" s="200"/>
      <c r="L90" s="200"/>
      <c r="Q90" s="9"/>
      <c r="R90" s="9"/>
      <c r="S90" s="9"/>
      <c r="V90" s="9"/>
      <c r="W90" s="9"/>
      <c r="X90" s="9"/>
      <c r="AA90" s="9"/>
      <c r="AB90" s="9"/>
      <c r="AC90" s="9"/>
    </row>
    <row r="91" spans="1:30" x14ac:dyDescent="0.4">
      <c r="A91" s="6"/>
      <c r="B91" s="201" t="s">
        <v>134</v>
      </c>
      <c r="C91" s="203"/>
      <c r="D91" s="203"/>
      <c r="E91" s="200">
        <f>(E19*$F$7+E38*$F$26+E70*$F$58)/($F$7+$F$26+$F$58)</f>
        <v>4424.343524109926</v>
      </c>
      <c r="H91" s="200">
        <f>(H19*$F$7+H38*$F$26+H70*$F$58)/($F$7+$F$26+$F$58)</f>
        <v>3669.7278573152789</v>
      </c>
      <c r="J91" s="200"/>
      <c r="K91" s="200"/>
      <c r="L91" s="200"/>
      <c r="P91" s="202"/>
      <c r="Q91" s="209"/>
      <c r="R91" s="209"/>
      <c r="S91" s="209"/>
      <c r="V91" s="210"/>
      <c r="W91" s="210"/>
      <c r="X91" s="210"/>
      <c r="Y91" s="128"/>
      <c r="AA91" s="209"/>
      <c r="AB91" s="209"/>
      <c r="AC91" s="209"/>
      <c r="AD91" s="128"/>
    </row>
    <row r="92" spans="1:30" x14ac:dyDescent="0.4">
      <c r="A92" s="6"/>
      <c r="B92" s="120"/>
      <c r="T92" s="209"/>
      <c r="X92" s="127"/>
      <c r="Y92" s="127"/>
      <c r="AD92" s="127"/>
    </row>
    <row r="93" spans="1:30" x14ac:dyDescent="0.4">
      <c r="A93" s="6"/>
      <c r="B93" s="118" t="s">
        <v>198</v>
      </c>
      <c r="P93" s="208" t="s">
        <v>316</v>
      </c>
      <c r="R93" s="208"/>
      <c r="T93" s="35"/>
    </row>
    <row r="94" spans="1:30" x14ac:dyDescent="0.4">
      <c r="A94" s="6"/>
      <c r="B94" s="120" t="s">
        <v>91</v>
      </c>
      <c r="E94" s="203">
        <f>SUM(E83:E87)</f>
        <v>4652.0921900432159</v>
      </c>
      <c r="F94" s="203">
        <f>SUM(F83:F87)</f>
        <v>271906.78679372929</v>
      </c>
      <c r="G94" s="203">
        <f>SUM(G83:G87)</f>
        <v>138929.26493794072</v>
      </c>
      <c r="H94" s="203">
        <f>SUM(H83:H87)</f>
        <v>4183.2919289261172</v>
      </c>
      <c r="I94" s="203">
        <f>SUM(I83:I87)</f>
        <v>2027.8415721638887</v>
      </c>
      <c r="J94" s="204">
        <f>SUM(E94:I94)</f>
        <v>421699.27742280328</v>
      </c>
      <c r="K94" s="204"/>
      <c r="L94" s="204"/>
      <c r="P94" s="208"/>
      <c r="R94" s="208"/>
      <c r="T94" s="35"/>
      <c r="U94" s="208"/>
      <c r="Z94" s="208"/>
    </row>
    <row r="95" spans="1:30" x14ac:dyDescent="0.4">
      <c r="A95" s="6"/>
      <c r="B95" s="120" t="s">
        <v>88</v>
      </c>
      <c r="E95" s="203">
        <f>SUM(E89:E91)</f>
        <v>9408.4282597813253</v>
      </c>
      <c r="F95" s="203">
        <f>SUM(F89:F91)</f>
        <v>414582.99447952997</v>
      </c>
      <c r="G95" s="203">
        <f>SUM(G89:G91)</f>
        <v>246046.60375905471</v>
      </c>
      <c r="H95" s="203">
        <f>SUM(H89:H91)</f>
        <v>7862.0583092691695</v>
      </c>
      <c r="I95" s="203">
        <f>SUM(I89:I91)</f>
        <v>4142.8196307402768</v>
      </c>
      <c r="J95" s="204">
        <f>SUM(E95:I95)</f>
        <v>682042.9044383755</v>
      </c>
      <c r="K95" s="204"/>
      <c r="L95" s="204"/>
      <c r="Q95" s="25"/>
      <c r="R95" s="25"/>
      <c r="S95" s="25"/>
      <c r="V95" s="35"/>
      <c r="W95" s="35"/>
      <c r="X95" s="35"/>
      <c r="AA95" s="35"/>
      <c r="AB95" s="35"/>
      <c r="AC95" s="35"/>
    </row>
    <row r="96" spans="1:30" x14ac:dyDescent="0.4">
      <c r="A96" s="4"/>
      <c r="B96" s="120" t="s">
        <v>44</v>
      </c>
      <c r="E96" s="203">
        <f>SUM(E94:E95)</f>
        <v>14060.52044982454</v>
      </c>
      <c r="F96" s="203">
        <f>SUM(F94:F95)</f>
        <v>686489.78127325932</v>
      </c>
      <c r="G96" s="203">
        <f>SUM(G94:G95)</f>
        <v>384975.86869699543</v>
      </c>
      <c r="H96" s="203">
        <f>SUM(H94:H95)</f>
        <v>12045.350238195286</v>
      </c>
      <c r="I96" s="203">
        <f>SUM(I94:I95)</f>
        <v>6170.6612029041653</v>
      </c>
      <c r="J96" s="203">
        <f>SUM(E96:I96)</f>
        <v>1103742.1818611787</v>
      </c>
      <c r="K96" s="203"/>
      <c r="L96" s="203"/>
      <c r="O96" s="211"/>
      <c r="P96" s="211"/>
      <c r="Q96" s="25"/>
      <c r="R96" s="25"/>
      <c r="S96" s="25"/>
      <c r="T96" s="211"/>
      <c r="U96" s="211"/>
      <c r="V96" s="35"/>
      <c r="W96" s="35"/>
      <c r="X96" s="35"/>
      <c r="Y96" s="211"/>
      <c r="AA96" s="35"/>
      <c r="AB96" s="35"/>
      <c r="AC96" s="35"/>
    </row>
    <row r="97" spans="1:30" x14ac:dyDescent="0.4">
      <c r="B97" s="208"/>
      <c r="O97" s="211"/>
      <c r="P97" s="211"/>
      <c r="Q97" s="211"/>
      <c r="R97" s="211"/>
      <c r="S97" s="211"/>
      <c r="T97" s="211"/>
      <c r="U97" s="83"/>
      <c r="V97" s="211"/>
      <c r="W97" s="211"/>
      <c r="X97" s="211"/>
      <c r="Y97" s="211"/>
      <c r="Z97" s="5"/>
    </row>
    <row r="98" spans="1:30" ht="15.35" x14ac:dyDescent="0.5">
      <c r="B98" s="384" t="s">
        <v>0</v>
      </c>
      <c r="C98" s="384"/>
      <c r="D98" s="384"/>
      <c r="E98" s="384"/>
      <c r="F98" s="384"/>
      <c r="G98" s="384"/>
      <c r="H98" s="384"/>
      <c r="I98" s="384"/>
      <c r="J98" s="384"/>
      <c r="K98" s="384"/>
      <c r="L98" s="384"/>
      <c r="M98" s="384"/>
      <c r="N98" s="384"/>
      <c r="O98" s="211"/>
      <c r="P98" s="211"/>
      <c r="Q98" s="80"/>
      <c r="R98" s="80"/>
      <c r="S98" s="80"/>
      <c r="T98" s="211"/>
      <c r="U98" s="80"/>
      <c r="V98" s="80"/>
      <c r="W98" s="80"/>
      <c r="X98" s="80"/>
      <c r="Y98" s="211"/>
      <c r="Z98" s="9"/>
      <c r="AA98" s="9"/>
      <c r="AB98" s="9"/>
      <c r="AC98" s="9"/>
    </row>
    <row r="99" spans="1:30" ht="15.35" x14ac:dyDescent="0.5">
      <c r="B99" s="384" t="s">
        <v>1</v>
      </c>
      <c r="C99" s="384"/>
      <c r="D99" s="384"/>
      <c r="E99" s="384"/>
      <c r="F99" s="384"/>
      <c r="G99" s="384"/>
      <c r="H99" s="384"/>
      <c r="I99" s="384"/>
      <c r="J99" s="384"/>
      <c r="K99" s="384"/>
      <c r="L99" s="384"/>
      <c r="M99" s="384"/>
      <c r="N99" s="384"/>
      <c r="O99" s="211"/>
      <c r="P99" s="212"/>
      <c r="Q99" s="213"/>
      <c r="R99" s="213"/>
      <c r="S99" s="213"/>
      <c r="T99" s="214"/>
      <c r="U99" s="36"/>
      <c r="V99" s="214"/>
      <c r="W99" s="214"/>
      <c r="X99" s="214"/>
      <c r="Y99" s="214"/>
      <c r="Z99" s="36"/>
      <c r="AA99" s="126"/>
      <c r="AB99" s="126"/>
      <c r="AC99" s="126"/>
      <c r="AD99" s="126"/>
    </row>
    <row r="100" spans="1:30" x14ac:dyDescent="0.4">
      <c r="O100" s="211"/>
      <c r="P100" s="212"/>
      <c r="Q100" s="28"/>
      <c r="R100" s="28"/>
      <c r="S100" s="28"/>
      <c r="T100" s="211"/>
      <c r="U100" s="211"/>
      <c r="V100" s="37"/>
      <c r="W100" s="37"/>
      <c r="X100" s="37"/>
      <c r="Y100" s="211"/>
      <c r="AA100" s="37"/>
      <c r="AB100" s="37"/>
      <c r="AC100" s="37"/>
    </row>
    <row r="101" spans="1:30" x14ac:dyDescent="0.4">
      <c r="E101" s="3"/>
      <c r="O101" s="83"/>
      <c r="P101" s="78"/>
      <c r="Q101" s="38"/>
      <c r="R101" s="38"/>
      <c r="S101" s="38"/>
      <c r="T101" s="211"/>
      <c r="U101" s="211"/>
      <c r="V101" s="211"/>
      <c r="W101" s="211"/>
      <c r="X101" s="211"/>
      <c r="Y101" s="211"/>
    </row>
    <row r="102" spans="1:30" x14ac:dyDescent="0.4">
      <c r="A102" s="4" t="s">
        <v>317</v>
      </c>
      <c r="B102" s="2" t="s">
        <v>193</v>
      </c>
      <c r="C102" s="195"/>
      <c r="E102" s="17"/>
      <c r="F102" s="12"/>
      <c r="O102" s="211"/>
      <c r="P102" s="212"/>
      <c r="Q102" s="25"/>
      <c r="R102" s="25"/>
      <c r="S102" s="25"/>
      <c r="T102" s="211"/>
      <c r="U102" s="211"/>
      <c r="V102" s="37"/>
      <c r="W102" s="37"/>
      <c r="X102" s="37"/>
      <c r="Y102" s="211"/>
      <c r="AA102" s="37"/>
      <c r="AB102" s="37"/>
      <c r="AC102" s="37"/>
    </row>
    <row r="103" spans="1:30" x14ac:dyDescent="0.4">
      <c r="B103" s="3" t="s">
        <v>417</v>
      </c>
      <c r="O103" s="211"/>
      <c r="P103" s="215"/>
      <c r="Q103" s="216"/>
      <c r="R103" s="216"/>
      <c r="S103" s="216"/>
      <c r="T103" s="217"/>
      <c r="U103" s="211"/>
      <c r="V103" s="211"/>
      <c r="W103" s="211"/>
      <c r="X103" s="211"/>
      <c r="Y103" s="211"/>
      <c r="AA103" s="126"/>
      <c r="AB103" s="126"/>
      <c r="AC103" s="126"/>
    </row>
    <row r="104" spans="1:30" x14ac:dyDescent="0.4">
      <c r="E104" s="9" t="s">
        <v>13</v>
      </c>
      <c r="F104" s="9" t="s">
        <v>14</v>
      </c>
      <c r="G104" s="9" t="s">
        <v>15</v>
      </c>
      <c r="H104" s="9" t="s">
        <v>46</v>
      </c>
      <c r="I104" s="9" t="s">
        <v>17</v>
      </c>
      <c r="O104" s="211"/>
      <c r="P104" s="215"/>
      <c r="Q104" s="218"/>
      <c r="R104" s="218"/>
      <c r="S104" s="218"/>
      <c r="T104" s="217"/>
      <c r="U104" s="211"/>
      <c r="V104" s="219"/>
      <c r="W104" s="219"/>
      <c r="X104" s="219"/>
      <c r="Y104" s="211"/>
      <c r="AA104" s="120"/>
      <c r="AB104" s="120"/>
      <c r="AC104" s="120"/>
    </row>
    <row r="105" spans="1:30" x14ac:dyDescent="0.4">
      <c r="O105" s="211"/>
      <c r="P105" s="215"/>
      <c r="Q105" s="220"/>
      <c r="R105" s="220"/>
      <c r="S105" s="220"/>
      <c r="T105" s="217"/>
      <c r="U105" s="211"/>
      <c r="V105" s="221"/>
      <c r="W105" s="221"/>
      <c r="X105" s="221"/>
      <c r="Y105" s="211"/>
      <c r="AA105" s="222"/>
      <c r="AB105" s="222"/>
      <c r="AC105" s="222"/>
    </row>
    <row r="106" spans="1:30" x14ac:dyDescent="0.4">
      <c r="B106" s="199" t="s">
        <v>111</v>
      </c>
      <c r="E106" s="209">
        <f>SUM('BGS PTY19 Cost Alloc'!W65:W68)</f>
        <v>2446237.3333329996</v>
      </c>
      <c r="G106" s="209">
        <f>SUM('BGS PTY19 Cost Alloc'!G65:G68)*1000</f>
        <v>1976725000</v>
      </c>
      <c r="I106" s="209">
        <f>SUM('BGS PTY19 Cost Alloc'!I65:I68)*1000</f>
        <v>38368000</v>
      </c>
      <c r="O106" s="211"/>
      <c r="P106" s="215"/>
      <c r="Q106" s="223"/>
      <c r="R106" s="223"/>
      <c r="S106" s="223"/>
      <c r="T106" s="217"/>
      <c r="U106" s="212"/>
      <c r="V106" s="224"/>
      <c r="W106" s="224"/>
      <c r="X106" s="224"/>
      <c r="Y106" s="211"/>
      <c r="AA106" s="225"/>
      <c r="AB106" s="225"/>
      <c r="AC106" s="225"/>
    </row>
    <row r="107" spans="1:30" x14ac:dyDescent="0.4">
      <c r="B107" s="201" t="s">
        <v>133</v>
      </c>
      <c r="E107" s="209">
        <f>ROUND(SUMPRODUCT('BGS PTY19 Cost Alloc'!E65:E68,'BGS PTY19 Cost Alloc'!E38:E41)*1000-AVERAGE('BGS PTY19 Cost Alloc'!E38:E41)*E106,0)</f>
        <v>26178933</v>
      </c>
      <c r="H107" s="209">
        <f>SUMPRODUCT('BGS PTY19 Cost Alloc'!H65:H68,'BGS PTY19 Cost Alloc'!H38:H41)*1000</f>
        <v>30387363.899999999</v>
      </c>
      <c r="O107" s="226"/>
      <c r="P107" s="215"/>
      <c r="Q107" s="227"/>
      <c r="R107" s="227"/>
      <c r="S107" s="227"/>
      <c r="T107" s="217"/>
      <c r="U107" s="212"/>
      <c r="V107" s="224"/>
      <c r="W107" s="224"/>
      <c r="X107" s="224"/>
      <c r="Y107" s="211"/>
      <c r="AA107" s="225"/>
      <c r="AB107" s="225"/>
      <c r="AC107" s="225"/>
    </row>
    <row r="108" spans="1:30" x14ac:dyDescent="0.4">
      <c r="B108" s="201" t="s">
        <v>134</v>
      </c>
      <c r="E108" s="209">
        <f>ROUND(SUM('BGS PTY19 Cost Alloc'!E65:E68)*1000,0)-E106-E107</f>
        <v>37626829.666666999</v>
      </c>
      <c r="H108" s="209">
        <f>SUM('BGS PTY19 Cost Alloc'!H65:H68)*1000-H107</f>
        <v>35357636.100000001</v>
      </c>
      <c r="O108" s="211"/>
      <c r="P108" s="215"/>
      <c r="Q108" s="39"/>
      <c r="R108" s="39"/>
      <c r="S108" s="39"/>
      <c r="T108" s="228"/>
      <c r="U108" s="211"/>
      <c r="V108" s="39"/>
      <c r="W108" s="39"/>
      <c r="X108" s="39"/>
      <c r="Y108" s="211"/>
      <c r="AA108" s="39"/>
      <c r="AB108" s="39"/>
      <c r="AC108" s="39"/>
    </row>
    <row r="109" spans="1:30" x14ac:dyDescent="0.4">
      <c r="B109" s="202" t="s">
        <v>165</v>
      </c>
      <c r="F109" s="209">
        <f>ROUND('BGS PTY19 Cost Alloc'!R65,0)*1000</f>
        <v>2001184000</v>
      </c>
      <c r="O109" s="211"/>
      <c r="P109" s="215"/>
      <c r="Q109" s="229"/>
      <c r="R109" s="229"/>
      <c r="S109" s="229"/>
      <c r="T109" s="217"/>
      <c r="U109" s="211"/>
      <c r="V109" s="230"/>
      <c r="W109" s="230"/>
      <c r="X109" s="230"/>
      <c r="Y109" s="211"/>
      <c r="AA109" s="231"/>
      <c r="AB109" s="231"/>
      <c r="AC109" s="231"/>
    </row>
    <row r="110" spans="1:30" x14ac:dyDescent="0.4">
      <c r="B110" s="202" t="s">
        <v>166</v>
      </c>
      <c r="F110" s="209">
        <f>ROUND('BGS PTY19 Cost Alloc'!R66,0)*1000</f>
        <v>1770477000</v>
      </c>
      <c r="O110" s="83"/>
      <c r="P110" s="78"/>
      <c r="Q110" s="38"/>
      <c r="R110" s="38"/>
      <c r="S110" s="38"/>
      <c r="T110" s="211"/>
      <c r="U110" s="211"/>
      <c r="V110" s="211"/>
      <c r="W110" s="211"/>
      <c r="X110" s="211"/>
      <c r="Y110" s="211"/>
    </row>
    <row r="111" spans="1:30" x14ac:dyDescent="0.4">
      <c r="O111" s="83"/>
      <c r="P111" s="78"/>
      <c r="Q111" s="38"/>
      <c r="R111" s="38"/>
      <c r="S111" s="38"/>
      <c r="T111" s="211"/>
      <c r="U111" s="211"/>
      <c r="V111" s="211"/>
      <c r="W111" s="211"/>
      <c r="X111" s="211"/>
      <c r="Y111" s="211"/>
    </row>
    <row r="112" spans="1:30" x14ac:dyDescent="0.4">
      <c r="B112" s="199" t="s">
        <v>115</v>
      </c>
      <c r="E112" s="209">
        <f>'BGS PTY19 Cost Alloc'!W72-E106</f>
        <v>5877031.3333332986</v>
      </c>
      <c r="F112" s="209">
        <f>ROUND('BGS PTY19 Cost Alloc'!F72,0)*1000-SUM(F109:F110)</f>
        <v>5301746000</v>
      </c>
      <c r="G112" s="209">
        <f>'BGS PTY19 Cost Alloc'!G72*1000-G106</f>
        <v>3476569000</v>
      </c>
      <c r="I112" s="209">
        <f>'BGS PTY19 Cost Alloc'!I72*1000-'Composite Cost Allocation'!I106</f>
        <v>76732000</v>
      </c>
      <c r="O112" s="211"/>
      <c r="P112" s="212"/>
      <c r="Q112" s="25"/>
      <c r="R112" s="25"/>
      <c r="S112" s="25"/>
      <c r="T112" s="232"/>
      <c r="U112" s="232"/>
      <c r="V112" s="35"/>
      <c r="W112" s="35"/>
      <c r="X112" s="35"/>
      <c r="Y112" s="211"/>
      <c r="AA112" s="35"/>
      <c r="AB112" s="35"/>
      <c r="AC112" s="35"/>
    </row>
    <row r="113" spans="1:32" x14ac:dyDescent="0.4">
      <c r="B113" s="201" t="s">
        <v>133</v>
      </c>
      <c r="E113" s="209">
        <f>SUMPRODUCT('BGS PTY19 Cost Alloc'!E60:E71,'BGS PTY19 Cost Alloc'!E33:E44)*1000-E107-SUMPRODUCT('BGS PTY19 Cost Alloc'!W60:W71,'BGS PTY19 Cost Alloc'!E33:E44)</f>
        <v>45545243.856866822</v>
      </c>
      <c r="H113" s="209">
        <f>SUMPRODUCT('BGS PTY19 Cost Alloc'!H60:H71,'BGS PTY19 Cost Alloc'!H33:H44)*1000-H107</f>
        <v>55261285.100000001</v>
      </c>
      <c r="P113" s="202"/>
      <c r="Q113" s="25"/>
      <c r="R113" s="25"/>
      <c r="S113" s="25"/>
      <c r="T113" s="233"/>
      <c r="U113" s="233"/>
      <c r="V113" s="35"/>
      <c r="W113" s="35"/>
      <c r="X113" s="35"/>
      <c r="Z113" s="222"/>
      <c r="AA113" s="35"/>
      <c r="AB113" s="35"/>
      <c r="AC113" s="35"/>
    </row>
    <row r="114" spans="1:32" x14ac:dyDescent="0.4">
      <c r="B114" s="201" t="s">
        <v>134</v>
      </c>
      <c r="E114" s="209">
        <f>'BGS PTY19 Cost Alloc'!E72*1000-E106-E107-E108-E112-E113</f>
        <v>83560724.80979988</v>
      </c>
      <c r="H114" s="209">
        <f>'BGS PTY19 Cost Alloc'!H72*1000-H107-H108-H113</f>
        <v>70612714.900000006</v>
      </c>
      <c r="Z114" s="222"/>
      <c r="AA114" s="222"/>
      <c r="AB114" s="222"/>
      <c r="AC114" s="222"/>
      <c r="AD114" s="222"/>
      <c r="AE114" s="222"/>
    </row>
    <row r="115" spans="1:32" x14ac:dyDescent="0.4">
      <c r="J115" s="9" t="s">
        <v>44</v>
      </c>
      <c r="K115" s="9"/>
      <c r="L115" s="9"/>
      <c r="Z115" s="222"/>
      <c r="AA115" s="222"/>
      <c r="AB115" s="222"/>
      <c r="AC115" s="222"/>
      <c r="AD115" s="222"/>
      <c r="AE115" s="222"/>
    </row>
    <row r="116" spans="1:32" x14ac:dyDescent="0.4">
      <c r="B116" s="202" t="s">
        <v>158</v>
      </c>
      <c r="E116" s="209">
        <f>SUM(E106:E110)</f>
        <v>66252000</v>
      </c>
      <c r="F116" s="209">
        <f>SUM(F106:F110)</f>
        <v>3771661000</v>
      </c>
      <c r="G116" s="209">
        <f>SUM(G106:G110)</f>
        <v>1976725000</v>
      </c>
      <c r="H116" s="209">
        <f>SUM(H106:H110)</f>
        <v>65745000</v>
      </c>
      <c r="I116" s="209">
        <f>SUM(I106:I110)</f>
        <v>38368000</v>
      </c>
      <c r="J116" s="209">
        <f>SUM(E116:I116)</f>
        <v>5918751000</v>
      </c>
      <c r="K116" s="209"/>
      <c r="L116" s="209"/>
      <c r="Q116" s="234"/>
      <c r="R116" s="2"/>
      <c r="W116" s="40"/>
      <c r="Z116" s="222"/>
      <c r="AA116" s="222"/>
      <c r="AB116" s="222"/>
      <c r="AC116" s="222"/>
      <c r="AD116" s="222"/>
      <c r="AE116" s="222"/>
    </row>
    <row r="117" spans="1:32" x14ac:dyDescent="0.4">
      <c r="B117" s="202" t="s">
        <v>159</v>
      </c>
      <c r="E117" s="18">
        <f>SUM(E112:E114)</f>
        <v>134983000</v>
      </c>
      <c r="F117" s="18">
        <f>SUM(F112:F114)</f>
        <v>5301746000</v>
      </c>
      <c r="G117" s="19">
        <f>SUM(G112:G114)</f>
        <v>3476569000</v>
      </c>
      <c r="H117" s="19">
        <f>SUM(H112:H114)</f>
        <v>125874000</v>
      </c>
      <c r="I117" s="19">
        <f>SUM(I112:I114)</f>
        <v>76732000</v>
      </c>
      <c r="J117" s="18">
        <f>SUM(E117:I117)</f>
        <v>9115904000</v>
      </c>
      <c r="K117" s="18"/>
      <c r="L117" s="18"/>
      <c r="W117" s="40"/>
      <c r="AA117" s="222"/>
      <c r="AB117" s="222"/>
      <c r="AC117" s="222"/>
      <c r="AD117" s="222"/>
      <c r="AE117" s="222"/>
    </row>
    <row r="118" spans="1:32" ht="13" thickBot="1" x14ac:dyDescent="0.45">
      <c r="B118" s="202" t="s">
        <v>160</v>
      </c>
      <c r="E118" s="209">
        <f>SUM(E116:E117)</f>
        <v>201235000</v>
      </c>
      <c r="F118" s="209">
        <f>SUM(F116:F117)</f>
        <v>9073407000</v>
      </c>
      <c r="G118" s="209">
        <f>SUM(G116:G117)</f>
        <v>5453294000</v>
      </c>
      <c r="H118" s="209">
        <f>SUM(H116:H117)</f>
        <v>191619000</v>
      </c>
      <c r="I118" s="209">
        <f>SUM(I116:I117)</f>
        <v>115100000</v>
      </c>
      <c r="J118" s="209">
        <f>SUM(E118:I118)</f>
        <v>15034655000</v>
      </c>
      <c r="K118" s="209"/>
      <c r="L118" s="209"/>
      <c r="O118" s="41"/>
      <c r="P118" s="42" t="s">
        <v>318</v>
      </c>
      <c r="Q118" s="41">
        <v>0.99352776313615732</v>
      </c>
      <c r="R118" s="41">
        <v>0.99308779268322733</v>
      </c>
      <c r="S118" s="41">
        <v>0.99360556508885556</v>
      </c>
      <c r="T118" s="5"/>
      <c r="U118" s="2"/>
      <c r="W118" s="35"/>
      <c r="AF118" s="126"/>
    </row>
    <row r="119" spans="1:32" ht="13" thickBot="1" x14ac:dyDescent="0.45">
      <c r="P119" s="17"/>
      <c r="Q119" s="43"/>
      <c r="R119" s="126"/>
      <c r="AF119" s="126"/>
    </row>
    <row r="120" spans="1:32" x14ac:dyDescent="0.4">
      <c r="A120" s="4" t="s">
        <v>319</v>
      </c>
      <c r="B120" s="2" t="s">
        <v>185</v>
      </c>
      <c r="P120" s="4"/>
      <c r="Q120" s="2"/>
    </row>
    <row r="121" spans="1:32" x14ac:dyDescent="0.4">
      <c r="A121" s="6"/>
      <c r="B121" s="2"/>
      <c r="P121" s="6"/>
      <c r="Q121" s="2"/>
    </row>
    <row r="122" spans="1:32" x14ac:dyDescent="0.4">
      <c r="A122" s="6"/>
      <c r="B122" s="2" t="s">
        <v>186</v>
      </c>
      <c r="P122" s="4"/>
      <c r="Q122" s="2"/>
    </row>
    <row r="123" spans="1:32" x14ac:dyDescent="0.4">
      <c r="A123" s="6"/>
      <c r="B123" s="3" t="s">
        <v>320</v>
      </c>
      <c r="P123" s="6"/>
      <c r="Q123" s="3"/>
    </row>
    <row r="124" spans="1:32" x14ac:dyDescent="0.4">
      <c r="A124" s="6"/>
      <c r="B124" s="3" t="s">
        <v>81</v>
      </c>
      <c r="P124" s="6"/>
      <c r="Q124" s="3"/>
    </row>
    <row r="125" spans="1:32" s="211" customFormat="1" x14ac:dyDescent="0.4">
      <c r="A125" s="76"/>
      <c r="C125" s="80"/>
      <c r="D125" s="80"/>
      <c r="E125" s="80" t="str">
        <f>E104</f>
        <v>RT{1}</v>
      </c>
      <c r="F125" s="80" t="str">
        <f>F104</f>
        <v>RS{2}</v>
      </c>
      <c r="G125" s="80" t="str">
        <f>G104</f>
        <v>GS{3}</v>
      </c>
      <c r="H125" s="80" t="str">
        <f>H104</f>
        <v>GST {4}</v>
      </c>
      <c r="I125" s="80" t="str">
        <f>I104</f>
        <v>OL/SL</v>
      </c>
      <c r="J125" s="80"/>
      <c r="K125" s="80"/>
      <c r="L125" s="80"/>
      <c r="P125" s="76"/>
      <c r="R125" s="80"/>
      <c r="S125" s="80"/>
      <c r="T125" s="80"/>
      <c r="U125" s="80"/>
      <c r="V125" s="80"/>
      <c r="W125" s="80"/>
      <c r="X125" s="80"/>
      <c r="Y125" s="80"/>
      <c r="Z125" s="80"/>
    </row>
    <row r="126" spans="1:32" s="211" customFormat="1" x14ac:dyDescent="0.4">
      <c r="A126" s="76"/>
      <c r="C126" s="80"/>
      <c r="D126" s="80"/>
      <c r="E126" s="44"/>
      <c r="F126" s="80"/>
      <c r="G126" s="80"/>
      <c r="P126" s="76"/>
      <c r="R126" s="80"/>
      <c r="S126" s="80"/>
      <c r="T126" s="44"/>
      <c r="U126" s="80"/>
      <c r="V126" s="80"/>
      <c r="AA126" s="80"/>
    </row>
    <row r="127" spans="1:32" s="211" customFormat="1" x14ac:dyDescent="0.4">
      <c r="A127" s="76"/>
      <c r="B127" s="235" t="s">
        <v>111</v>
      </c>
      <c r="C127" s="44"/>
      <c r="D127" s="44"/>
      <c r="E127" s="44">
        <f>E83*1000/(E106/1000)</f>
        <v>70.217009787040254</v>
      </c>
      <c r="F127" s="44"/>
      <c r="G127" s="44">
        <f>G83*1000/(G106/1000)*S118</f>
        <v>69.83312843012655</v>
      </c>
      <c r="H127" s="44"/>
      <c r="I127" s="44">
        <f>I83*1000/(I106/1000)</f>
        <v>52.852417956731877</v>
      </c>
      <c r="J127" s="44"/>
      <c r="K127" s="44"/>
      <c r="L127" s="44"/>
      <c r="M127" s="44"/>
      <c r="P127" s="76"/>
      <c r="Q127" s="235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32" s="211" customFormat="1" x14ac:dyDescent="0.4">
      <c r="A128" s="76"/>
      <c r="B128" s="236" t="s">
        <v>133</v>
      </c>
      <c r="C128" s="44"/>
      <c r="D128" s="44"/>
      <c r="E128" s="44">
        <f>E84*1000/(E107/1000)*Q118</f>
        <v>99.597077494813561</v>
      </c>
      <c r="F128" s="44"/>
      <c r="G128" s="44"/>
      <c r="H128" s="44">
        <f>H84*1000/(H107/1000)</f>
        <v>80.249836186725531</v>
      </c>
      <c r="I128" s="44"/>
      <c r="J128" s="44"/>
      <c r="K128" s="44"/>
      <c r="L128" s="44"/>
      <c r="P128" s="76"/>
      <c r="Q128" s="236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</row>
    <row r="129" spans="1:28" s="211" customFormat="1" x14ac:dyDescent="0.4">
      <c r="A129" s="76"/>
      <c r="B129" s="236" t="s">
        <v>134</v>
      </c>
      <c r="C129" s="44"/>
      <c r="D129" s="44"/>
      <c r="E129" s="44">
        <f>E85*1000/(E108/1000)*Q118</f>
        <v>49.007099297503245</v>
      </c>
      <c r="F129" s="44"/>
      <c r="G129" s="44"/>
      <c r="H129" s="44">
        <f>H85*1000/(H108/1000)</f>
        <v>49.34467193650142</v>
      </c>
      <c r="I129" s="44"/>
      <c r="J129" s="44"/>
      <c r="K129" s="44"/>
      <c r="L129" s="44"/>
      <c r="P129" s="76"/>
      <c r="Q129" s="236"/>
      <c r="R129" s="44"/>
      <c r="S129" s="44"/>
      <c r="T129" s="44"/>
      <c r="U129" s="44"/>
      <c r="V129" s="44"/>
      <c r="W129" s="44"/>
      <c r="X129" s="44"/>
      <c r="Y129" s="44"/>
      <c r="Z129" s="44"/>
      <c r="AA129" s="44"/>
    </row>
    <row r="130" spans="1:28" s="211" customFormat="1" x14ac:dyDescent="0.4">
      <c r="A130" s="76"/>
      <c r="B130" s="212" t="s">
        <v>165</v>
      </c>
      <c r="C130" s="44"/>
      <c r="D130" s="44"/>
      <c r="E130" s="44"/>
      <c r="F130" s="44">
        <f>F86*1000/(F109/1000)*R118</f>
        <v>67.560426574556445</v>
      </c>
      <c r="G130" s="44"/>
      <c r="H130" s="44"/>
      <c r="I130" s="44"/>
      <c r="J130" s="44"/>
      <c r="K130" s="44"/>
      <c r="L130" s="44"/>
      <c r="P130" s="76"/>
      <c r="Q130" s="212"/>
      <c r="R130" s="44"/>
      <c r="S130" s="44"/>
      <c r="T130" s="44"/>
      <c r="U130" s="44"/>
      <c r="V130" s="44"/>
      <c r="W130" s="44"/>
      <c r="X130" s="44"/>
      <c r="Y130" s="44"/>
      <c r="Z130" s="44"/>
      <c r="AA130" s="44"/>
    </row>
    <row r="131" spans="1:28" s="211" customFormat="1" x14ac:dyDescent="0.4">
      <c r="A131" s="76"/>
      <c r="B131" s="212" t="s">
        <v>166</v>
      </c>
      <c r="C131" s="44"/>
      <c r="D131" s="44"/>
      <c r="E131" s="44"/>
      <c r="F131" s="44">
        <f>F87*1000/(F110/1000)*R118</f>
        <v>76.15262215685172</v>
      </c>
      <c r="G131" s="44"/>
      <c r="H131" s="44"/>
      <c r="I131" s="44"/>
      <c r="J131" s="44"/>
      <c r="K131" s="44"/>
      <c r="L131" s="44"/>
      <c r="P131" s="76"/>
      <c r="Q131" s="212"/>
      <c r="R131" s="44"/>
      <c r="S131" s="44"/>
      <c r="T131" s="44"/>
      <c r="U131" s="44"/>
      <c r="V131" s="237"/>
      <c r="W131" s="44"/>
      <c r="X131" s="44"/>
      <c r="Y131" s="44"/>
      <c r="Z131" s="44"/>
      <c r="AA131" s="44"/>
    </row>
    <row r="132" spans="1:28" s="211" customFormat="1" x14ac:dyDescent="0.4">
      <c r="A132" s="76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P132" s="76"/>
      <c r="R132" s="44"/>
      <c r="S132" s="44"/>
      <c r="T132" s="44"/>
      <c r="U132" s="44"/>
      <c r="V132" s="44"/>
      <c r="W132" s="44"/>
      <c r="X132" s="44"/>
      <c r="Y132" s="44"/>
      <c r="Z132" s="44"/>
      <c r="AA132" s="44"/>
    </row>
    <row r="133" spans="1:28" s="211" customFormat="1" x14ac:dyDescent="0.4">
      <c r="A133" s="76"/>
      <c r="B133" s="235" t="s">
        <v>115</v>
      </c>
      <c r="C133" s="44"/>
      <c r="D133" s="44"/>
      <c r="E133" s="44">
        <f>E89*1000/(E112/1000)</f>
        <v>69.702614749287036</v>
      </c>
      <c r="F133" s="44">
        <f>F89*1000/(F112/1000)*R118</f>
        <v>77.6569286555182</v>
      </c>
      <c r="G133" s="44">
        <f>G89*1000/(G112/1000)*S118</f>
        <v>70.320271154177959</v>
      </c>
      <c r="H133" s="44"/>
      <c r="I133" s="44">
        <f>I89*1000/(I112/1000)</f>
        <v>53.990768268001318</v>
      </c>
      <c r="J133" s="44"/>
      <c r="K133" s="44"/>
      <c r="L133" s="44"/>
      <c r="M133" s="44"/>
      <c r="P133" s="76"/>
      <c r="Q133" s="235"/>
      <c r="R133" s="44"/>
      <c r="S133" s="44"/>
      <c r="T133" s="44"/>
      <c r="U133" s="44"/>
      <c r="V133" s="44"/>
      <c r="W133" s="44"/>
      <c r="X133" s="44"/>
      <c r="Y133" s="44"/>
      <c r="Z133" s="44"/>
      <c r="AA133" s="44"/>
    </row>
    <row r="134" spans="1:28" s="211" customFormat="1" x14ac:dyDescent="0.4">
      <c r="A134" s="76"/>
      <c r="B134" s="236" t="s">
        <v>133</v>
      </c>
      <c r="C134" s="44"/>
      <c r="D134" s="44"/>
      <c r="E134" s="44">
        <f>E90*1000/(E113/1000)*Q118</f>
        <v>99.787223403938256</v>
      </c>
      <c r="F134" s="44"/>
      <c r="G134" s="44"/>
      <c r="H134" s="44">
        <f>H90*1000/(H113/1000)</f>
        <v>75.863788624667549</v>
      </c>
      <c r="I134" s="44"/>
      <c r="J134" s="44"/>
      <c r="K134" s="44"/>
      <c r="L134" s="44"/>
      <c r="P134" s="76"/>
      <c r="Q134" s="236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</row>
    <row r="135" spans="1:28" s="211" customFormat="1" x14ac:dyDescent="0.4">
      <c r="A135" s="76"/>
      <c r="B135" s="236" t="s">
        <v>134</v>
      </c>
      <c r="C135" s="44"/>
      <c r="D135" s="44"/>
      <c r="E135" s="44">
        <f>E91*1000/(E114/1000)*Q118</f>
        <v>52.604954479037211</v>
      </c>
      <c r="F135" s="44"/>
      <c r="G135" s="44"/>
      <c r="H135" s="44">
        <f>H91*1000/(H114/1000)</f>
        <v>51.969788479486418</v>
      </c>
      <c r="I135" s="44"/>
      <c r="J135" s="44"/>
      <c r="K135" s="44"/>
      <c r="L135" s="44"/>
      <c r="P135" s="76"/>
      <c r="Q135" s="236"/>
      <c r="R135" s="44"/>
      <c r="S135" s="44"/>
      <c r="T135" s="44"/>
      <c r="U135" s="44"/>
      <c r="V135" s="44"/>
      <c r="W135" s="44"/>
      <c r="X135" s="44"/>
      <c r="Y135" s="44"/>
      <c r="Z135" s="44"/>
      <c r="AA135" s="44"/>
    </row>
    <row r="136" spans="1:28" s="211" customFormat="1" x14ac:dyDescent="0.4">
      <c r="A136" s="76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P136" s="76"/>
      <c r="R136" s="44"/>
      <c r="S136" s="44"/>
      <c r="T136" s="44"/>
      <c r="U136" s="44"/>
      <c r="V136" s="44"/>
      <c r="W136" s="44"/>
      <c r="X136" s="44"/>
      <c r="Y136" s="44"/>
      <c r="Z136" s="44"/>
      <c r="AA136" s="44"/>
    </row>
    <row r="137" spans="1:28" s="211" customFormat="1" x14ac:dyDescent="0.4">
      <c r="A137" s="76"/>
      <c r="B137" s="211" t="s">
        <v>188</v>
      </c>
      <c r="C137" s="44"/>
      <c r="D137" s="44"/>
      <c r="E137" s="44">
        <f>E96*1000/(E118/1000)*Q118</f>
        <v>69.418925291546557</v>
      </c>
      <c r="F137" s="44">
        <f>F96*1000/(F118/1000)*R118</f>
        <v>75.136563540492844</v>
      </c>
      <c r="G137" s="44">
        <f>G96*1000/(G118/1000)*S118</f>
        <v>70.143690320428576</v>
      </c>
      <c r="H137" s="44">
        <f>H96*1000/(H118/1000)</f>
        <v>62.860938832763374</v>
      </c>
      <c r="I137" s="44">
        <f>I96*1000/(I118/1000)</f>
        <v>53.611304977447141</v>
      </c>
      <c r="J137" s="44"/>
      <c r="K137" s="44"/>
      <c r="L137" s="44"/>
      <c r="M137" s="44"/>
      <c r="P137" s="76"/>
      <c r="R137" s="44"/>
      <c r="S137" s="44"/>
      <c r="T137" s="44"/>
      <c r="U137" s="44"/>
      <c r="V137" s="44"/>
      <c r="W137" s="44"/>
      <c r="X137" s="44"/>
      <c r="Y137" s="44"/>
      <c r="Z137" s="44"/>
      <c r="AA137" s="44"/>
    </row>
    <row r="138" spans="1:28" s="211" customFormat="1" x14ac:dyDescent="0.4">
      <c r="A138" s="76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P138" s="76"/>
      <c r="R138" s="44"/>
      <c r="S138" s="44"/>
      <c r="T138" s="238"/>
      <c r="U138" s="238"/>
      <c r="V138" s="238"/>
      <c r="W138" s="44"/>
      <c r="X138" s="44"/>
      <c r="Y138" s="44"/>
      <c r="Z138" s="44"/>
      <c r="AA138" s="44"/>
      <c r="AB138" s="44"/>
    </row>
    <row r="139" spans="1:28" s="211" customFormat="1" x14ac:dyDescent="0.4">
      <c r="A139" s="76"/>
      <c r="B139" s="78" t="s">
        <v>189</v>
      </c>
      <c r="P139" s="76"/>
      <c r="Q139" s="78"/>
      <c r="AA139" s="44"/>
      <c r="AB139" s="44"/>
    </row>
    <row r="140" spans="1:28" x14ac:dyDescent="0.4">
      <c r="A140" s="6"/>
      <c r="B140" s="3" t="s">
        <v>285</v>
      </c>
      <c r="P140" s="6"/>
      <c r="Q140" s="3"/>
    </row>
    <row r="141" spans="1:28" x14ac:dyDescent="0.4">
      <c r="A141" s="6"/>
      <c r="B141" s="3" t="s">
        <v>81</v>
      </c>
    </row>
    <row r="142" spans="1:28" x14ac:dyDescent="0.4">
      <c r="A142" s="6"/>
      <c r="B142" s="11" t="s">
        <v>191</v>
      </c>
      <c r="C142" s="44"/>
      <c r="D142" s="44"/>
      <c r="I142" s="16"/>
      <c r="M142" s="208"/>
      <c r="Q142" s="239"/>
      <c r="R142" s="240"/>
      <c r="S142" s="240"/>
      <c r="T142" s="239"/>
      <c r="U142" s="239"/>
      <c r="V142" s="239"/>
      <c r="W142" s="239"/>
      <c r="X142" s="239"/>
      <c r="Y142" s="239"/>
      <c r="Z142" s="239"/>
    </row>
    <row r="143" spans="1:28" x14ac:dyDescent="0.4">
      <c r="A143" s="6"/>
      <c r="B143" s="201"/>
      <c r="C143" s="44"/>
      <c r="D143" s="44"/>
      <c r="I143" s="202"/>
      <c r="J143" s="32"/>
      <c r="K143" s="32"/>
      <c r="L143" s="32"/>
      <c r="M143" s="208"/>
      <c r="Q143" s="241"/>
      <c r="R143" s="240"/>
      <c r="S143" s="240"/>
      <c r="T143" s="239"/>
      <c r="U143" s="239"/>
      <c r="V143" s="239"/>
      <c r="W143" s="239"/>
      <c r="X143" s="239"/>
      <c r="Y143" s="239"/>
      <c r="Z143" s="239"/>
      <c r="AB143" s="208"/>
    </row>
    <row r="144" spans="1:28" x14ac:dyDescent="0.4">
      <c r="A144" s="6"/>
      <c r="B144" s="2" t="s">
        <v>293</v>
      </c>
      <c r="C144" s="44"/>
      <c r="D144" s="44"/>
      <c r="Q144" s="241"/>
      <c r="R144" s="240"/>
      <c r="S144" s="240"/>
      <c r="T144" s="239"/>
      <c r="U144" s="239"/>
      <c r="V144" s="239"/>
      <c r="W144" s="239"/>
      <c r="X144" s="239"/>
      <c r="Y144" s="239"/>
      <c r="Z144" s="239"/>
    </row>
    <row r="145" spans="1:29" x14ac:dyDescent="0.4">
      <c r="A145" s="6"/>
      <c r="B145" s="202" t="s">
        <v>205</v>
      </c>
      <c r="C145" s="21">
        <f>J96</f>
        <v>1103742.1818611787</v>
      </c>
      <c r="G145" s="203"/>
      <c r="Q145" s="241"/>
      <c r="R145" s="240"/>
      <c r="S145" s="240"/>
      <c r="T145" s="239"/>
      <c r="U145" s="239"/>
      <c r="V145" s="239"/>
      <c r="W145" s="239"/>
      <c r="X145" s="239"/>
      <c r="Y145" s="239"/>
      <c r="Z145" s="239"/>
    </row>
    <row r="146" spans="1:29" x14ac:dyDescent="0.4">
      <c r="A146" s="6"/>
      <c r="C146" s="202" t="s">
        <v>398</v>
      </c>
      <c r="D146" s="44">
        <f>+C145/SUMPRODUCT('BGS PTY19 Cost Alloc'!E72:I72,'BGS PTY19 Cost Alloc'!E95:I95)*1000</f>
        <v>65.664806626865769</v>
      </c>
      <c r="E146" s="118" t="s">
        <v>294</v>
      </c>
      <c r="I146" s="118" t="s">
        <v>3</v>
      </c>
      <c r="Q146" s="241"/>
      <c r="R146" s="240"/>
      <c r="S146" s="240"/>
      <c r="T146" s="239"/>
      <c r="U146" s="239"/>
      <c r="V146" s="239"/>
      <c r="W146" s="239"/>
      <c r="X146" s="239"/>
      <c r="Y146" s="239"/>
      <c r="Z146" s="239"/>
    </row>
    <row r="147" spans="1:29" s="211" customFormat="1" x14ac:dyDescent="0.4">
      <c r="A147" s="76"/>
      <c r="C147" s="212" t="s">
        <v>402</v>
      </c>
      <c r="D147" s="44">
        <f>C145/SUMPRODUCT('BGS PTY19 Cost Alloc'!E72:I72,'BGS PTY19 Cost Alloc'!E98:I98)*1000</f>
        <v>66.187677435378632</v>
      </c>
      <c r="E147" s="211" t="s">
        <v>295</v>
      </c>
      <c r="J147" s="34"/>
      <c r="K147" s="34"/>
      <c r="L147" s="34"/>
      <c r="R147" s="212"/>
      <c r="S147" s="44"/>
      <c r="Y147" s="34"/>
      <c r="Z147" s="34"/>
    </row>
    <row r="148" spans="1:29" s="211" customFormat="1" ht="15.35" x14ac:dyDescent="0.5">
      <c r="A148" s="76"/>
      <c r="B148" s="382" t="str">
        <f>$B$1</f>
        <v xml:space="preserve">Jersey Central Power &amp; Light </v>
      </c>
      <c r="C148" s="382"/>
      <c r="D148" s="382"/>
      <c r="E148" s="382"/>
      <c r="F148" s="382"/>
      <c r="G148" s="382"/>
      <c r="H148" s="382"/>
      <c r="I148" s="382"/>
      <c r="J148" s="382"/>
      <c r="K148" s="382"/>
      <c r="L148" s="382"/>
      <c r="M148" s="382"/>
      <c r="N148" s="382"/>
      <c r="P148" s="7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34"/>
    </row>
    <row r="149" spans="1:29" s="211" customFormat="1" ht="15.35" x14ac:dyDescent="0.5">
      <c r="A149" s="76"/>
      <c r="B149" s="382" t="str">
        <f>$B$2</f>
        <v>Attachment 2</v>
      </c>
      <c r="C149" s="382"/>
      <c r="D149" s="382"/>
      <c r="E149" s="382"/>
      <c r="F149" s="382"/>
      <c r="G149" s="382"/>
      <c r="H149" s="382"/>
      <c r="I149" s="382"/>
      <c r="J149" s="382"/>
      <c r="K149" s="382"/>
      <c r="L149" s="382"/>
      <c r="M149" s="382"/>
      <c r="N149" s="382"/>
      <c r="P149" s="7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</row>
    <row r="150" spans="1:29" s="211" customFormat="1" ht="15.35" x14ac:dyDescent="0.5">
      <c r="A150" s="7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P150" s="7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</row>
    <row r="151" spans="1:29" s="211" customFormat="1" x14ac:dyDescent="0.4">
      <c r="A151" s="77" t="s">
        <v>321</v>
      </c>
      <c r="B151" s="78" t="s">
        <v>401</v>
      </c>
      <c r="J151" s="78" t="s">
        <v>3</v>
      </c>
      <c r="K151" s="78"/>
      <c r="L151" s="78"/>
      <c r="M151" s="78"/>
      <c r="N151" s="78"/>
      <c r="P151" s="77"/>
      <c r="Q151" s="78"/>
      <c r="Y151" s="78"/>
      <c r="Z151" s="78"/>
    </row>
    <row r="152" spans="1:29" s="211" customFormat="1" x14ac:dyDescent="0.4">
      <c r="A152" s="76"/>
      <c r="B152" s="78"/>
      <c r="P152" s="76"/>
      <c r="Q152" s="78"/>
      <c r="AA152" s="78"/>
      <c r="AB152" s="78"/>
      <c r="AC152" s="78"/>
    </row>
    <row r="153" spans="1:29" s="211" customFormat="1" x14ac:dyDescent="0.4">
      <c r="A153" s="76"/>
      <c r="B153" s="78" t="s">
        <v>186</v>
      </c>
      <c r="P153" s="76"/>
      <c r="Q153" s="78"/>
    </row>
    <row r="154" spans="1:29" s="211" customFormat="1" x14ac:dyDescent="0.4">
      <c r="A154" s="76"/>
      <c r="B154" s="79" t="s">
        <v>284</v>
      </c>
      <c r="P154" s="76"/>
      <c r="Q154" s="79"/>
    </row>
    <row r="155" spans="1:29" s="211" customFormat="1" x14ac:dyDescent="0.4">
      <c r="A155" s="76"/>
      <c r="B155" s="78"/>
      <c r="P155" s="76"/>
      <c r="Q155" s="78"/>
    </row>
    <row r="156" spans="1:29" s="211" customFormat="1" x14ac:dyDescent="0.4">
      <c r="A156" s="76"/>
      <c r="C156" s="80"/>
      <c r="D156" s="80"/>
      <c r="E156" s="80" t="str">
        <f>+E$10</f>
        <v>RT{1}</v>
      </c>
      <c r="F156" s="80" t="str">
        <f>+F$10</f>
        <v>RS{2}</v>
      </c>
      <c r="G156" s="80" t="str">
        <f>+G$10</f>
        <v>GS{3}</v>
      </c>
      <c r="H156" s="80" t="str">
        <f>+H$10</f>
        <v>GST {4}</v>
      </c>
      <c r="I156" s="80" t="str">
        <f>+I$10</f>
        <v>OL/SL</v>
      </c>
      <c r="J156" s="80"/>
      <c r="K156" s="80"/>
      <c r="L156" s="80"/>
      <c r="M156" s="80"/>
      <c r="N156" s="80"/>
      <c r="P156" s="76"/>
      <c r="R156" s="80"/>
      <c r="S156" s="80"/>
      <c r="T156" s="80"/>
      <c r="U156" s="80"/>
      <c r="V156" s="80"/>
      <c r="W156" s="80"/>
      <c r="X156" s="80"/>
      <c r="Y156" s="80"/>
      <c r="Z156" s="80"/>
    </row>
    <row r="157" spans="1:29" s="211" customFormat="1" x14ac:dyDescent="0.4">
      <c r="A157" s="76"/>
      <c r="C157" s="80"/>
      <c r="D157" s="80"/>
      <c r="E157" s="80"/>
      <c r="F157" s="80"/>
      <c r="G157" s="80"/>
      <c r="P157" s="76"/>
      <c r="R157" s="80"/>
      <c r="S157" s="80"/>
      <c r="T157" s="80"/>
      <c r="U157" s="80"/>
      <c r="V157" s="80"/>
      <c r="AA157" s="80"/>
      <c r="AB157" s="80"/>
      <c r="AC157" s="80"/>
    </row>
    <row r="158" spans="1:29" s="211" customFormat="1" x14ac:dyDescent="0.4">
      <c r="A158" s="76"/>
      <c r="B158" s="235" t="s">
        <v>111</v>
      </c>
      <c r="C158" s="20"/>
      <c r="D158" s="20"/>
      <c r="E158" s="45">
        <f>+ROUND(E127/$D$147,3)</f>
        <v>1.0609999999999999</v>
      </c>
      <c r="F158" s="45">
        <f>ROUND((F86+F87)*R118*1000000/(F109+F110)/D147,3)</f>
        <v>1.0820000000000001</v>
      </c>
      <c r="G158" s="45">
        <f>+ROUND(G127/$D$147,3)</f>
        <v>1.0549999999999999</v>
      </c>
      <c r="H158" s="45"/>
      <c r="I158" s="45">
        <f>+ROUND(I127/$D$147,3)</f>
        <v>0.79900000000000004</v>
      </c>
      <c r="J158" s="20"/>
      <c r="K158" s="20"/>
      <c r="L158" s="20"/>
      <c r="M158" s="20"/>
      <c r="N158" s="20"/>
      <c r="P158" s="76"/>
      <c r="Q158" s="235"/>
      <c r="R158" s="20"/>
      <c r="S158" s="20"/>
      <c r="T158" s="45"/>
      <c r="U158" s="45"/>
      <c r="V158" s="45"/>
      <c r="W158" s="45"/>
      <c r="X158" s="45"/>
      <c r="Y158" s="20"/>
      <c r="Z158" s="20"/>
    </row>
    <row r="159" spans="1:29" s="211" customFormat="1" x14ac:dyDescent="0.4">
      <c r="A159" s="76"/>
      <c r="B159" s="236" t="s">
        <v>133</v>
      </c>
      <c r="C159" s="242"/>
      <c r="D159" s="242"/>
      <c r="E159" s="45">
        <f>+ROUND(E128/$D$147,3)</f>
        <v>1.5049999999999999</v>
      </c>
      <c r="F159" s="243"/>
      <c r="G159" s="243"/>
      <c r="H159" s="45">
        <f>+ROUND(H128/$D$147,3)</f>
        <v>1.212</v>
      </c>
      <c r="I159" s="243"/>
      <c r="J159" s="242"/>
      <c r="K159" s="242"/>
      <c r="L159" s="242"/>
      <c r="M159" s="242"/>
      <c r="N159" s="242"/>
      <c r="P159" s="76"/>
      <c r="Q159" s="236"/>
      <c r="R159" s="242"/>
      <c r="S159" s="242"/>
      <c r="T159" s="45"/>
      <c r="U159" s="243"/>
      <c r="V159" s="243"/>
      <c r="W159" s="45"/>
      <c r="X159" s="243"/>
      <c r="Y159" s="242"/>
      <c r="Z159" s="242"/>
      <c r="AA159" s="20"/>
      <c r="AB159" s="20"/>
      <c r="AC159" s="20"/>
    </row>
    <row r="160" spans="1:29" s="211" customFormat="1" x14ac:dyDescent="0.4">
      <c r="A160" s="76"/>
      <c r="B160" s="236" t="s">
        <v>134</v>
      </c>
      <c r="C160" s="242"/>
      <c r="D160" s="242"/>
      <c r="E160" s="45">
        <f>+ROUND(E129/$D$147,3)</f>
        <v>0.74</v>
      </c>
      <c r="F160" s="243"/>
      <c r="G160" s="243"/>
      <c r="H160" s="45">
        <f>+ROUND(H129/$D$147,3)</f>
        <v>0.746</v>
      </c>
      <c r="I160" s="243"/>
      <c r="J160" s="242"/>
      <c r="K160" s="242"/>
      <c r="L160" s="242"/>
      <c r="M160" s="242"/>
      <c r="N160" s="242"/>
      <c r="O160" s="243">
        <f>(F86+F87)*1000000/(F109+F110)</f>
        <v>72.092053552461181</v>
      </c>
      <c r="P160" s="76"/>
      <c r="Q160" s="236"/>
      <c r="R160" s="242"/>
      <c r="S160" s="242"/>
      <c r="T160" s="45"/>
      <c r="U160" s="243"/>
      <c r="V160" s="243"/>
      <c r="W160" s="45"/>
      <c r="X160" s="243"/>
      <c r="Y160" s="242"/>
      <c r="Z160" s="243"/>
      <c r="AA160" s="242"/>
      <c r="AB160" s="242"/>
      <c r="AC160" s="242"/>
    </row>
    <row r="161" spans="1:29" s="211" customFormat="1" x14ac:dyDescent="0.4">
      <c r="A161" s="76"/>
      <c r="B161" s="236"/>
      <c r="C161" s="242"/>
      <c r="D161" s="242"/>
      <c r="E161" s="45"/>
      <c r="G161" s="243"/>
      <c r="H161" s="45"/>
      <c r="I161" s="243"/>
      <c r="K161" s="243"/>
      <c r="L161" s="243"/>
      <c r="M161" s="243"/>
      <c r="N161" s="243"/>
      <c r="O161" s="243">
        <f>F86*1000000/F109</f>
        <v>68.030668660234653</v>
      </c>
      <c r="P161" s="76"/>
      <c r="Q161" s="236"/>
      <c r="R161" s="242"/>
      <c r="S161" s="242"/>
      <c r="T161" s="45"/>
      <c r="V161" s="243"/>
      <c r="W161" s="45"/>
      <c r="X161" s="243"/>
      <c r="Z161" s="243"/>
      <c r="AA161" s="242"/>
      <c r="AB161" s="242"/>
      <c r="AC161" s="242"/>
    </row>
    <row r="162" spans="1:29" s="211" customFormat="1" x14ac:dyDescent="0.4">
      <c r="A162" s="76"/>
      <c r="B162" s="236"/>
      <c r="C162" s="242"/>
      <c r="D162" s="242"/>
      <c r="E162" s="45"/>
      <c r="G162" s="243"/>
      <c r="H162" s="45"/>
      <c r="I162" s="243"/>
      <c r="K162" s="243"/>
      <c r="L162" s="243"/>
      <c r="M162" s="243"/>
      <c r="N162" s="243"/>
      <c r="O162" s="243">
        <f>F87*1000000/F110</f>
        <v>76.68266866023464</v>
      </c>
      <c r="P162" s="76"/>
      <c r="Q162" s="236"/>
      <c r="R162" s="242"/>
      <c r="S162" s="242"/>
      <c r="T162" s="45"/>
      <c r="V162" s="243"/>
      <c r="W162" s="45"/>
      <c r="X162" s="243"/>
      <c r="Z162" s="243"/>
      <c r="AA162" s="243"/>
      <c r="AB162" s="243"/>
      <c r="AC162" s="243"/>
    </row>
    <row r="163" spans="1:29" s="211" customFormat="1" x14ac:dyDescent="0.4">
      <c r="A163" s="76"/>
      <c r="C163" s="46"/>
      <c r="D163" s="46"/>
      <c r="E163" s="244" t="s">
        <v>322</v>
      </c>
      <c r="F163" s="45">
        <f>ROUND(O161-O160,3)</f>
        <v>-4.0609999999999999</v>
      </c>
      <c r="G163" s="243"/>
      <c r="H163" s="45"/>
      <c r="I163" s="243"/>
      <c r="J163" s="242"/>
      <c r="K163" s="242"/>
      <c r="L163" s="242"/>
      <c r="M163" s="242"/>
      <c r="N163" s="242"/>
      <c r="P163" s="76"/>
      <c r="R163" s="46"/>
      <c r="S163" s="46"/>
      <c r="T163" s="244"/>
      <c r="U163" s="45"/>
      <c r="V163" s="243"/>
      <c r="W163" s="45"/>
      <c r="X163" s="243"/>
      <c r="Y163" s="242"/>
      <c r="Z163" s="242"/>
      <c r="AA163" s="242"/>
      <c r="AB163" s="242"/>
      <c r="AC163" s="242"/>
    </row>
    <row r="164" spans="1:29" s="211" customFormat="1" x14ac:dyDescent="0.4">
      <c r="A164" s="76"/>
      <c r="C164" s="46"/>
      <c r="D164" s="46"/>
      <c r="E164" s="244" t="s">
        <v>323</v>
      </c>
      <c r="F164" s="45">
        <f>ROUND(O162-O160,3)</f>
        <v>4.5910000000000002</v>
      </c>
      <c r="G164" s="243"/>
      <c r="H164" s="45"/>
      <c r="I164" s="243"/>
      <c r="J164" s="242"/>
      <c r="K164" s="242"/>
      <c r="L164" s="242"/>
      <c r="M164" s="242"/>
      <c r="N164" s="242"/>
      <c r="P164" s="76"/>
      <c r="R164" s="46"/>
      <c r="S164" s="46"/>
      <c r="T164" s="244"/>
      <c r="U164" s="45"/>
      <c r="V164" s="243"/>
      <c r="W164" s="45"/>
      <c r="X164" s="243"/>
      <c r="Y164" s="242"/>
      <c r="Z164" s="242"/>
      <c r="AA164" s="242"/>
      <c r="AB164" s="242"/>
      <c r="AC164" s="242"/>
    </row>
    <row r="165" spans="1:29" s="211" customFormat="1" x14ac:dyDescent="0.4">
      <c r="A165" s="76"/>
      <c r="C165" s="242"/>
      <c r="D165" s="242"/>
      <c r="E165" s="243"/>
      <c r="F165" s="243"/>
      <c r="G165" s="243"/>
      <c r="H165" s="243"/>
      <c r="I165" s="243"/>
      <c r="J165" s="242"/>
      <c r="K165" s="242"/>
      <c r="L165" s="242"/>
      <c r="M165" s="242"/>
      <c r="N165" s="242"/>
      <c r="P165" s="76"/>
      <c r="R165" s="242"/>
      <c r="S165" s="242"/>
      <c r="T165" s="243"/>
      <c r="U165" s="243"/>
      <c r="V165" s="243"/>
      <c r="W165" s="243"/>
      <c r="X165" s="243"/>
      <c r="Y165" s="242"/>
      <c r="Z165" s="242"/>
      <c r="AA165" s="242"/>
      <c r="AB165" s="242"/>
      <c r="AC165" s="242"/>
    </row>
    <row r="166" spans="1:29" s="211" customFormat="1" x14ac:dyDescent="0.4">
      <c r="A166" s="76"/>
      <c r="B166" s="235" t="s">
        <v>115</v>
      </c>
      <c r="C166" s="20"/>
      <c r="D166" s="20"/>
      <c r="E166" s="45">
        <f>ROUND(E133/$D$147,3)</f>
        <v>1.0529999999999999</v>
      </c>
      <c r="F166" s="45">
        <f>ROUND(F133/$D$147,3)</f>
        <v>1.173</v>
      </c>
      <c r="G166" s="45">
        <f>ROUND(G133/$D$147,3)</f>
        <v>1.0620000000000001</v>
      </c>
      <c r="H166" s="45"/>
      <c r="I166" s="45">
        <f>ROUND(I133/$D$147,3)</f>
        <v>0.81599999999999995</v>
      </c>
      <c r="J166" s="20"/>
      <c r="K166" s="20"/>
      <c r="L166" s="20"/>
      <c r="M166" s="20"/>
      <c r="N166" s="20"/>
      <c r="P166" s="76"/>
      <c r="Q166" s="235"/>
      <c r="R166" s="20"/>
      <c r="S166" s="20"/>
      <c r="T166" s="45"/>
      <c r="U166" s="45"/>
      <c r="V166" s="45"/>
      <c r="W166" s="45"/>
      <c r="X166" s="45"/>
      <c r="Y166" s="20"/>
      <c r="Z166" s="20"/>
      <c r="AA166" s="242"/>
      <c r="AB166" s="242"/>
      <c r="AC166" s="242"/>
    </row>
    <row r="167" spans="1:29" s="211" customFormat="1" x14ac:dyDescent="0.4">
      <c r="A167" s="76"/>
      <c r="B167" s="236" t="s">
        <v>133</v>
      </c>
      <c r="C167" s="242"/>
      <c r="D167" s="242"/>
      <c r="E167" s="45">
        <f>ROUND(E134/$D$147,3)</f>
        <v>1.508</v>
      </c>
      <c r="F167" s="243"/>
      <c r="G167" s="243"/>
      <c r="H167" s="45">
        <f>ROUND(H134/$D$147,3)</f>
        <v>1.1459999999999999</v>
      </c>
      <c r="I167" s="243"/>
      <c r="J167" s="242"/>
      <c r="K167" s="242"/>
      <c r="L167" s="242"/>
      <c r="M167" s="242"/>
      <c r="N167" s="242"/>
      <c r="P167" s="76"/>
      <c r="Q167" s="236"/>
      <c r="R167" s="242"/>
      <c r="S167" s="242"/>
      <c r="T167" s="45"/>
      <c r="U167" s="243"/>
      <c r="V167" s="243"/>
      <c r="W167" s="45"/>
      <c r="X167" s="243"/>
      <c r="Y167" s="242"/>
      <c r="Z167" s="242"/>
      <c r="AA167" s="20"/>
      <c r="AB167" s="20"/>
      <c r="AC167" s="20"/>
    </row>
    <row r="168" spans="1:29" s="211" customFormat="1" x14ac:dyDescent="0.4">
      <c r="A168" s="76"/>
      <c r="B168" s="236" t="s">
        <v>134</v>
      </c>
      <c r="C168" s="242"/>
      <c r="D168" s="242"/>
      <c r="E168" s="45">
        <f>ROUND(E135/$D$147,3)</f>
        <v>0.79500000000000004</v>
      </c>
      <c r="F168" s="243"/>
      <c r="G168" s="243"/>
      <c r="H168" s="45">
        <f>ROUND(H135/$D$147,3)</f>
        <v>0.78500000000000003</v>
      </c>
      <c r="I168" s="243"/>
      <c r="J168" s="242"/>
      <c r="K168" s="242"/>
      <c r="L168" s="242"/>
      <c r="M168" s="242"/>
      <c r="N168" s="242"/>
      <c r="P168" s="76"/>
      <c r="Q168" s="236"/>
      <c r="R168" s="242"/>
      <c r="S168" s="242"/>
      <c r="T168" s="45"/>
      <c r="U168" s="243"/>
      <c r="V168" s="243"/>
      <c r="W168" s="45"/>
      <c r="X168" s="243"/>
      <c r="Y168" s="242"/>
      <c r="Z168" s="242"/>
      <c r="AA168" s="242"/>
      <c r="AB168" s="242"/>
      <c r="AC168" s="242"/>
    </row>
    <row r="169" spans="1:29" s="211" customFormat="1" x14ac:dyDescent="0.4">
      <c r="A169" s="76"/>
      <c r="C169" s="245"/>
      <c r="D169" s="245"/>
      <c r="E169" s="246"/>
      <c r="F169" s="246"/>
      <c r="G169" s="246"/>
      <c r="H169" s="246"/>
      <c r="I169" s="246"/>
      <c r="J169" s="245"/>
      <c r="K169" s="245"/>
      <c r="L169" s="245"/>
      <c r="M169" s="245"/>
      <c r="N169" s="245"/>
      <c r="P169" s="76"/>
      <c r="R169" s="245"/>
      <c r="S169" s="245"/>
      <c r="T169" s="246"/>
      <c r="U169" s="246"/>
      <c r="V169" s="246"/>
      <c r="W169" s="246"/>
      <c r="X169" s="246"/>
      <c r="Y169" s="245"/>
      <c r="Z169" s="245"/>
      <c r="AA169" s="242"/>
      <c r="AB169" s="242"/>
      <c r="AC169" s="242"/>
    </row>
    <row r="170" spans="1:29" s="211" customFormat="1" x14ac:dyDescent="0.4">
      <c r="A170" s="76"/>
      <c r="B170" s="211" t="s">
        <v>324</v>
      </c>
      <c r="C170" s="245"/>
      <c r="D170" s="245"/>
      <c r="E170" s="81">
        <f>ROUND(E137/$D$147,3)</f>
        <v>1.0489999999999999</v>
      </c>
      <c r="F170" s="81">
        <f>ROUND(F137/$D$147,3)</f>
        <v>1.135</v>
      </c>
      <c r="G170" s="81">
        <f>ROUND(G137/$D$147,3)</f>
        <v>1.06</v>
      </c>
      <c r="H170" s="81">
        <f>ROUND(H137/$D$147,3)</f>
        <v>0.95</v>
      </c>
      <c r="I170" s="81">
        <f>ROUND(I137/$D$147,3)</f>
        <v>0.81</v>
      </c>
      <c r="J170" s="245"/>
      <c r="K170" s="245"/>
      <c r="L170" s="245"/>
      <c r="M170" s="245"/>
      <c r="N170" s="245"/>
      <c r="P170" s="76"/>
      <c r="R170" s="245"/>
      <c r="S170" s="245"/>
      <c r="T170" s="81"/>
      <c r="U170" s="81"/>
      <c r="V170" s="81"/>
      <c r="W170" s="81"/>
      <c r="X170" s="81"/>
      <c r="Y170" s="245"/>
      <c r="Z170" s="245"/>
      <c r="AA170" s="245"/>
      <c r="AB170" s="245"/>
      <c r="AC170" s="245"/>
    </row>
    <row r="171" spans="1:29" s="211" customFormat="1" x14ac:dyDescent="0.4">
      <c r="A171" s="76"/>
      <c r="D171" s="212"/>
      <c r="P171" s="76"/>
      <c r="AA171" s="245"/>
      <c r="AB171" s="245"/>
      <c r="AC171" s="245"/>
    </row>
    <row r="172" spans="1:29" s="211" customFormat="1" x14ac:dyDescent="0.4">
      <c r="A172" s="76"/>
      <c r="E172" s="25"/>
      <c r="F172" s="25"/>
      <c r="G172" s="25"/>
      <c r="H172" s="25"/>
      <c r="I172" s="25"/>
      <c r="P172" s="76"/>
    </row>
    <row r="173" spans="1:29" s="211" customFormat="1" x14ac:dyDescent="0.4">
      <c r="A173" s="76"/>
      <c r="B173" s="78" t="s">
        <v>189</v>
      </c>
      <c r="P173" s="76"/>
      <c r="Q173" s="78"/>
    </row>
    <row r="174" spans="1:29" s="211" customFormat="1" x14ac:dyDescent="0.4">
      <c r="A174" s="76"/>
      <c r="B174" s="79" t="s">
        <v>285</v>
      </c>
      <c r="P174" s="76"/>
      <c r="Q174" s="79"/>
    </row>
    <row r="175" spans="1:29" s="211" customFormat="1" x14ac:dyDescent="0.4">
      <c r="A175" s="76"/>
      <c r="P175" s="76"/>
    </row>
    <row r="176" spans="1:29" s="211" customFormat="1" x14ac:dyDescent="0.4">
      <c r="A176" s="76"/>
      <c r="B176" s="82" t="s">
        <v>191</v>
      </c>
      <c r="C176" s="80"/>
      <c r="D176" s="80"/>
      <c r="E176" s="80"/>
      <c r="F176" s="80"/>
      <c r="I176" s="78"/>
      <c r="P176" s="76"/>
      <c r="Q176" s="82"/>
      <c r="R176" s="80"/>
      <c r="S176" s="80"/>
      <c r="T176" s="80"/>
      <c r="U176" s="80"/>
      <c r="X176" s="78"/>
    </row>
    <row r="177" spans="1:16" s="211" customFormat="1" x14ac:dyDescent="0.4">
      <c r="A177" s="247" t="s">
        <v>3</v>
      </c>
      <c r="P177" s="247"/>
    </row>
  </sheetData>
  <mergeCells count="11">
    <mergeCell ref="B149:N149"/>
    <mergeCell ref="B1:N1"/>
    <mergeCell ref="B2:N2"/>
    <mergeCell ref="B3:N3"/>
    <mergeCell ref="B5:N5"/>
    <mergeCell ref="B52:N52"/>
    <mergeCell ref="B53:N53"/>
    <mergeCell ref="B54:N54"/>
    <mergeCell ref="B98:N98"/>
    <mergeCell ref="B99:N99"/>
    <mergeCell ref="B148:N148"/>
  </mergeCells>
  <pageMargins left="0.97" right="0.79" top="0.69" bottom="0.69" header="0.33" footer="0.5"/>
  <pageSetup scale="60" fitToHeight="0" orientation="landscape" r:id="rId1"/>
  <headerFooter alignWithMargins="0">
    <oddFooter>&amp;L&amp;A&amp;CPage &amp;P of &amp;N&amp;R&amp;D</oddFooter>
  </headerFooter>
  <rowBreaks count="3" manualBreakCount="3">
    <brk id="51" max="11" man="1"/>
    <brk id="96" max="11" man="1"/>
    <brk id="147" max="11" man="1"/>
  </rowBreaks>
  <colBreaks count="1" manualBreakCount="1">
    <brk id="15" max="21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D3465-E05C-447F-B619-9E3952B3EC28}">
  <sheetPr>
    <pageSetUpPr fitToPage="1"/>
  </sheetPr>
  <dimension ref="A1:M61"/>
  <sheetViews>
    <sheetView view="pageBreakPreview" zoomScale="70" zoomScaleNormal="69" zoomScaleSheetLayoutView="70" workbookViewId="0"/>
  </sheetViews>
  <sheetFormatPr defaultColWidth="8.87890625" defaultRowHeight="12.7" x14ac:dyDescent="0.4"/>
  <cols>
    <col min="1" max="1" width="5.64453125" style="115" customWidth="1"/>
    <col min="2" max="2" width="40.87890625" style="115" customWidth="1"/>
    <col min="3" max="3" width="16.05859375" style="115" customWidth="1"/>
    <col min="4" max="4" width="15.87890625" style="115" customWidth="1"/>
    <col min="5" max="5" width="15.46875" style="115" bestFit="1" customWidth="1"/>
    <col min="6" max="6" width="13.8203125" style="115" bestFit="1" customWidth="1"/>
    <col min="7" max="7" width="43.3515625" style="115" customWidth="1"/>
    <col min="8" max="16384" width="8.87890625" style="115"/>
  </cols>
  <sheetData>
    <row r="1" spans="1:13" s="118" customFormat="1" ht="15.35" x14ac:dyDescent="0.5">
      <c r="A1" s="128"/>
      <c r="B1" s="384" t="s">
        <v>0</v>
      </c>
      <c r="C1" s="384"/>
      <c r="D1" s="384"/>
      <c r="E1" s="384"/>
      <c r="F1" s="384"/>
      <c r="G1" s="1"/>
      <c r="H1" s="1"/>
      <c r="I1" s="1"/>
      <c r="J1" s="1"/>
      <c r="K1" s="1"/>
      <c r="L1" s="1"/>
      <c r="M1" s="1"/>
    </row>
    <row r="2" spans="1:13" s="118" customFormat="1" ht="15.35" x14ac:dyDescent="0.5">
      <c r="A2" s="128"/>
      <c r="B2" s="384" t="s">
        <v>325</v>
      </c>
      <c r="C2" s="384"/>
      <c r="D2" s="384"/>
      <c r="E2" s="384"/>
      <c r="F2" s="384"/>
      <c r="G2" s="1"/>
      <c r="H2" s="1"/>
      <c r="I2" s="1"/>
      <c r="J2" s="1"/>
      <c r="K2" s="1"/>
      <c r="L2" s="1"/>
      <c r="M2" s="1"/>
    </row>
    <row r="3" spans="1:13" s="118" customFormat="1" ht="31" customHeight="1" x14ac:dyDescent="0.5">
      <c r="A3" s="128"/>
      <c r="B3" s="389" t="s">
        <v>326</v>
      </c>
      <c r="C3" s="384"/>
      <c r="D3" s="384"/>
      <c r="E3" s="384"/>
      <c r="F3" s="384"/>
      <c r="G3" s="117"/>
      <c r="H3" s="117"/>
      <c r="I3" s="117"/>
      <c r="J3" s="117"/>
      <c r="K3" s="117"/>
      <c r="L3" s="117"/>
      <c r="M3" s="117"/>
    </row>
    <row r="4" spans="1:13" s="118" customFormat="1" ht="15.35" x14ac:dyDescent="0.5">
      <c r="A4" s="128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</row>
    <row r="5" spans="1:13" ht="17.7" x14ac:dyDescent="0.55000000000000004">
      <c r="A5" s="390" t="s">
        <v>327</v>
      </c>
      <c r="B5" s="390"/>
      <c r="C5" s="390"/>
      <c r="D5" s="390"/>
      <c r="E5" s="390"/>
      <c r="F5" s="390"/>
    </row>
    <row r="6" spans="1:13" ht="13.5" customHeight="1" x14ac:dyDescent="0.55000000000000004">
      <c r="A6" s="181"/>
    </row>
    <row r="7" spans="1:13" ht="25.35" x14ac:dyDescent="0.4">
      <c r="C7" s="47" t="s">
        <v>328</v>
      </c>
      <c r="D7" s="129" t="s">
        <v>329</v>
      </c>
      <c r="E7" s="47"/>
    </row>
    <row r="8" spans="1:13" ht="14.5" customHeight="1" x14ac:dyDescent="0.4">
      <c r="A8" s="130">
        <v>1</v>
      </c>
      <c r="B8" s="48" t="s">
        <v>403</v>
      </c>
      <c r="C8" s="131">
        <f>'BGS PTY19 Cost Alloc'!C301</f>
        <v>164.89</v>
      </c>
      <c r="D8" s="85" t="s">
        <v>407</v>
      </c>
      <c r="E8" s="85"/>
      <c r="F8" s="85"/>
      <c r="G8" s="118"/>
    </row>
    <row r="9" spans="1:13" x14ac:dyDescent="0.4">
      <c r="A9" s="130">
        <v>2</v>
      </c>
      <c r="B9" s="48" t="s">
        <v>330</v>
      </c>
      <c r="C9" s="132" t="s">
        <v>33</v>
      </c>
      <c r="D9" s="85" t="s">
        <v>3</v>
      </c>
      <c r="E9" s="129"/>
      <c r="G9" s="118"/>
    </row>
    <row r="10" spans="1:13" x14ac:dyDescent="0.4">
      <c r="A10" s="130">
        <v>3</v>
      </c>
      <c r="B10" s="49" t="s">
        <v>331</v>
      </c>
      <c r="C10" s="133" t="s">
        <v>33</v>
      </c>
      <c r="D10" s="388" t="s">
        <v>332</v>
      </c>
      <c r="E10" s="388"/>
      <c r="F10" s="388"/>
      <c r="G10" s="118"/>
    </row>
    <row r="11" spans="1:13" x14ac:dyDescent="0.4">
      <c r="A11" s="130">
        <f>A10+1</f>
        <v>4</v>
      </c>
      <c r="B11" s="49" t="s">
        <v>333</v>
      </c>
      <c r="C11" s="134">
        <f>'BGS PTY19 Cost Alloc'!J164</f>
        <v>4655.7706674000001</v>
      </c>
      <c r="D11" s="135" t="s">
        <v>415</v>
      </c>
      <c r="E11" s="135"/>
      <c r="G11" s="118"/>
    </row>
    <row r="12" spans="1:13" x14ac:dyDescent="0.4">
      <c r="A12" s="130">
        <f t="shared" ref="A12:A20" si="0">A11+1</f>
        <v>5</v>
      </c>
      <c r="B12" s="49" t="s">
        <v>334</v>
      </c>
      <c r="C12" s="183">
        <v>365</v>
      </c>
      <c r="D12" s="135"/>
      <c r="E12" s="135"/>
      <c r="G12" s="118"/>
    </row>
    <row r="13" spans="1:13" x14ac:dyDescent="0.4">
      <c r="A13" s="130">
        <f t="shared" si="0"/>
        <v>6</v>
      </c>
      <c r="B13" s="49" t="s">
        <v>335</v>
      </c>
      <c r="C13" s="137" t="s">
        <v>33</v>
      </c>
      <c r="D13" s="138" t="s">
        <v>336</v>
      </c>
      <c r="E13" s="135"/>
      <c r="G13" s="118"/>
    </row>
    <row r="14" spans="1:13" x14ac:dyDescent="0.4">
      <c r="A14" s="130">
        <f t="shared" si="0"/>
        <v>7</v>
      </c>
      <c r="B14" s="49" t="s">
        <v>337</v>
      </c>
      <c r="C14" s="140">
        <v>0</v>
      </c>
      <c r="D14" s="135"/>
      <c r="E14" s="135"/>
    </row>
    <row r="15" spans="1:13" x14ac:dyDescent="0.4">
      <c r="A15" s="130">
        <f t="shared" si="0"/>
        <v>8</v>
      </c>
      <c r="B15" s="49" t="s">
        <v>338</v>
      </c>
      <c r="C15" s="136">
        <f>C40</f>
        <v>53</v>
      </c>
      <c r="D15" s="135"/>
      <c r="E15" s="135"/>
    </row>
    <row r="16" spans="1:13" x14ac:dyDescent="0.4">
      <c r="A16" s="130">
        <f t="shared" si="0"/>
        <v>9</v>
      </c>
      <c r="B16" s="49" t="s">
        <v>339</v>
      </c>
      <c r="C16" s="142">
        <f>C14/C15</f>
        <v>0</v>
      </c>
      <c r="D16" s="138" t="s">
        <v>340</v>
      </c>
      <c r="E16" s="135"/>
    </row>
    <row r="17" spans="1:7" x14ac:dyDescent="0.4">
      <c r="A17" s="143">
        <f t="shared" si="0"/>
        <v>10</v>
      </c>
      <c r="B17" s="50" t="s">
        <v>341</v>
      </c>
      <c r="C17" s="144">
        <v>0</v>
      </c>
      <c r="D17" s="145" t="s">
        <v>342</v>
      </c>
      <c r="E17" s="146"/>
      <c r="F17" s="143"/>
    </row>
    <row r="18" spans="1:7" ht="25.35" x14ac:dyDescent="0.4">
      <c r="A18" s="130">
        <f t="shared" si="0"/>
        <v>11</v>
      </c>
      <c r="B18" s="51" t="s">
        <v>343</v>
      </c>
      <c r="C18" s="147">
        <f>F47+F48</f>
        <v>16675947</v>
      </c>
      <c r="D18" s="148" t="s">
        <v>416</v>
      </c>
      <c r="E18" s="148"/>
    </row>
    <row r="19" spans="1:7" ht="25.35" x14ac:dyDescent="0.4">
      <c r="A19" s="130">
        <f t="shared" si="0"/>
        <v>12</v>
      </c>
      <c r="B19" s="51" t="s">
        <v>344</v>
      </c>
      <c r="C19" s="149">
        <f>C18*C16</f>
        <v>0</v>
      </c>
      <c r="D19" s="150" t="s">
        <v>345</v>
      </c>
      <c r="E19" s="148"/>
    </row>
    <row r="20" spans="1:7" x14ac:dyDescent="0.4">
      <c r="A20" s="115">
        <f t="shared" si="0"/>
        <v>13</v>
      </c>
      <c r="B20" s="48" t="s">
        <v>346</v>
      </c>
      <c r="C20" s="151">
        <v>0</v>
      </c>
      <c r="D20" s="150" t="s">
        <v>347</v>
      </c>
      <c r="E20" s="148"/>
    </row>
    <row r="21" spans="1:7" x14ac:dyDescent="0.4">
      <c r="A21" s="52"/>
      <c r="B21" s="154"/>
      <c r="C21" s="154"/>
      <c r="D21" s="154"/>
      <c r="E21" s="154"/>
      <c r="F21" s="154"/>
    </row>
    <row r="22" spans="1:7" x14ac:dyDescent="0.4">
      <c r="A22" s="115" t="s">
        <v>348</v>
      </c>
      <c r="B22" s="52"/>
      <c r="C22" s="154"/>
      <c r="D22" s="154"/>
      <c r="E22" s="154"/>
      <c r="F22" s="154"/>
      <c r="G22" s="154"/>
    </row>
    <row r="23" spans="1:7" x14ac:dyDescent="0.4">
      <c r="A23" s="52"/>
      <c r="B23" s="154"/>
      <c r="C23" s="154"/>
      <c r="D23" s="154"/>
      <c r="E23" s="154"/>
      <c r="F23" s="154"/>
    </row>
    <row r="24" spans="1:7" ht="15.35" x14ac:dyDescent="0.5">
      <c r="A24" s="385" t="s">
        <v>349</v>
      </c>
      <c r="B24" s="385"/>
      <c r="C24" s="385"/>
      <c r="D24" s="385"/>
      <c r="E24" s="385"/>
      <c r="F24" s="385"/>
    </row>
    <row r="25" spans="1:7" x14ac:dyDescent="0.4">
      <c r="A25" s="155"/>
    </row>
    <row r="26" spans="1:7" ht="15.35" x14ac:dyDescent="0.5">
      <c r="A26" s="385" t="s">
        <v>350</v>
      </c>
      <c r="B26" s="385"/>
      <c r="C26" s="385"/>
      <c r="D26" s="385"/>
      <c r="E26" s="385"/>
      <c r="F26" s="385"/>
    </row>
    <row r="27" spans="1:7" ht="15.35" x14ac:dyDescent="0.5">
      <c r="A27" s="385" t="s">
        <v>351</v>
      </c>
      <c r="B27" s="385"/>
      <c r="C27" s="385"/>
      <c r="D27" s="385"/>
      <c r="E27" s="385"/>
      <c r="F27" s="385"/>
    </row>
    <row r="28" spans="1:7" x14ac:dyDescent="0.4">
      <c r="B28" s="53"/>
      <c r="F28" s="156"/>
    </row>
    <row r="29" spans="1:7" ht="38" x14ac:dyDescent="0.4">
      <c r="B29" s="53"/>
      <c r="C29" s="54" t="s">
        <v>408</v>
      </c>
      <c r="D29" s="54" t="s">
        <v>409</v>
      </c>
      <c r="E29" s="54" t="s">
        <v>411</v>
      </c>
      <c r="F29" s="54" t="s">
        <v>352</v>
      </c>
    </row>
    <row r="30" spans="1:7" x14ac:dyDescent="0.4">
      <c r="B30" s="53"/>
      <c r="C30" s="55" t="s">
        <v>353</v>
      </c>
      <c r="D30" s="55" t="s">
        <v>354</v>
      </c>
      <c r="E30" s="56" t="s">
        <v>355</v>
      </c>
      <c r="F30" s="54"/>
    </row>
    <row r="31" spans="1:7" ht="25.35" x14ac:dyDescent="0.4">
      <c r="B31" s="57"/>
      <c r="C31" s="157" t="s">
        <v>356</v>
      </c>
      <c r="D31" s="157" t="s">
        <v>357</v>
      </c>
      <c r="E31" s="158" t="s">
        <v>358</v>
      </c>
      <c r="F31" s="157"/>
    </row>
    <row r="32" spans="1:7" x14ac:dyDescent="0.4">
      <c r="C32" s="159"/>
      <c r="D32" s="159"/>
      <c r="E32" s="159"/>
      <c r="F32" s="160"/>
    </row>
    <row r="33" spans="1:7" x14ac:dyDescent="0.4">
      <c r="A33" s="139"/>
      <c r="B33" s="148" t="s">
        <v>359</v>
      </c>
      <c r="C33" s="186">
        <f>'BGS PTY17 Cost Alloc'!E317</f>
        <v>77.150000000000006</v>
      </c>
      <c r="D33" s="186">
        <f>'BGS PTY18 Cost Alloc'!E317</f>
        <v>72.430000000000007</v>
      </c>
      <c r="E33" s="187">
        <f>D36</f>
        <v>65</v>
      </c>
      <c r="F33" s="163"/>
      <c r="G33" s="115" t="s">
        <v>3</v>
      </c>
    </row>
    <row r="34" spans="1:7" x14ac:dyDescent="0.4">
      <c r="A34" s="139"/>
      <c r="B34" s="148" t="s">
        <v>360</v>
      </c>
      <c r="C34" s="188"/>
      <c r="D34" s="186">
        <v>0</v>
      </c>
      <c r="E34" s="186">
        <v>0</v>
      </c>
      <c r="F34" s="163"/>
    </row>
    <row r="35" spans="1:7" x14ac:dyDescent="0.4">
      <c r="A35" s="139"/>
      <c r="B35" s="114" t="s">
        <v>361</v>
      </c>
      <c r="C35" s="112">
        <f>-'Attachment 4 - Transmission'!C18</f>
        <v>-6.82</v>
      </c>
      <c r="D35" s="112">
        <f>-'Attachment 4 - Transmission'!D18</f>
        <v>-7.43</v>
      </c>
      <c r="E35" s="189"/>
      <c r="F35" s="163"/>
    </row>
    <row r="36" spans="1:7" x14ac:dyDescent="0.4">
      <c r="A36" s="139"/>
      <c r="C36" s="186">
        <f>C35+C33</f>
        <v>70.330000000000013</v>
      </c>
      <c r="D36" s="186">
        <f>D35+D33</f>
        <v>65</v>
      </c>
      <c r="E36" s="186">
        <f>E35+E33</f>
        <v>65</v>
      </c>
      <c r="F36" s="163"/>
    </row>
    <row r="37" spans="1:7" x14ac:dyDescent="0.4">
      <c r="A37" s="139"/>
      <c r="C37" s="161"/>
      <c r="D37" s="161"/>
      <c r="E37" s="161"/>
      <c r="F37" s="163"/>
    </row>
    <row r="38" spans="1:7" x14ac:dyDescent="0.4">
      <c r="B38" s="58" t="s">
        <v>362</v>
      </c>
      <c r="C38" s="161"/>
      <c r="D38" s="161"/>
      <c r="E38" s="161"/>
      <c r="F38" s="163"/>
    </row>
    <row r="39" spans="1:7" x14ac:dyDescent="0.4">
      <c r="A39" s="139"/>
      <c r="B39" s="148" t="s">
        <v>363</v>
      </c>
      <c r="C39" s="165">
        <f>'Composite Cost Allocation'!F7</f>
        <v>18</v>
      </c>
      <c r="D39" s="165">
        <f>'Composite Cost Allocation'!F26</f>
        <v>15</v>
      </c>
      <c r="E39" s="165">
        <f>'Composite Cost Allocation'!F58</f>
        <v>20</v>
      </c>
      <c r="F39" s="166"/>
    </row>
    <row r="40" spans="1:7" x14ac:dyDescent="0.4">
      <c r="A40" s="139"/>
      <c r="B40" s="148" t="s">
        <v>362</v>
      </c>
      <c r="C40" s="165">
        <f>C39+D39+E39</f>
        <v>53</v>
      </c>
      <c r="D40" s="165">
        <f>C40</f>
        <v>53</v>
      </c>
      <c r="E40" s="165">
        <f>C40</f>
        <v>53</v>
      </c>
      <c r="F40" s="167"/>
    </row>
    <row r="41" spans="1:7" x14ac:dyDescent="0.4">
      <c r="A41" s="139"/>
      <c r="B41" s="148"/>
      <c r="C41" s="168"/>
      <c r="D41" s="168"/>
      <c r="E41" s="168"/>
      <c r="F41" s="167"/>
    </row>
    <row r="42" spans="1:7" x14ac:dyDescent="0.4">
      <c r="B42" s="58" t="s">
        <v>364</v>
      </c>
      <c r="C42" s="169"/>
      <c r="D42" s="169"/>
      <c r="E42" s="170"/>
      <c r="F42" s="170"/>
      <c r="G42" s="115" t="s">
        <v>3</v>
      </c>
    </row>
    <row r="43" spans="1:7" x14ac:dyDescent="0.4">
      <c r="A43" s="139"/>
      <c r="B43" s="171" t="s">
        <v>91</v>
      </c>
      <c r="C43" s="172">
        <f>'BGS PTY18 Cost Alloc'!D318</f>
        <v>1</v>
      </c>
      <c r="D43" s="173">
        <f>'BGS PTY17 Cost Alloc'!D318</f>
        <v>1</v>
      </c>
      <c r="E43" s="173">
        <f>'BGS PTY19 Cost Alloc'!I299</f>
        <v>1</v>
      </c>
      <c r="F43" s="173"/>
    </row>
    <row r="44" spans="1:7" x14ac:dyDescent="0.4">
      <c r="A44" s="139"/>
      <c r="B44" s="171" t="s">
        <v>88</v>
      </c>
      <c r="C44" s="172">
        <f>'BGS PTY18 Cost Alloc'!D319</f>
        <v>1</v>
      </c>
      <c r="D44" s="173">
        <f>'BGS PTY17 Cost Alloc'!D319</f>
        <v>1</v>
      </c>
      <c r="E44" s="173">
        <f>'BGS PTY19 Cost Alloc'!I300</f>
        <v>1</v>
      </c>
      <c r="F44" s="172"/>
    </row>
    <row r="45" spans="1:7" x14ac:dyDescent="0.4">
      <c r="A45" s="139"/>
      <c r="B45" s="148"/>
      <c r="C45" s="169"/>
      <c r="D45" s="169"/>
      <c r="E45" s="170"/>
      <c r="F45" s="169"/>
    </row>
    <row r="46" spans="1:7" ht="25.5" customHeight="1" x14ac:dyDescent="0.4">
      <c r="B46" s="59" t="s">
        <v>365</v>
      </c>
      <c r="C46" s="169"/>
      <c r="D46" s="170"/>
      <c r="E46" s="170"/>
      <c r="F46" s="169"/>
    </row>
    <row r="47" spans="1:7" x14ac:dyDescent="0.4">
      <c r="A47" s="139"/>
      <c r="B47" s="148" t="s">
        <v>366</v>
      </c>
      <c r="C47" s="174">
        <f>'BGS PTY19 Cost Alloc'!N248</f>
        <v>6564885</v>
      </c>
      <c r="D47" s="190">
        <f t="shared" ref="D47:F48" si="1">C47</f>
        <v>6564885</v>
      </c>
      <c r="E47" s="190">
        <f t="shared" si="1"/>
        <v>6564885</v>
      </c>
      <c r="F47" s="174">
        <f t="shared" si="1"/>
        <v>6564885</v>
      </c>
      <c r="G47" s="386"/>
    </row>
    <row r="48" spans="1:7" x14ac:dyDescent="0.4">
      <c r="A48" s="139"/>
      <c r="B48" s="148" t="s">
        <v>367</v>
      </c>
      <c r="C48" s="174">
        <f>'BGS PTY19 Cost Alloc'!N249</f>
        <v>10111062</v>
      </c>
      <c r="D48" s="190">
        <f t="shared" si="1"/>
        <v>10111062</v>
      </c>
      <c r="E48" s="190">
        <f t="shared" si="1"/>
        <v>10111062</v>
      </c>
      <c r="F48" s="174">
        <f t="shared" si="1"/>
        <v>10111062</v>
      </c>
      <c r="G48" s="386"/>
    </row>
    <row r="49" spans="1:7" x14ac:dyDescent="0.4">
      <c r="A49" s="139"/>
      <c r="B49" s="60"/>
      <c r="C49" s="169"/>
      <c r="D49" s="169"/>
      <c r="E49" s="170"/>
      <c r="F49" s="169"/>
      <c r="G49" s="147" t="s">
        <v>3</v>
      </c>
    </row>
    <row r="50" spans="1:7" x14ac:dyDescent="0.4">
      <c r="B50" s="58" t="s">
        <v>368</v>
      </c>
      <c r="C50" s="169"/>
      <c r="D50" s="169"/>
      <c r="E50" s="170"/>
      <c r="F50" s="169"/>
    </row>
    <row r="51" spans="1:7" x14ac:dyDescent="0.4">
      <c r="A51" s="139"/>
      <c r="B51" s="171" t="s">
        <v>91</v>
      </c>
      <c r="C51" s="175">
        <f>(+C$33+C$35)*C$39/C$40*C43*C47</f>
        <v>156806613.52641511</v>
      </c>
      <c r="D51" s="175">
        <f t="shared" ref="D51:E52" si="2">(+D$33+D$35)*D$39/D$40*D43*D47</f>
        <v>120769110.8490566</v>
      </c>
      <c r="E51" s="175">
        <f t="shared" si="2"/>
        <v>161025481.13207546</v>
      </c>
      <c r="F51" s="175">
        <f>SUM(C51:E51)</f>
        <v>438601205.50754714</v>
      </c>
    </row>
    <row r="52" spans="1:7" ht="14.7" x14ac:dyDescent="0.7">
      <c r="A52" s="139"/>
      <c r="B52" s="61" t="s">
        <v>88</v>
      </c>
      <c r="C52" s="62">
        <f>(+C$33+C$35)*C$39/C$40*C44*C48</f>
        <v>241509392.98641512</v>
      </c>
      <c r="D52" s="62">
        <f t="shared" si="2"/>
        <v>186005385.8490566</v>
      </c>
      <c r="E52" s="62">
        <f t="shared" si="2"/>
        <v>248007181.13207546</v>
      </c>
      <c r="F52" s="63">
        <f>SUM(C52:E52)</f>
        <v>675521959.96754718</v>
      </c>
    </row>
    <row r="53" spans="1:7" x14ac:dyDescent="0.4">
      <c r="A53" s="139"/>
      <c r="B53" s="148" t="s">
        <v>44</v>
      </c>
      <c r="C53" s="176">
        <f>+C52+C51</f>
        <v>398316006.51283026</v>
      </c>
      <c r="D53" s="176">
        <f>+D52+D51</f>
        <v>306774496.6981132</v>
      </c>
      <c r="E53" s="177">
        <f>+E52+E51</f>
        <v>409032662.26415092</v>
      </c>
      <c r="F53" s="176">
        <f>+F52+F51</f>
        <v>1114123165.4750943</v>
      </c>
    </row>
    <row r="54" spans="1:7" x14ac:dyDescent="0.4">
      <c r="B54" s="148"/>
      <c r="C54" s="179"/>
      <c r="D54" s="179"/>
      <c r="E54" s="179"/>
      <c r="F54" s="179"/>
    </row>
    <row r="55" spans="1:7" x14ac:dyDescent="0.4">
      <c r="B55" s="148" t="s">
        <v>369</v>
      </c>
      <c r="C55" s="179"/>
      <c r="D55" s="179" t="s">
        <v>3</v>
      </c>
      <c r="E55" s="179"/>
      <c r="F55" s="64">
        <f>ROUND(F53/(F47+F48),2)</f>
        <v>66.81</v>
      </c>
      <c r="G55" s="115" t="s">
        <v>370</v>
      </c>
    </row>
    <row r="56" spans="1:7" x14ac:dyDescent="0.4">
      <c r="B56" s="148"/>
      <c r="C56" s="179"/>
      <c r="D56" s="179"/>
      <c r="E56" s="179"/>
      <c r="F56" s="64"/>
    </row>
    <row r="57" spans="1:7" ht="12.5" customHeight="1" x14ac:dyDescent="0.4">
      <c r="A57" s="387" t="s">
        <v>432</v>
      </c>
      <c r="B57" s="387"/>
      <c r="C57" s="387"/>
      <c r="D57" s="387"/>
      <c r="E57" s="387"/>
      <c r="F57" s="191"/>
    </row>
    <row r="58" spans="1:7" x14ac:dyDescent="0.4">
      <c r="A58" s="387"/>
      <c r="B58" s="387"/>
      <c r="C58" s="387"/>
      <c r="D58" s="387"/>
      <c r="E58" s="387"/>
      <c r="F58" s="192"/>
    </row>
    <row r="59" spans="1:7" ht="15.5" customHeight="1" x14ac:dyDescent="0.4">
      <c r="A59" s="115" t="s">
        <v>371</v>
      </c>
      <c r="B59" s="150"/>
      <c r="C59" s="150"/>
      <c r="D59" s="150"/>
      <c r="E59" s="150"/>
      <c r="F59" s="193"/>
    </row>
    <row r="60" spans="1:7" x14ac:dyDescent="0.4">
      <c r="D60" s="131" t="s">
        <v>3</v>
      </c>
    </row>
    <row r="61" spans="1:7" x14ac:dyDescent="0.4">
      <c r="D61" s="131" t="s">
        <v>3</v>
      </c>
    </row>
  </sheetData>
  <mergeCells count="10">
    <mergeCell ref="D10:F10"/>
    <mergeCell ref="B1:F1"/>
    <mergeCell ref="B2:F2"/>
    <mergeCell ref="B3:F3"/>
    <mergeCell ref="A5:F5"/>
    <mergeCell ref="A24:F24"/>
    <mergeCell ref="A26:F26"/>
    <mergeCell ref="A27:F27"/>
    <mergeCell ref="G47:G48"/>
    <mergeCell ref="A57:E58"/>
  </mergeCells>
  <pageMargins left="0.97" right="0.79" top="0.69" bottom="0.69" header="0.33" footer="0.5"/>
  <pageSetup scale="58" orientation="landscape" r:id="rId1"/>
  <headerFooter alignWithMargins="0">
    <oddFooter>&amp;L&amp;A&amp;CPage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15BE1-09CD-48CC-8E01-FAB702B95F6D}">
  <sheetPr>
    <pageSetUpPr fitToPage="1"/>
  </sheetPr>
  <dimension ref="A1:I58"/>
  <sheetViews>
    <sheetView view="pageBreakPreview" zoomScale="71" zoomScaleNormal="100" zoomScaleSheetLayoutView="71" workbookViewId="0"/>
  </sheetViews>
  <sheetFormatPr defaultColWidth="8.87890625" defaultRowHeight="12.7" x14ac:dyDescent="0.4"/>
  <cols>
    <col min="1" max="1" width="5.64453125" style="115" customWidth="1"/>
    <col min="2" max="2" width="40.52734375" style="115" customWidth="1"/>
    <col min="3" max="4" width="13.64453125" style="115" customWidth="1"/>
    <col min="5" max="5" width="13.3515625" style="115" customWidth="1"/>
    <col min="6" max="6" width="13.8203125" style="115" bestFit="1" customWidth="1"/>
    <col min="7" max="7" width="37.8203125" style="115" customWidth="1"/>
    <col min="8" max="16384" width="8.87890625" style="115"/>
  </cols>
  <sheetData>
    <row r="1" spans="1:9" ht="15.35" x14ac:dyDescent="0.5">
      <c r="A1" s="128"/>
      <c r="B1" s="384" t="s">
        <v>0</v>
      </c>
      <c r="C1" s="384"/>
      <c r="D1" s="384"/>
      <c r="E1" s="384"/>
      <c r="F1" s="384"/>
    </row>
    <row r="2" spans="1:9" ht="15.35" x14ac:dyDescent="0.5">
      <c r="A2" s="128"/>
      <c r="B2" s="384" t="s">
        <v>372</v>
      </c>
      <c r="C2" s="384"/>
      <c r="D2" s="384"/>
      <c r="E2" s="384"/>
      <c r="F2" s="384"/>
    </row>
    <row r="3" spans="1:9" ht="35" customHeight="1" x14ac:dyDescent="0.55000000000000004">
      <c r="A3" s="181" t="s">
        <v>3</v>
      </c>
      <c r="B3" s="389" t="s">
        <v>326</v>
      </c>
      <c r="C3" s="384"/>
      <c r="D3" s="384"/>
      <c r="E3" s="384"/>
      <c r="F3" s="384"/>
    </row>
    <row r="4" spans="1:9" ht="17.7" x14ac:dyDescent="0.55000000000000004">
      <c r="A4" s="181"/>
      <c r="B4" s="53" t="s">
        <v>3</v>
      </c>
    </row>
    <row r="5" spans="1:9" ht="32" customHeight="1" x14ac:dyDescent="0.55000000000000004">
      <c r="A5" s="390" t="s">
        <v>373</v>
      </c>
      <c r="B5" s="390"/>
      <c r="C5" s="390"/>
      <c r="D5" s="390"/>
      <c r="E5" s="390"/>
      <c r="F5" s="390"/>
    </row>
    <row r="6" spans="1:9" x14ac:dyDescent="0.4">
      <c r="B6" s="115" t="s">
        <v>3</v>
      </c>
    </row>
    <row r="7" spans="1:9" ht="25.35" x14ac:dyDescent="0.4">
      <c r="C7" s="47" t="s">
        <v>374</v>
      </c>
      <c r="D7" s="129" t="s">
        <v>329</v>
      </c>
      <c r="E7" s="47"/>
    </row>
    <row r="8" spans="1:9" ht="14" customHeight="1" x14ac:dyDescent="0.4">
      <c r="A8" s="130">
        <v>1</v>
      </c>
      <c r="B8" s="113" t="str">
        <f>'Attachment 3 - 21-22'!B8</f>
        <v>Zonal Capacity Price ($/MW-day) - JCPL Zone</v>
      </c>
      <c r="C8" s="131">
        <v>155</v>
      </c>
      <c r="D8" s="85" t="s">
        <v>406</v>
      </c>
      <c r="E8" s="182"/>
      <c r="F8" s="182"/>
    </row>
    <row r="9" spans="1:9" x14ac:dyDescent="0.4">
      <c r="A9" s="130">
        <v>2</v>
      </c>
      <c r="B9" s="48" t="s">
        <v>330</v>
      </c>
      <c r="C9" s="132">
        <v>152.06</v>
      </c>
      <c r="D9" s="85" t="s">
        <v>433</v>
      </c>
      <c r="E9" s="129"/>
    </row>
    <row r="10" spans="1:9" x14ac:dyDescent="0.4">
      <c r="A10" s="130">
        <v>3</v>
      </c>
      <c r="B10" s="49" t="s">
        <v>331</v>
      </c>
      <c r="C10" s="133">
        <f>C8-C9</f>
        <v>2.9399999999999977</v>
      </c>
      <c r="D10" s="388" t="s">
        <v>332</v>
      </c>
      <c r="E10" s="388"/>
      <c r="F10" s="388"/>
    </row>
    <row r="11" spans="1:9" x14ac:dyDescent="0.4">
      <c r="A11" s="130">
        <f>A10+1</f>
        <v>4</v>
      </c>
      <c r="B11" s="49" t="s">
        <v>333</v>
      </c>
      <c r="C11" s="134">
        <f>'Attachment 3 - 21-22'!C11</f>
        <v>4655.7706674000001</v>
      </c>
      <c r="D11" s="135" t="s">
        <v>414</v>
      </c>
      <c r="E11" s="135"/>
    </row>
    <row r="12" spans="1:9" x14ac:dyDescent="0.4">
      <c r="A12" s="130">
        <f t="shared" ref="A12:A20" si="0">A11+1</f>
        <v>5</v>
      </c>
      <c r="B12" s="49" t="s">
        <v>334</v>
      </c>
      <c r="C12" s="183">
        <v>365</v>
      </c>
      <c r="D12" s="135"/>
      <c r="E12" s="135"/>
      <c r="I12" s="115" t="s">
        <v>375</v>
      </c>
    </row>
    <row r="13" spans="1:9" x14ac:dyDescent="0.4">
      <c r="A13" s="130">
        <f t="shared" si="0"/>
        <v>6</v>
      </c>
      <c r="B13" s="49" t="s">
        <v>335</v>
      </c>
      <c r="C13" s="137">
        <f>C10*C11*C12</f>
        <v>4996107.5031869356</v>
      </c>
      <c r="D13" s="138" t="s">
        <v>336</v>
      </c>
      <c r="E13" s="135"/>
    </row>
    <row r="14" spans="1:9" x14ac:dyDescent="0.4">
      <c r="A14" s="130">
        <f t="shared" si="0"/>
        <v>7</v>
      </c>
      <c r="B14" s="49" t="s">
        <v>337</v>
      </c>
      <c r="C14" s="140">
        <f>C39+D39</f>
        <v>35</v>
      </c>
      <c r="D14" s="135" t="s">
        <v>3</v>
      </c>
      <c r="E14" s="135"/>
    </row>
    <row r="15" spans="1:9" x14ac:dyDescent="0.4">
      <c r="A15" s="130">
        <f t="shared" si="0"/>
        <v>8</v>
      </c>
      <c r="B15" s="49" t="s">
        <v>338</v>
      </c>
      <c r="C15" s="136">
        <f>E40</f>
        <v>53</v>
      </c>
      <c r="D15" s="135"/>
      <c r="E15" s="135"/>
    </row>
    <row r="16" spans="1:9" x14ac:dyDescent="0.4">
      <c r="A16" s="130">
        <f t="shared" si="0"/>
        <v>9</v>
      </c>
      <c r="B16" s="49" t="s">
        <v>339</v>
      </c>
      <c r="C16" s="142">
        <f>C14/C15</f>
        <v>0.660377358490566</v>
      </c>
      <c r="D16" s="138" t="s">
        <v>340</v>
      </c>
      <c r="E16" s="135"/>
    </row>
    <row r="17" spans="1:7" s="143" customFormat="1" x14ac:dyDescent="0.4">
      <c r="A17" s="143">
        <f t="shared" si="0"/>
        <v>10</v>
      </c>
      <c r="B17" s="50" t="s">
        <v>341</v>
      </c>
      <c r="C17" s="144">
        <f>C13*C16</f>
        <v>3299316.2756894855</v>
      </c>
      <c r="D17" s="145" t="s">
        <v>342</v>
      </c>
      <c r="E17" s="146"/>
    </row>
    <row r="18" spans="1:7" ht="25.35" x14ac:dyDescent="0.4">
      <c r="A18" s="130">
        <f t="shared" si="0"/>
        <v>11</v>
      </c>
      <c r="B18" s="51" t="s">
        <v>343</v>
      </c>
      <c r="C18" s="147">
        <f>'Attachment 3 - 21-22'!C18</f>
        <v>16675947</v>
      </c>
      <c r="D18" s="148" t="s">
        <v>376</v>
      </c>
      <c r="E18" s="148"/>
    </row>
    <row r="19" spans="1:7" ht="25.35" x14ac:dyDescent="0.4">
      <c r="A19" s="130">
        <f t="shared" si="0"/>
        <v>12</v>
      </c>
      <c r="B19" s="51" t="s">
        <v>344</v>
      </c>
      <c r="C19" s="149">
        <f>C18*C16</f>
        <v>11012417.830188679</v>
      </c>
      <c r="D19" s="150" t="s">
        <v>345</v>
      </c>
      <c r="E19" s="148"/>
    </row>
    <row r="20" spans="1:7" x14ac:dyDescent="0.4">
      <c r="A20" s="115">
        <f t="shared" si="0"/>
        <v>13</v>
      </c>
      <c r="B20" s="48" t="s">
        <v>346</v>
      </c>
      <c r="C20" s="151">
        <f>ROUND(C17/C19,2)</f>
        <v>0.3</v>
      </c>
      <c r="D20" s="150" t="s">
        <v>347</v>
      </c>
      <c r="E20" s="148"/>
    </row>
    <row r="21" spans="1:7" x14ac:dyDescent="0.4">
      <c r="A21" s="130"/>
      <c r="B21" s="51"/>
      <c r="C21" s="152"/>
      <c r="D21" s="138"/>
      <c r="E21" s="135"/>
    </row>
    <row r="22" spans="1:7" x14ac:dyDescent="0.4">
      <c r="A22" s="115" t="s">
        <v>348</v>
      </c>
      <c r="B22" s="51"/>
      <c r="C22" s="152"/>
      <c r="D22" s="138"/>
      <c r="E22" s="135"/>
    </row>
    <row r="23" spans="1:7" x14ac:dyDescent="0.4">
      <c r="A23" s="130"/>
      <c r="B23" s="51"/>
      <c r="C23" s="152"/>
      <c r="D23" s="138"/>
      <c r="E23" s="135"/>
    </row>
    <row r="24" spans="1:7" ht="15.35" x14ac:dyDescent="0.5">
      <c r="A24" s="385" t="s">
        <v>349</v>
      </c>
      <c r="B24" s="385"/>
      <c r="C24" s="385"/>
      <c r="D24" s="385"/>
      <c r="E24" s="385"/>
      <c r="F24" s="385"/>
      <c r="G24" s="385"/>
    </row>
    <row r="25" spans="1:7" x14ac:dyDescent="0.4">
      <c r="A25" s="155"/>
    </row>
    <row r="26" spans="1:7" ht="15.35" x14ac:dyDescent="0.5">
      <c r="A26" s="385" t="s">
        <v>350</v>
      </c>
      <c r="B26" s="385"/>
      <c r="C26" s="385"/>
      <c r="D26" s="385"/>
      <c r="E26" s="385"/>
      <c r="F26" s="385"/>
      <c r="G26" s="385"/>
    </row>
    <row r="27" spans="1:7" ht="15.35" x14ac:dyDescent="0.5">
      <c r="A27" s="385" t="s">
        <v>377</v>
      </c>
      <c r="B27" s="385"/>
      <c r="C27" s="385"/>
      <c r="D27" s="385"/>
      <c r="E27" s="385"/>
      <c r="F27" s="385"/>
      <c r="G27" s="385"/>
    </row>
    <row r="28" spans="1:7" x14ac:dyDescent="0.4">
      <c r="B28" s="53"/>
      <c r="F28" s="156"/>
    </row>
    <row r="29" spans="1:7" ht="53.45" customHeight="1" x14ac:dyDescent="0.4">
      <c r="B29" s="53"/>
      <c r="C29" s="54" t="s">
        <v>409</v>
      </c>
      <c r="D29" s="54" t="s">
        <v>411</v>
      </c>
      <c r="E29" s="54" t="s">
        <v>412</v>
      </c>
      <c r="F29" s="54" t="s">
        <v>352</v>
      </c>
    </row>
    <row r="30" spans="1:7" x14ac:dyDescent="0.4">
      <c r="B30" s="53"/>
      <c r="C30" s="55" t="s">
        <v>354</v>
      </c>
      <c r="D30" s="55" t="s">
        <v>355</v>
      </c>
      <c r="E30" s="56" t="s">
        <v>378</v>
      </c>
      <c r="F30" s="54"/>
    </row>
    <row r="31" spans="1:7" ht="25.35" x14ac:dyDescent="0.4">
      <c r="B31" s="57"/>
      <c r="C31" s="157" t="s">
        <v>356</v>
      </c>
      <c r="D31" s="157" t="s">
        <v>357</v>
      </c>
      <c r="E31" s="158" t="s">
        <v>358</v>
      </c>
      <c r="F31" s="157"/>
    </row>
    <row r="32" spans="1:7" x14ac:dyDescent="0.4">
      <c r="C32" s="159"/>
      <c r="D32" s="159"/>
      <c r="E32" s="159"/>
      <c r="F32" s="160"/>
    </row>
    <row r="33" spans="1:8" x14ac:dyDescent="0.4">
      <c r="A33" s="139"/>
      <c r="B33" s="148" t="s">
        <v>359</v>
      </c>
      <c r="C33" s="161">
        <f>'Attachment 3 - 21-22'!D33</f>
        <v>72.430000000000007</v>
      </c>
      <c r="D33" s="161">
        <f>'Attachment 3 - 21-22'!E33</f>
        <v>65</v>
      </c>
      <c r="E33" s="184">
        <f>'Attachment 3 - 21-22'!E33</f>
        <v>65</v>
      </c>
      <c r="F33" s="163"/>
      <c r="G33" s="115" t="s">
        <v>3</v>
      </c>
      <c r="H33" s="164"/>
    </row>
    <row r="34" spans="1:8" x14ac:dyDescent="0.4">
      <c r="A34" s="139"/>
      <c r="B34" s="148" t="str">
        <f>'Attachment 3 - 21-22'!B34</f>
        <v>Capacity Proxy Price True-Up - in $/MWh</v>
      </c>
      <c r="C34" s="161">
        <f>C20</f>
        <v>0.3</v>
      </c>
      <c r="D34" s="161">
        <f>C20</f>
        <v>0.3</v>
      </c>
      <c r="E34" s="185"/>
      <c r="F34" s="163"/>
      <c r="G34" s="115" t="s">
        <v>3</v>
      </c>
      <c r="H34" s="164"/>
    </row>
    <row r="35" spans="1:8" x14ac:dyDescent="0.4">
      <c r="A35" s="139"/>
      <c r="B35" s="114" t="s">
        <v>404</v>
      </c>
      <c r="C35" s="65">
        <f>'Attachment 3 - 21-22'!D35</f>
        <v>-7.43</v>
      </c>
      <c r="D35" s="66"/>
      <c r="E35" s="67"/>
      <c r="F35" s="163"/>
      <c r="H35" s="164"/>
    </row>
    <row r="36" spans="1:8" x14ac:dyDescent="0.4">
      <c r="A36" s="139"/>
      <c r="C36" s="161">
        <f>SUM(C33:C35)</f>
        <v>65.300000000000011</v>
      </c>
      <c r="D36" s="161">
        <f>SUM(D33:D35)</f>
        <v>65.3</v>
      </c>
      <c r="E36" s="161">
        <f>SUM(E33:E35)</f>
        <v>65</v>
      </c>
      <c r="F36" s="163"/>
      <c r="H36" s="164"/>
    </row>
    <row r="37" spans="1:8" x14ac:dyDescent="0.4">
      <c r="A37" s="139"/>
      <c r="C37" s="161"/>
      <c r="D37" s="161"/>
      <c r="E37" s="161"/>
      <c r="F37" s="163"/>
      <c r="H37" s="164"/>
    </row>
    <row r="38" spans="1:8" x14ac:dyDescent="0.4">
      <c r="B38" s="58" t="s">
        <v>362</v>
      </c>
      <c r="C38" s="161"/>
      <c r="D38" s="161"/>
      <c r="E38" s="161"/>
      <c r="F38" s="163"/>
      <c r="H38" s="164"/>
    </row>
    <row r="39" spans="1:8" x14ac:dyDescent="0.4">
      <c r="A39" s="139"/>
      <c r="B39" s="148" t="s">
        <v>363</v>
      </c>
      <c r="C39" s="165">
        <f>'Attachment 3 - 21-22'!D39</f>
        <v>15</v>
      </c>
      <c r="D39" s="165">
        <f>'Attachment 3 - 21-22'!E39</f>
        <v>20</v>
      </c>
      <c r="E39" s="165">
        <f>53-SUM(C39:D39)</f>
        <v>18</v>
      </c>
      <c r="F39" s="166"/>
    </row>
    <row r="40" spans="1:8" x14ac:dyDescent="0.4">
      <c r="A40" s="139"/>
      <c r="B40" s="148" t="s">
        <v>362</v>
      </c>
      <c r="C40" s="165">
        <f>C39+D39+E39</f>
        <v>53</v>
      </c>
      <c r="D40" s="165">
        <f>C40</f>
        <v>53</v>
      </c>
      <c r="E40" s="165">
        <f>C40</f>
        <v>53</v>
      </c>
      <c r="F40" s="167"/>
    </row>
    <row r="41" spans="1:8" x14ac:dyDescent="0.4">
      <c r="A41" s="139"/>
      <c r="B41" s="148"/>
      <c r="C41" s="168"/>
      <c r="D41" s="168"/>
      <c r="E41" s="168"/>
      <c r="F41" s="167"/>
    </row>
    <row r="42" spans="1:8" x14ac:dyDescent="0.4">
      <c r="B42" s="58" t="s">
        <v>364</v>
      </c>
      <c r="C42" s="169"/>
      <c r="D42" s="169"/>
      <c r="E42" s="170"/>
      <c r="F42" s="170"/>
      <c r="G42" s="115" t="s">
        <v>3</v>
      </c>
    </row>
    <row r="43" spans="1:8" x14ac:dyDescent="0.4">
      <c r="A43" s="139"/>
      <c r="B43" s="171" t="s">
        <v>91</v>
      </c>
      <c r="C43" s="172">
        <f>'Attachment 3 - 21-22'!C43</f>
        <v>1</v>
      </c>
      <c r="D43" s="172">
        <f>'Attachment 3 - 21-22'!D43</f>
        <v>1</v>
      </c>
      <c r="E43" s="172">
        <f>'Attachment 3 - 21-22'!E43</f>
        <v>1</v>
      </c>
      <c r="F43" s="173"/>
    </row>
    <row r="44" spans="1:8" x14ac:dyDescent="0.4">
      <c r="A44" s="139"/>
      <c r="B44" s="171" t="s">
        <v>88</v>
      </c>
      <c r="C44" s="172">
        <f>'Attachment 3 - 21-22'!C44</f>
        <v>1</v>
      </c>
      <c r="D44" s="172">
        <f>'Attachment 3 - 21-22'!D44</f>
        <v>1</v>
      </c>
      <c r="E44" s="172">
        <f>'Attachment 3 - 21-22'!E44</f>
        <v>1</v>
      </c>
      <c r="F44" s="172"/>
    </row>
    <row r="45" spans="1:8" x14ac:dyDescent="0.4">
      <c r="A45" s="139"/>
      <c r="B45" s="148"/>
      <c r="C45" s="169"/>
      <c r="D45" s="169"/>
      <c r="E45" s="170"/>
      <c r="F45" s="169"/>
    </row>
    <row r="46" spans="1:8" ht="25.5" customHeight="1" x14ac:dyDescent="0.4">
      <c r="B46" s="59" t="s">
        <v>365</v>
      </c>
      <c r="C46" s="169"/>
      <c r="D46" s="170"/>
      <c r="E46" s="170"/>
      <c r="F46" s="169"/>
    </row>
    <row r="47" spans="1:8" x14ac:dyDescent="0.4">
      <c r="A47" s="139"/>
      <c r="B47" s="148" t="s">
        <v>366</v>
      </c>
      <c r="C47" s="174">
        <f>'Attachment 3 - 21-22'!C47</f>
        <v>6564885</v>
      </c>
      <c r="D47" s="174">
        <f>'Attachment 3 - 21-22'!D47</f>
        <v>6564885</v>
      </c>
      <c r="E47" s="174">
        <f>'Attachment 3 - 21-22'!E47</f>
        <v>6564885</v>
      </c>
      <c r="F47" s="174">
        <f t="shared" ref="F47:F48" si="1">E47</f>
        <v>6564885</v>
      </c>
      <c r="G47" s="386"/>
    </row>
    <row r="48" spans="1:8" x14ac:dyDescent="0.4">
      <c r="A48" s="139"/>
      <c r="B48" s="148" t="s">
        <v>367</v>
      </c>
      <c r="C48" s="174">
        <f>'Attachment 3 - 21-22'!C48</f>
        <v>10111062</v>
      </c>
      <c r="D48" s="174">
        <f>'Attachment 3 - 21-22'!D48</f>
        <v>10111062</v>
      </c>
      <c r="E48" s="174">
        <f>'Attachment 3 - 21-22'!E48</f>
        <v>10111062</v>
      </c>
      <c r="F48" s="174">
        <f t="shared" si="1"/>
        <v>10111062</v>
      </c>
      <c r="G48" s="386"/>
    </row>
    <row r="49" spans="1:8" x14ac:dyDescent="0.4">
      <c r="A49" s="139"/>
      <c r="B49" s="60"/>
      <c r="C49" s="169"/>
      <c r="D49" s="169"/>
      <c r="E49" s="170"/>
      <c r="F49" s="169"/>
    </row>
    <row r="50" spans="1:8" x14ac:dyDescent="0.4">
      <c r="B50" s="58" t="s">
        <v>368</v>
      </c>
      <c r="C50" s="169"/>
      <c r="D50" s="169"/>
      <c r="E50" s="170"/>
      <c r="F50" s="169"/>
    </row>
    <row r="51" spans="1:8" x14ac:dyDescent="0.4">
      <c r="A51" s="139"/>
      <c r="B51" s="171" t="s">
        <v>91</v>
      </c>
      <c r="C51" s="175">
        <f t="shared" ref="C51:E52" si="2">+(C$33+C$35)*C$39/C$40*C43*C47+(C$34)*C$39/C$40*C47</f>
        <v>121326506.74528302</v>
      </c>
      <c r="D51" s="175">
        <f t="shared" si="2"/>
        <v>161768675.66037735</v>
      </c>
      <c r="E51" s="175">
        <f t="shared" si="2"/>
        <v>144922933.01886794</v>
      </c>
      <c r="F51" s="175">
        <f>SUM(C51:E51)</f>
        <v>428018115.42452836</v>
      </c>
    </row>
    <row r="52" spans="1:8" ht="14.7" x14ac:dyDescent="0.7">
      <c r="A52" s="139"/>
      <c r="B52" s="61" t="s">
        <v>88</v>
      </c>
      <c r="C52" s="62">
        <f t="shared" si="2"/>
        <v>186863872.24528301</v>
      </c>
      <c r="D52" s="62">
        <f t="shared" si="2"/>
        <v>249151829.66037735</v>
      </c>
      <c r="E52" s="62">
        <f t="shared" si="2"/>
        <v>223206463.01886794</v>
      </c>
      <c r="F52" s="63">
        <f>SUM(C52:E52)</f>
        <v>659222164.92452836</v>
      </c>
    </row>
    <row r="53" spans="1:8" x14ac:dyDescent="0.4">
      <c r="A53" s="139"/>
      <c r="B53" s="148" t="s">
        <v>44</v>
      </c>
      <c r="C53" s="176">
        <f>+C52+C51</f>
        <v>308190378.99056602</v>
      </c>
      <c r="D53" s="176">
        <f>+D52+D51</f>
        <v>410920505.32075471</v>
      </c>
      <c r="E53" s="177">
        <f>+E52+E51</f>
        <v>368129396.03773588</v>
      </c>
      <c r="F53" s="176">
        <f>+F52+F51</f>
        <v>1087240280.3490567</v>
      </c>
      <c r="H53" s="178"/>
    </row>
    <row r="54" spans="1:8" x14ac:dyDescent="0.4">
      <c r="B54" s="148"/>
      <c r="C54" s="179"/>
      <c r="D54" s="179"/>
      <c r="E54" s="179"/>
      <c r="F54" s="179"/>
    </row>
    <row r="55" spans="1:8" x14ac:dyDescent="0.4">
      <c r="B55" s="148" t="s">
        <v>369</v>
      </c>
      <c r="C55" s="179"/>
      <c r="D55" s="179" t="s">
        <v>3</v>
      </c>
      <c r="E55" s="179"/>
      <c r="F55" s="64">
        <f>ROUND(F53/(F47+F48),2)</f>
        <v>65.2</v>
      </c>
      <c r="G55" s="115" t="s">
        <v>379</v>
      </c>
    </row>
    <row r="56" spans="1:8" x14ac:dyDescent="0.4">
      <c r="B56" s="148"/>
      <c r="C56" s="179"/>
      <c r="D56" s="179"/>
      <c r="E56" s="179"/>
      <c r="F56" s="64"/>
    </row>
    <row r="57" spans="1:8" x14ac:dyDescent="0.4">
      <c r="B57" s="148"/>
      <c r="C57" s="179"/>
      <c r="D57" s="179"/>
      <c r="E57" s="179"/>
      <c r="F57" s="64"/>
    </row>
    <row r="58" spans="1:8" x14ac:dyDescent="0.4">
      <c r="A58" s="115" t="s">
        <v>405</v>
      </c>
    </row>
  </sheetData>
  <mergeCells count="9">
    <mergeCell ref="A26:G26"/>
    <mergeCell ref="A27:G27"/>
    <mergeCell ref="G47:G48"/>
    <mergeCell ref="D10:F10"/>
    <mergeCell ref="B1:F1"/>
    <mergeCell ref="B2:F2"/>
    <mergeCell ref="B3:F3"/>
    <mergeCell ref="A5:F5"/>
    <mergeCell ref="A24:G24"/>
  </mergeCells>
  <pageMargins left="0.97" right="0.79" top="0.69" bottom="0.69" header="0.33" footer="0.5"/>
  <pageSetup scale="56" orientation="landscape" r:id="rId1"/>
  <headerFooter alignWithMargins="0">
    <oddFooter>&amp;L&amp;A&amp;CPage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A3070-294A-4C09-B1DD-CD74687512C2}">
  <sheetPr>
    <pageSetUpPr fitToPage="1"/>
  </sheetPr>
  <dimension ref="A1:P59"/>
  <sheetViews>
    <sheetView view="pageBreakPreview" zoomScale="59" zoomScaleNormal="71" zoomScaleSheetLayoutView="59" workbookViewId="0">
      <selection activeCell="T50" sqref="T50"/>
    </sheetView>
  </sheetViews>
  <sheetFormatPr defaultColWidth="8.87890625" defaultRowHeight="12.7" x14ac:dyDescent="0.4"/>
  <cols>
    <col min="1" max="1" width="5.64453125" style="115" customWidth="1"/>
    <col min="2" max="2" width="43.05859375" style="115" customWidth="1"/>
    <col min="3" max="3" width="14.05859375" style="115" customWidth="1"/>
    <col min="4" max="4" width="12.64453125" style="115" customWidth="1"/>
    <col min="5" max="5" width="12.46875" style="115" customWidth="1"/>
    <col min="6" max="6" width="14.46875" style="115" bestFit="1" customWidth="1"/>
    <col min="7" max="7" width="48.8203125" style="115" customWidth="1"/>
    <col min="8" max="8" width="20.8203125" style="115" customWidth="1"/>
    <col min="9" max="16384" width="8.87890625" style="115"/>
  </cols>
  <sheetData>
    <row r="1" spans="1:16" ht="15.35" x14ac:dyDescent="0.5">
      <c r="A1" s="128"/>
      <c r="B1" s="384" t="s">
        <v>0</v>
      </c>
      <c r="C1" s="384"/>
      <c r="D1" s="384"/>
      <c r="E1" s="384"/>
      <c r="F1" s="384"/>
    </row>
    <row r="2" spans="1:16" ht="15.35" x14ac:dyDescent="0.5">
      <c r="A2" s="128"/>
      <c r="B2" s="384" t="s">
        <v>380</v>
      </c>
      <c r="C2" s="384"/>
      <c r="D2" s="384"/>
      <c r="E2" s="384"/>
      <c r="F2" s="384"/>
    </row>
    <row r="3" spans="1:16" ht="33" customHeight="1" x14ac:dyDescent="0.5">
      <c r="A3" s="128"/>
      <c r="B3" s="389" t="s">
        <v>326</v>
      </c>
      <c r="C3" s="384"/>
      <c r="D3" s="384"/>
      <c r="E3" s="384"/>
      <c r="F3" s="384"/>
    </row>
    <row r="4" spans="1:16" ht="15.35" x14ac:dyDescent="0.5">
      <c r="A4" s="128"/>
      <c r="B4" s="117"/>
      <c r="C4" s="117"/>
      <c r="D4" s="117"/>
      <c r="E4" s="117"/>
      <c r="F4" s="117"/>
    </row>
    <row r="5" spans="1:16" ht="32" customHeight="1" x14ac:dyDescent="0.55000000000000004">
      <c r="A5" s="390" t="s">
        <v>381</v>
      </c>
      <c r="B5" s="390"/>
      <c r="C5" s="390"/>
      <c r="D5" s="390"/>
      <c r="E5" s="390"/>
      <c r="F5" s="390"/>
    </row>
    <row r="7" spans="1:16" ht="25.35" x14ac:dyDescent="0.4">
      <c r="C7" s="47" t="s">
        <v>382</v>
      </c>
      <c r="D7" s="129" t="s">
        <v>329</v>
      </c>
      <c r="E7" s="47"/>
    </row>
    <row r="8" spans="1:16" ht="14.5" customHeight="1" x14ac:dyDescent="0.4">
      <c r="A8" s="130">
        <v>1</v>
      </c>
      <c r="B8" s="50" t="str">
        <f>'Attachment 3 - 21-22'!B8</f>
        <v>Zonal Capacity Price ($/MW-day) - JCPL Zone</v>
      </c>
      <c r="C8" s="131">
        <v>155</v>
      </c>
      <c r="D8" s="85" t="s">
        <v>406</v>
      </c>
      <c r="E8" s="85"/>
      <c r="F8" s="85"/>
    </row>
    <row r="9" spans="1:16" ht="18" customHeight="1" x14ac:dyDescent="0.4">
      <c r="A9" s="130">
        <v>2</v>
      </c>
      <c r="B9" s="48" t="s">
        <v>330</v>
      </c>
      <c r="C9" s="132">
        <v>146.51</v>
      </c>
      <c r="D9" s="85" t="str">
        <f>'Attachment 3 - 22-23'!D9</f>
        <v>BGS Order Docket No. ER20030190 dated Nov. 18, 2020</v>
      </c>
      <c r="E9" s="129"/>
    </row>
    <row r="10" spans="1:16" ht="18" customHeight="1" x14ac:dyDescent="0.4">
      <c r="A10" s="130">
        <v>3</v>
      </c>
      <c r="B10" s="49" t="s">
        <v>331</v>
      </c>
      <c r="C10" s="133">
        <f>C8-C9</f>
        <v>8.4900000000000091</v>
      </c>
      <c r="D10" s="388" t="s">
        <v>383</v>
      </c>
      <c r="E10" s="388"/>
      <c r="F10" s="388"/>
    </row>
    <row r="11" spans="1:16" ht="18" customHeight="1" x14ac:dyDescent="0.4">
      <c r="A11" s="130">
        <f>A10+1</f>
        <v>4</v>
      </c>
      <c r="B11" s="49" t="s">
        <v>333</v>
      </c>
      <c r="C11" s="134">
        <f>'Attachment 3 - 21-22'!C11</f>
        <v>4655.7706674000001</v>
      </c>
      <c r="D11" s="135" t="str">
        <f>'Attachment 3 - 22-23'!D11</f>
        <v>Table #10 of the 2021 BGS Auction Cost and Bid Factor Tables - Illustrative Only</v>
      </c>
      <c r="E11" s="135"/>
    </row>
    <row r="12" spans="1:16" x14ac:dyDescent="0.4">
      <c r="A12" s="130">
        <f t="shared" ref="A12:A20" si="0">A11+1</f>
        <v>5</v>
      </c>
      <c r="B12" s="49" t="s">
        <v>334</v>
      </c>
      <c r="C12" s="136">
        <v>366</v>
      </c>
      <c r="D12" s="135"/>
      <c r="E12" s="135"/>
    </row>
    <row r="13" spans="1:16" x14ac:dyDescent="0.4">
      <c r="A13" s="130">
        <f t="shared" si="0"/>
        <v>6</v>
      </c>
      <c r="B13" s="49" t="s">
        <v>335</v>
      </c>
      <c r="C13" s="137">
        <f>C10*C11*C12</f>
        <v>14467062.425638732</v>
      </c>
      <c r="D13" s="138" t="s">
        <v>336</v>
      </c>
      <c r="E13" s="135"/>
      <c r="I13" s="139"/>
      <c r="O13" s="139"/>
    </row>
    <row r="14" spans="1:16" x14ac:dyDescent="0.4">
      <c r="A14" s="130">
        <f t="shared" si="0"/>
        <v>7</v>
      </c>
      <c r="B14" s="49" t="s">
        <v>337</v>
      </c>
      <c r="C14" s="140">
        <f>C37</f>
        <v>20</v>
      </c>
      <c r="D14" s="135"/>
      <c r="E14" s="135"/>
      <c r="I14" s="139"/>
      <c r="J14" s="141"/>
      <c r="O14" s="139"/>
      <c r="P14" s="141"/>
    </row>
    <row r="15" spans="1:16" x14ac:dyDescent="0.4">
      <c r="A15" s="130">
        <f t="shared" si="0"/>
        <v>8</v>
      </c>
      <c r="B15" s="49" t="s">
        <v>338</v>
      </c>
      <c r="C15" s="136">
        <f>E38</f>
        <v>53</v>
      </c>
      <c r="D15" s="135"/>
      <c r="E15" s="135"/>
      <c r="J15" s="141"/>
      <c r="P15" s="141"/>
    </row>
    <row r="16" spans="1:16" ht="18" customHeight="1" x14ac:dyDescent="0.4">
      <c r="A16" s="130">
        <f t="shared" si="0"/>
        <v>9</v>
      </c>
      <c r="B16" s="49" t="s">
        <v>339</v>
      </c>
      <c r="C16" s="142">
        <f>C14/C15</f>
        <v>0.37735849056603776</v>
      </c>
      <c r="D16" s="138" t="s">
        <v>340</v>
      </c>
      <c r="E16" s="135"/>
      <c r="J16" s="141"/>
      <c r="P16" s="141"/>
    </row>
    <row r="17" spans="1:7" s="143" customFormat="1" ht="18" customHeight="1" x14ac:dyDescent="0.4">
      <c r="A17" s="143">
        <f t="shared" si="0"/>
        <v>10</v>
      </c>
      <c r="B17" s="50" t="s">
        <v>341</v>
      </c>
      <c r="C17" s="144">
        <f>C13*C16</f>
        <v>5459268.8398636729</v>
      </c>
      <c r="D17" s="145" t="s">
        <v>342</v>
      </c>
      <c r="E17" s="146"/>
    </row>
    <row r="18" spans="1:7" ht="25.35" x14ac:dyDescent="0.4">
      <c r="A18" s="130">
        <f t="shared" si="0"/>
        <v>11</v>
      </c>
      <c r="B18" s="51" t="s">
        <v>343</v>
      </c>
      <c r="C18" s="147">
        <f>'Attachment 3 - 21-22'!C18</f>
        <v>16675947</v>
      </c>
      <c r="D18" s="148" t="s">
        <v>410</v>
      </c>
      <c r="E18" s="148"/>
    </row>
    <row r="19" spans="1:7" ht="25.35" x14ac:dyDescent="0.4">
      <c r="A19" s="130">
        <f t="shared" si="0"/>
        <v>12</v>
      </c>
      <c r="B19" s="51" t="s">
        <v>344</v>
      </c>
      <c r="C19" s="149">
        <f>C18*C16</f>
        <v>6292810.1886792453</v>
      </c>
      <c r="D19" s="150" t="s">
        <v>345</v>
      </c>
      <c r="E19" s="148"/>
    </row>
    <row r="20" spans="1:7" ht="18" customHeight="1" x14ac:dyDescent="0.4">
      <c r="A20" s="115">
        <f t="shared" si="0"/>
        <v>13</v>
      </c>
      <c r="B20" s="48" t="s">
        <v>346</v>
      </c>
      <c r="C20" s="151">
        <f>ROUND(C17/C19,2)</f>
        <v>0.87</v>
      </c>
      <c r="D20" s="150" t="s">
        <v>347</v>
      </c>
      <c r="E20" s="148"/>
    </row>
    <row r="21" spans="1:7" x14ac:dyDescent="0.4">
      <c r="A21" s="130"/>
      <c r="B21" s="51"/>
      <c r="C21" s="152"/>
      <c r="D21" s="138"/>
      <c r="E21" s="135"/>
    </row>
    <row r="22" spans="1:7" x14ac:dyDescent="0.4">
      <c r="A22" s="115" t="s">
        <v>348</v>
      </c>
      <c r="B22" s="51"/>
      <c r="C22" s="152"/>
      <c r="D22" s="138"/>
      <c r="E22" s="135"/>
    </row>
    <row r="23" spans="1:7" x14ac:dyDescent="0.4">
      <c r="A23" s="153"/>
      <c r="B23" s="154"/>
      <c r="C23" s="154"/>
      <c r="D23" s="154"/>
      <c r="E23" s="154"/>
      <c r="F23" s="154"/>
    </row>
    <row r="24" spans="1:7" ht="15.35" x14ac:dyDescent="0.5">
      <c r="A24" s="385" t="s">
        <v>349</v>
      </c>
      <c r="B24" s="385"/>
      <c r="C24" s="385"/>
      <c r="D24" s="385"/>
      <c r="E24" s="385"/>
      <c r="F24" s="385"/>
      <c r="G24" s="385"/>
    </row>
    <row r="25" spans="1:7" x14ac:dyDescent="0.4">
      <c r="A25" s="155"/>
    </row>
    <row r="26" spans="1:7" ht="15.35" x14ac:dyDescent="0.5">
      <c r="A26" s="385" t="s">
        <v>350</v>
      </c>
      <c r="B26" s="385"/>
      <c r="C26" s="385"/>
      <c r="D26" s="385"/>
      <c r="E26" s="385"/>
      <c r="F26" s="385"/>
      <c r="G26" s="385"/>
    </row>
    <row r="27" spans="1:7" ht="15.35" x14ac:dyDescent="0.5">
      <c r="A27" s="385" t="s">
        <v>384</v>
      </c>
      <c r="B27" s="385"/>
      <c r="C27" s="385"/>
      <c r="D27" s="385"/>
      <c r="E27" s="385"/>
      <c r="F27" s="385"/>
      <c r="G27" s="385"/>
    </row>
    <row r="28" spans="1:7" x14ac:dyDescent="0.4">
      <c r="F28" s="156"/>
    </row>
    <row r="29" spans="1:7" ht="53.45" customHeight="1" x14ac:dyDescent="0.4">
      <c r="B29" s="53"/>
      <c r="C29" s="54" t="s">
        <v>411</v>
      </c>
      <c r="D29" s="54" t="s">
        <v>412</v>
      </c>
      <c r="E29" s="54" t="s">
        <v>413</v>
      </c>
      <c r="F29" s="54" t="s">
        <v>352</v>
      </c>
    </row>
    <row r="30" spans="1:7" x14ac:dyDescent="0.4">
      <c r="B30" s="53"/>
      <c r="C30" s="56" t="s">
        <v>355</v>
      </c>
      <c r="D30" s="55" t="s">
        <v>378</v>
      </c>
      <c r="E30" s="56" t="s">
        <v>385</v>
      </c>
      <c r="F30" s="54"/>
    </row>
    <row r="31" spans="1:7" ht="25.35" x14ac:dyDescent="0.4">
      <c r="B31" s="57"/>
      <c r="C31" s="157" t="s">
        <v>356</v>
      </c>
      <c r="D31" s="157" t="s">
        <v>357</v>
      </c>
      <c r="E31" s="158" t="s">
        <v>358</v>
      </c>
      <c r="F31" s="157"/>
    </row>
    <row r="32" spans="1:7" x14ac:dyDescent="0.4">
      <c r="C32" s="159"/>
      <c r="D32" s="159"/>
      <c r="E32" s="159"/>
      <c r="F32" s="160"/>
    </row>
    <row r="33" spans="1:8" x14ac:dyDescent="0.4">
      <c r="A33" s="139"/>
      <c r="B33" s="148" t="s">
        <v>359</v>
      </c>
      <c r="C33" s="161">
        <f>'Attachment 3 - 21-22'!E33</f>
        <v>65</v>
      </c>
      <c r="D33" s="161">
        <f>C33</f>
        <v>65</v>
      </c>
      <c r="E33" s="162">
        <f>D33</f>
        <v>65</v>
      </c>
      <c r="F33" s="163"/>
      <c r="G33" s="115" t="s">
        <v>3</v>
      </c>
      <c r="H33" s="164"/>
    </row>
    <row r="34" spans="1:8" x14ac:dyDescent="0.4">
      <c r="A34" s="139"/>
      <c r="B34" s="58" t="str">
        <f>'Attachment 3 - 21-22'!B34</f>
        <v>Capacity Proxy Price True-Up - in $/MWh</v>
      </c>
      <c r="C34" s="65">
        <f>C20</f>
        <v>0.87</v>
      </c>
      <c r="D34" s="66"/>
      <c r="E34" s="67"/>
      <c r="F34" s="163"/>
      <c r="G34" s="115" t="s">
        <v>3</v>
      </c>
      <c r="H34" s="164"/>
    </row>
    <row r="35" spans="1:8" x14ac:dyDescent="0.4">
      <c r="A35" s="139"/>
      <c r="C35" s="161">
        <f>C33+C34</f>
        <v>65.87</v>
      </c>
      <c r="D35" s="161">
        <f t="shared" ref="D35:E35" si="1">D33+D34</f>
        <v>65</v>
      </c>
      <c r="E35" s="161">
        <f t="shared" si="1"/>
        <v>65</v>
      </c>
      <c r="F35" s="163"/>
      <c r="H35" s="164"/>
    </row>
    <row r="36" spans="1:8" x14ac:dyDescent="0.4">
      <c r="B36" s="58" t="s">
        <v>362</v>
      </c>
      <c r="C36" s="161"/>
      <c r="D36" s="161"/>
      <c r="E36" s="161"/>
      <c r="F36" s="163"/>
      <c r="H36" s="164"/>
    </row>
    <row r="37" spans="1:8" x14ac:dyDescent="0.4">
      <c r="A37" s="139"/>
      <c r="B37" s="148" t="s">
        <v>363</v>
      </c>
      <c r="C37" s="165">
        <v>20</v>
      </c>
      <c r="D37" s="165">
        <v>18</v>
      </c>
      <c r="E37" s="165">
        <v>15</v>
      </c>
      <c r="F37" s="166"/>
    </row>
    <row r="38" spans="1:8" x14ac:dyDescent="0.4">
      <c r="A38" s="139"/>
      <c r="B38" s="148" t="s">
        <v>362</v>
      </c>
      <c r="C38" s="165">
        <f>C37+D37+E37</f>
        <v>53</v>
      </c>
      <c r="D38" s="165">
        <f>C38</f>
        <v>53</v>
      </c>
      <c r="E38" s="165">
        <f>C38</f>
        <v>53</v>
      </c>
      <c r="F38" s="167"/>
    </row>
    <row r="39" spans="1:8" x14ac:dyDescent="0.4">
      <c r="A39" s="139"/>
      <c r="B39" s="148"/>
      <c r="C39" s="168"/>
      <c r="D39" s="168"/>
      <c r="E39" s="168"/>
      <c r="F39" s="167"/>
    </row>
    <row r="40" spans="1:8" x14ac:dyDescent="0.4">
      <c r="B40" s="58" t="s">
        <v>364</v>
      </c>
      <c r="C40" s="169"/>
      <c r="D40" s="169"/>
      <c r="E40" s="170"/>
      <c r="F40" s="170"/>
      <c r="G40" s="115" t="s">
        <v>3</v>
      </c>
    </row>
    <row r="41" spans="1:8" x14ac:dyDescent="0.4">
      <c r="A41" s="139"/>
      <c r="B41" s="171" t="s">
        <v>91</v>
      </c>
      <c r="C41" s="172">
        <f>'Attachment 3 - 21-22'!C43</f>
        <v>1</v>
      </c>
      <c r="D41" s="172">
        <f>'Attachment 3 - 21-22'!D43</f>
        <v>1</v>
      </c>
      <c r="E41" s="172">
        <f>'Attachment 3 - 21-22'!E43</f>
        <v>1</v>
      </c>
      <c r="F41" s="173"/>
    </row>
    <row r="42" spans="1:8" x14ac:dyDescent="0.4">
      <c r="A42" s="139"/>
      <c r="B42" s="171" t="s">
        <v>88</v>
      </c>
      <c r="C42" s="172">
        <f>'Attachment 3 - 21-22'!C44</f>
        <v>1</v>
      </c>
      <c r="D42" s="172">
        <f>'Attachment 3 - 21-22'!D44</f>
        <v>1</v>
      </c>
      <c r="E42" s="172">
        <f>'Attachment 3 - 21-22'!E44</f>
        <v>1</v>
      </c>
      <c r="F42" s="172"/>
    </row>
    <row r="43" spans="1:8" x14ac:dyDescent="0.4">
      <c r="A43" s="139"/>
      <c r="B43" s="148"/>
      <c r="C43" s="169"/>
      <c r="D43" s="169"/>
      <c r="E43" s="170"/>
      <c r="F43" s="169"/>
    </row>
    <row r="44" spans="1:8" ht="25.5" customHeight="1" x14ac:dyDescent="0.4">
      <c r="B44" s="59" t="s">
        <v>365</v>
      </c>
      <c r="C44" s="169"/>
      <c r="D44" s="170"/>
      <c r="E44" s="170"/>
      <c r="F44" s="169"/>
    </row>
    <row r="45" spans="1:8" x14ac:dyDescent="0.4">
      <c r="A45" s="139"/>
      <c r="B45" s="148" t="s">
        <v>366</v>
      </c>
      <c r="C45" s="174">
        <f>'Attachment 3 - 21-22'!C47</f>
        <v>6564885</v>
      </c>
      <c r="D45" s="174">
        <f>'Attachment 3 - 21-22'!D47</f>
        <v>6564885</v>
      </c>
      <c r="E45" s="174">
        <f>'Attachment 3 - 21-22'!E47</f>
        <v>6564885</v>
      </c>
      <c r="F45" s="174">
        <f t="shared" ref="F45:F46" si="2">E45</f>
        <v>6564885</v>
      </c>
      <c r="G45" s="386" t="s">
        <v>3</v>
      </c>
    </row>
    <row r="46" spans="1:8" x14ac:dyDescent="0.4">
      <c r="A46" s="139"/>
      <c r="B46" s="148" t="s">
        <v>367</v>
      </c>
      <c r="C46" s="174">
        <f>'Attachment 3 - 21-22'!C48</f>
        <v>10111062</v>
      </c>
      <c r="D46" s="174">
        <f>'Attachment 3 - 21-22'!D48</f>
        <v>10111062</v>
      </c>
      <c r="E46" s="174">
        <f>'Attachment 3 - 21-22'!E48</f>
        <v>10111062</v>
      </c>
      <c r="F46" s="174">
        <f t="shared" si="2"/>
        <v>10111062</v>
      </c>
      <c r="G46" s="386"/>
    </row>
    <row r="47" spans="1:8" x14ac:dyDescent="0.4">
      <c r="A47" s="139"/>
      <c r="B47" s="60"/>
      <c r="C47" s="169"/>
      <c r="D47" s="169"/>
      <c r="E47" s="170"/>
      <c r="F47" s="169"/>
    </row>
    <row r="48" spans="1:8" x14ac:dyDescent="0.4">
      <c r="B48" s="58" t="s">
        <v>368</v>
      </c>
      <c r="C48" s="169"/>
      <c r="D48" s="169"/>
      <c r="E48" s="170"/>
      <c r="F48" s="169"/>
    </row>
    <row r="49" spans="1:8" x14ac:dyDescent="0.4">
      <c r="A49" s="139"/>
      <c r="B49" s="171" t="s">
        <v>91</v>
      </c>
      <c r="C49" s="175">
        <f t="shared" ref="C49:E50" si="3">+C$33*C$37/C$38*C41*C45+C$34*C$37/C$38*C45</f>
        <v>163180745.26415092</v>
      </c>
      <c r="D49" s="175">
        <f t="shared" si="3"/>
        <v>144922933.01886794</v>
      </c>
      <c r="E49" s="175">
        <f t="shared" si="3"/>
        <v>120769110.8490566</v>
      </c>
      <c r="F49" s="175">
        <f>SUM(C49:E49)</f>
        <v>428872789.13207543</v>
      </c>
    </row>
    <row r="50" spans="1:8" ht="14.7" x14ac:dyDescent="0.7">
      <c r="A50" s="139"/>
      <c r="B50" s="61" t="s">
        <v>88</v>
      </c>
      <c r="C50" s="63">
        <f t="shared" si="3"/>
        <v>251326661.86415094</v>
      </c>
      <c r="D50" s="63">
        <f t="shared" si="3"/>
        <v>223206463.01886794</v>
      </c>
      <c r="E50" s="63">
        <f t="shared" si="3"/>
        <v>186005385.8490566</v>
      </c>
      <c r="F50" s="63">
        <f>SUM(C50:E50)</f>
        <v>660538510.73207545</v>
      </c>
    </row>
    <row r="51" spans="1:8" x14ac:dyDescent="0.4">
      <c r="A51" s="139"/>
      <c r="B51" s="148" t="s">
        <v>44</v>
      </c>
      <c r="C51" s="176">
        <f>+C50+C49</f>
        <v>414507407.12830186</v>
      </c>
      <c r="D51" s="176">
        <f>+D50+D49</f>
        <v>368129396.03773588</v>
      </c>
      <c r="E51" s="177">
        <f>+E50+E49</f>
        <v>306774496.6981132</v>
      </c>
      <c r="F51" s="176">
        <f>+F50+F49</f>
        <v>1089411299.864151</v>
      </c>
      <c r="H51" s="178"/>
    </row>
    <row r="52" spans="1:8" x14ac:dyDescent="0.4">
      <c r="B52" s="148"/>
      <c r="C52" s="179"/>
      <c r="D52" s="179"/>
      <c r="E52" s="179"/>
      <c r="F52" s="179"/>
    </row>
    <row r="53" spans="1:8" x14ac:dyDescent="0.4">
      <c r="B53" s="148" t="s">
        <v>369</v>
      </c>
      <c r="C53" s="179"/>
      <c r="D53" s="179" t="s">
        <v>3</v>
      </c>
      <c r="E53" s="179"/>
      <c r="F53" s="64">
        <f>ROUND(F51/(F45+F46),2)</f>
        <v>65.33</v>
      </c>
      <c r="G53" s="115" t="s">
        <v>379</v>
      </c>
    </row>
    <row r="54" spans="1:8" x14ac:dyDescent="0.4">
      <c r="B54" s="148"/>
      <c r="C54" s="179"/>
      <c r="D54" s="179"/>
      <c r="E54" s="179"/>
      <c r="F54" s="64"/>
    </row>
    <row r="55" spans="1:8" x14ac:dyDescent="0.4">
      <c r="B55" s="148"/>
      <c r="C55" s="179"/>
      <c r="D55" s="179"/>
      <c r="E55" s="179"/>
      <c r="F55" s="64"/>
    </row>
    <row r="56" spans="1:8" x14ac:dyDescent="0.4">
      <c r="B56" s="148"/>
    </row>
    <row r="57" spans="1:8" ht="12.5" customHeight="1" x14ac:dyDescent="0.4">
      <c r="C57" s="180"/>
      <c r="D57" s="180"/>
      <c r="E57" s="180"/>
      <c r="F57" s="180"/>
    </row>
    <row r="58" spans="1:8" x14ac:dyDescent="0.4">
      <c r="A58" s="156" t="s">
        <v>3</v>
      </c>
      <c r="B58" s="156"/>
      <c r="C58" s="156"/>
      <c r="D58" s="156"/>
      <c r="E58" s="156"/>
      <c r="F58" s="156"/>
    </row>
    <row r="59" spans="1:8" ht="16" customHeight="1" x14ac:dyDescent="0.4">
      <c r="A59" s="156"/>
      <c r="B59" s="156"/>
      <c r="C59" s="156"/>
      <c r="D59" s="156"/>
      <c r="E59" s="156"/>
      <c r="F59" s="156"/>
    </row>
  </sheetData>
  <mergeCells count="9">
    <mergeCell ref="A24:G24"/>
    <mergeCell ref="A26:G26"/>
    <mergeCell ref="A27:G27"/>
    <mergeCell ref="G45:G46"/>
    <mergeCell ref="B1:F1"/>
    <mergeCell ref="B2:F2"/>
    <mergeCell ref="B3:F3"/>
    <mergeCell ref="A5:F5"/>
    <mergeCell ref="D10:F10"/>
  </mergeCells>
  <pageMargins left="0.97" right="0.79" top="0.69" bottom="0.69" header="0.33" footer="0.5"/>
  <pageSetup scale="55" orientation="landscape" r:id="rId1"/>
  <headerFooter alignWithMargins="0">
    <oddFooter>&amp;L&amp;A&amp;CPage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76CDA-3E52-4981-B7D7-64455071A676}">
  <dimension ref="A1:E18"/>
  <sheetViews>
    <sheetView view="pageBreakPreview" zoomScale="70" zoomScaleNormal="87" zoomScaleSheetLayoutView="70" workbookViewId="0">
      <selection sqref="A1:E1"/>
    </sheetView>
  </sheetViews>
  <sheetFormatPr defaultColWidth="8.87890625" defaultRowHeight="12.7" x14ac:dyDescent="0.4"/>
  <cols>
    <col min="1" max="1" width="8.87890625" style="118"/>
    <col min="2" max="2" width="49.05859375" style="118" customWidth="1"/>
    <col min="3" max="3" width="19.87890625" style="118" customWidth="1"/>
    <col min="4" max="4" width="20.8203125" style="118" customWidth="1"/>
    <col min="5" max="16384" width="8.87890625" style="118"/>
  </cols>
  <sheetData>
    <row r="1" spans="1:5" ht="15.35" x14ac:dyDescent="0.5">
      <c r="A1" s="384" t="s">
        <v>0</v>
      </c>
      <c r="B1" s="384"/>
      <c r="C1" s="384"/>
      <c r="D1" s="384"/>
      <c r="E1" s="384"/>
    </row>
    <row r="2" spans="1:5" ht="15.35" x14ac:dyDescent="0.5">
      <c r="A2" s="384" t="s">
        <v>386</v>
      </c>
      <c r="B2" s="384"/>
      <c r="C2" s="384"/>
      <c r="D2" s="384"/>
      <c r="E2" s="384"/>
    </row>
    <row r="3" spans="1:5" ht="15.35" x14ac:dyDescent="0.5">
      <c r="A3" s="117"/>
      <c r="B3" s="117"/>
      <c r="C3" s="117"/>
      <c r="D3" s="117"/>
      <c r="E3" s="117"/>
    </row>
    <row r="4" spans="1:5" ht="15.35" x14ac:dyDescent="0.5">
      <c r="A4" s="68" t="s">
        <v>387</v>
      </c>
      <c r="B4" s="69"/>
      <c r="C4" s="70"/>
      <c r="D4" s="70"/>
    </row>
    <row r="5" spans="1:5" x14ac:dyDescent="0.4">
      <c r="A5" s="115"/>
      <c r="B5" s="71"/>
      <c r="C5" s="115"/>
      <c r="D5" s="115"/>
    </row>
    <row r="6" spans="1:5" ht="26.35" x14ac:dyDescent="0.55000000000000004">
      <c r="A6" s="115"/>
      <c r="B6" s="119"/>
      <c r="C6" s="72" t="s">
        <v>408</v>
      </c>
      <c r="D6" s="72" t="s">
        <v>409</v>
      </c>
    </row>
    <row r="7" spans="1:5" x14ac:dyDescent="0.4">
      <c r="A7" s="115"/>
      <c r="C7" s="73" t="s">
        <v>353</v>
      </c>
      <c r="D7" s="73" t="s">
        <v>354</v>
      </c>
    </row>
    <row r="8" spans="1:5" x14ac:dyDescent="0.4">
      <c r="A8" s="120" t="s">
        <v>388</v>
      </c>
      <c r="C8" s="7"/>
      <c r="D8" s="7"/>
    </row>
    <row r="9" spans="1:5" x14ac:dyDescent="0.4">
      <c r="A9" s="9">
        <v>1</v>
      </c>
      <c r="B9" s="2" t="s">
        <v>337</v>
      </c>
      <c r="C9" s="121">
        <f>'Attachment 3 - 21-22'!C39</f>
        <v>18</v>
      </c>
      <c r="D9" s="121">
        <f>'Attachment 3 - 21-22'!D39</f>
        <v>15</v>
      </c>
    </row>
    <row r="10" spans="1:5" x14ac:dyDescent="0.4">
      <c r="A10" s="9">
        <v>2</v>
      </c>
      <c r="B10" s="2" t="s">
        <v>338</v>
      </c>
      <c r="C10" s="121">
        <f>'Attachment 3 - 21-22'!C40</f>
        <v>53</v>
      </c>
      <c r="D10" s="121">
        <f>'Attachment 3 - 21-22'!D40</f>
        <v>53</v>
      </c>
    </row>
    <row r="11" spans="1:5" x14ac:dyDescent="0.4">
      <c r="A11" s="9">
        <v>3</v>
      </c>
      <c r="B11" s="2" t="s">
        <v>389</v>
      </c>
      <c r="C11" s="74">
        <f>C9/C10</f>
        <v>0.33962264150943394</v>
      </c>
      <c r="D11" s="74">
        <f>D9/D10</f>
        <v>0.28301886792452829</v>
      </c>
    </row>
    <row r="12" spans="1:5" x14ac:dyDescent="0.4">
      <c r="A12" s="9">
        <v>4</v>
      </c>
      <c r="B12" s="2" t="s">
        <v>390</v>
      </c>
      <c r="C12" s="122">
        <v>4919.3</v>
      </c>
      <c r="D12" s="122">
        <v>4918</v>
      </c>
    </row>
    <row r="13" spans="1:5" x14ac:dyDescent="0.4">
      <c r="A13" s="9">
        <v>5</v>
      </c>
      <c r="B13" s="2" t="s">
        <v>391</v>
      </c>
      <c r="C13" s="123">
        <f>C11*C12</f>
        <v>1670.7056603773585</v>
      </c>
      <c r="D13" s="123">
        <f>D11*D12</f>
        <v>1391.8867924528302</v>
      </c>
    </row>
    <row r="14" spans="1:5" x14ac:dyDescent="0.4">
      <c r="A14" s="9">
        <v>6</v>
      </c>
      <c r="B14" s="2" t="s">
        <v>392</v>
      </c>
      <c r="C14" s="124">
        <v>24099.114866560696</v>
      </c>
      <c r="D14" s="125">
        <v>25811.805814663781</v>
      </c>
    </row>
    <row r="15" spans="1:5" x14ac:dyDescent="0.4">
      <c r="A15" s="9">
        <v>7</v>
      </c>
      <c r="B15" s="2" t="s">
        <v>393</v>
      </c>
      <c r="C15" s="126">
        <f>C13*C14</f>
        <v>40262527.617647104</v>
      </c>
      <c r="D15" s="126">
        <f>D13*D14</f>
        <v>35927111.602787681</v>
      </c>
    </row>
    <row r="16" spans="1:5" x14ac:dyDescent="0.4">
      <c r="A16" s="9">
        <v>8</v>
      </c>
      <c r="B16" s="2" t="s">
        <v>394</v>
      </c>
      <c r="C16" s="127">
        <f>6647085+10730196</f>
        <v>17377281</v>
      </c>
      <c r="D16" s="127">
        <f>6756405+10326528</f>
        <v>17082933</v>
      </c>
    </row>
    <row r="17" spans="1:4" x14ac:dyDescent="0.4">
      <c r="A17" s="9">
        <v>9</v>
      </c>
      <c r="B17" s="2" t="s">
        <v>395</v>
      </c>
      <c r="C17" s="127">
        <f>C11*C16</f>
        <v>5901718.0754716974</v>
      </c>
      <c r="D17" s="127">
        <f>D11*D16</f>
        <v>4834792.3584905658</v>
      </c>
    </row>
    <row r="18" spans="1:4" x14ac:dyDescent="0.4">
      <c r="A18" s="9">
        <v>10</v>
      </c>
      <c r="B18" s="2" t="s">
        <v>396</v>
      </c>
      <c r="C18" s="75">
        <f>ROUND(C15/C17,2)</f>
        <v>6.82</v>
      </c>
      <c r="D18" s="75">
        <f>ROUND(D15/D17,2)</f>
        <v>7.43</v>
      </c>
    </row>
  </sheetData>
  <mergeCells count="2">
    <mergeCell ref="A1:E1"/>
    <mergeCell ref="A2:E2"/>
  </mergeCells>
  <pageMargins left="0.97" right="0.79" top="0.69" bottom="0.69" header="0.33" footer="0.5"/>
  <pageSetup scale="60" orientation="landscape" r:id="rId1"/>
  <headerFooter alignWithMargins="0">
    <oddFooter>&amp;L&amp;A&amp;CPage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BGS PTY17 Cost Alloc</vt:lpstr>
      <vt:lpstr>BGS PTY18 Cost Alloc</vt:lpstr>
      <vt:lpstr>BGS PTY19 Cost Alloc</vt:lpstr>
      <vt:lpstr>Composite Cost Allocation</vt:lpstr>
      <vt:lpstr>Attachment 3 - 21-22</vt:lpstr>
      <vt:lpstr>Attachment 3 - 22-23</vt:lpstr>
      <vt:lpstr>Attachment 3 - 23-24</vt:lpstr>
      <vt:lpstr>Attachment 4 - Transmission</vt:lpstr>
      <vt:lpstr>'Attachment 3 - 21-22'!Print_Area</vt:lpstr>
      <vt:lpstr>'Attachment 3 - 22-23'!Print_Area</vt:lpstr>
      <vt:lpstr>'Attachment 3 - 23-24'!Print_Area</vt:lpstr>
      <vt:lpstr>'BGS PTY17 Cost Alloc'!Print_Area</vt:lpstr>
      <vt:lpstr>'BGS PTY18 Cost Alloc'!Print_Area</vt:lpstr>
      <vt:lpstr>'BGS PTY19 Cost Alloc'!Print_Area</vt:lpstr>
      <vt:lpstr>'Composite Cost Allocation'!Print_Area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Peng, Yongmei</dc:creator>
  <cp:lastModifiedBy>Northcutt, Rachel</cp:lastModifiedBy>
  <cp:lastPrinted>2020-06-30T20:07:53Z</cp:lastPrinted>
  <dcterms:created xsi:type="dcterms:W3CDTF">2020-06-12T15:37:04Z</dcterms:created>
  <dcterms:modified xsi:type="dcterms:W3CDTF">2021-01-18T14:34:17Z</dcterms:modified>
</cp:coreProperties>
</file>